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autoCompressPictures="0" defaultThemeVersion="124226"/>
  <mc:AlternateContent xmlns:mc="http://schemas.openxmlformats.org/markup-compatibility/2006">
    <mc:Choice Requires="x15">
      <x15ac:absPath xmlns:x15ac="http://schemas.microsoft.com/office/spreadsheetml/2010/11/ac" url="C:\Users\spr\Desktop\"/>
    </mc:Choice>
  </mc:AlternateContent>
  <bookViews>
    <workbookView xWindow="0" yWindow="0" windowWidth="20490" windowHeight="7665" tabRatio="623" activeTab="17"/>
  </bookViews>
  <sheets>
    <sheet name="PL-D" sheetId="10" r:id="rId1"/>
    <sheet name="PL" sheetId="25" r:id="rId2"/>
    <sheet name="PL-D kw" sheetId="21" r:id="rId3"/>
    <sheet name="PL kw" sheetId="30" r:id="rId4"/>
    <sheet name="PL eq" sheetId="38" r:id="rId5"/>
    <sheet name="PP-D" sheetId="12" r:id="rId6"/>
    <sheet name="PP" sheetId="40" r:id="rId7"/>
    <sheet name="PP eq" sheetId="31" r:id="rId8"/>
    <sheet name="Sq-D" sheetId="22" r:id="rId9"/>
    <sheet name="Sq" sheetId="29" r:id="rId10"/>
    <sheet name="Sq-D kw" sheetId="24" r:id="rId11"/>
    <sheet name="Sq kw" sheetId="27" r:id="rId12"/>
    <sheet name="Sq eq" sheetId="39" r:id="rId13"/>
    <sheet name="BP-D" sheetId="35" r:id="rId14"/>
    <sheet name="BP" sheetId="42" r:id="rId15"/>
    <sheet name="BP apf" sheetId="33" r:id="rId16"/>
    <sheet name="BP eq" sheetId="26" r:id="rId17"/>
    <sheet name="BP-P ss" sheetId="43" r:id="rId18"/>
    <sheet name="BP ss" sheetId="44" r:id="rId19"/>
    <sheet name="Elite BP ss" sheetId="45" r:id="rId20"/>
    <sheet name="DL-D" sheetId="11" r:id="rId21"/>
    <sheet name="DL" sheetId="41" r:id="rId22"/>
    <sheet name="DL eq" sheetId="32" r:id="rId23"/>
    <sheet name="Folk PB-D half bwt" sheetId="79" r:id="rId24"/>
    <sheet name="Folk BP-D" sheetId="80" r:id="rId25"/>
    <sheet name="Folk BP half bwt" sheetId="81" r:id="rId26"/>
    <sheet name="Folk BP" sheetId="82" r:id="rId27"/>
    <sheet name="Powersport-D" sheetId="77" r:id="rId28"/>
    <sheet name="Powersport" sheetId="78" r:id="rId29"/>
    <sheet name="URA Rolling Thunder" sheetId="71" r:id="rId30"/>
    <sheet name="URA Apollon Axle" sheetId="72" r:id="rId31"/>
    <sheet name="URA Grip block" sheetId="73" r:id="rId32"/>
    <sheet name="URA Excalibur" sheetId="74" r:id="rId33"/>
    <sheet name="URA HUB" sheetId="75" r:id="rId34"/>
    <sheet name="URA Silver bullet" sheetId="76" r:id="rId35"/>
    <sheet name="СПР логлифт на максимум" sheetId="84" r:id="rId36"/>
    <sheet name="СПР логлифт многоповторный" sheetId="83" r:id="rId37"/>
    <sheet name="ФЖД жимовое двоеборье" sheetId="61" r:id="rId38"/>
    <sheet name="ФЖД многоповторный жим" sheetId="47" r:id="rId39"/>
    <sheet name="ФЖД жим на максимум" sheetId="49" r:id="rId40"/>
    <sheet name="ФЖД многоповторный жим SOFT" sheetId="51" r:id="rId41"/>
    <sheet name="ФЖД жим на максимум  SOFT" sheetId="55" r:id="rId42"/>
    <sheet name="ФЖД многоповторн. армейский жим" sheetId="53" r:id="rId43"/>
    <sheet name="ФЖД армейский жим на максимум" sheetId="54" r:id="rId44"/>
    <sheet name="ФЖД военный многоповторный жим" sheetId="57" r:id="rId45"/>
    <sheet name="ФЖД военный жим на максимум" sheetId="59" r:id="rId46"/>
    <sheet name="ФЖД богатырский жим" sheetId="60" r:id="rId47"/>
    <sheet name="Best teams" sheetId="69" r:id="rId48"/>
    <sheet name="Judge committee" sheetId="70" r:id="rId49"/>
    <sheet name="Statistics" sheetId="85" r:id="rId50"/>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M36" i="35" l="1"/>
  <c r="E36" i="35"/>
  <c r="Q42" i="12"/>
  <c r="E42" i="12"/>
  <c r="E39" i="78"/>
  <c r="E38" i="78"/>
  <c r="K107" i="82"/>
  <c r="E107" i="82"/>
  <c r="K106" i="82"/>
  <c r="E106" i="82"/>
  <c r="K81" i="82"/>
  <c r="E81" i="82"/>
  <c r="K80" i="82"/>
  <c r="E80" i="82"/>
  <c r="K77" i="82"/>
  <c r="E77" i="82"/>
  <c r="K76" i="82"/>
  <c r="E76" i="82"/>
  <c r="K75" i="82"/>
  <c r="E75" i="82"/>
  <c r="K72" i="82"/>
  <c r="E72" i="82"/>
  <c r="K71" i="82"/>
  <c r="E71" i="82"/>
  <c r="K70" i="82"/>
  <c r="E70" i="82"/>
  <c r="K69" i="82"/>
  <c r="E69" i="82"/>
  <c r="K66" i="82"/>
  <c r="E66" i="82"/>
  <c r="K65" i="82"/>
  <c r="E65" i="82"/>
  <c r="K64" i="82"/>
  <c r="E64" i="82"/>
  <c r="K63" i="82"/>
  <c r="E63" i="82"/>
  <c r="K62" i="82"/>
  <c r="E62" i="82"/>
  <c r="K61" i="82"/>
  <c r="E61" i="82"/>
  <c r="K60" i="82"/>
  <c r="E60" i="82"/>
  <c r="K59" i="82"/>
  <c r="E59" i="82"/>
  <c r="K58" i="82"/>
  <c r="E58" i="82"/>
  <c r="K57" i="82"/>
  <c r="E57" i="82"/>
  <c r="K56" i="82"/>
  <c r="E56" i="82"/>
  <c r="K55" i="82"/>
  <c r="E55" i="82"/>
  <c r="K54" i="82"/>
  <c r="E54" i="82"/>
  <c r="K53" i="82"/>
  <c r="E53" i="82"/>
  <c r="K50" i="82"/>
  <c r="E50" i="82"/>
  <c r="K49" i="82"/>
  <c r="E49" i="82"/>
  <c r="K48" i="82"/>
  <c r="E48" i="82"/>
  <c r="K47" i="82"/>
  <c r="E47" i="82"/>
  <c r="K46" i="82"/>
  <c r="E46" i="82"/>
  <c r="K45" i="82"/>
  <c r="E45" i="82"/>
  <c r="K44" i="82"/>
  <c r="E44" i="82"/>
  <c r="K41" i="82"/>
  <c r="E41" i="82"/>
  <c r="K40" i="82"/>
  <c r="E40" i="82"/>
  <c r="K39" i="82"/>
  <c r="E39" i="82"/>
  <c r="K38" i="82"/>
  <c r="E38" i="82"/>
  <c r="K37" i="82"/>
  <c r="E37" i="82"/>
  <c r="K36" i="82"/>
  <c r="E36" i="82"/>
  <c r="K35" i="82"/>
  <c r="E35" i="82"/>
  <c r="K34" i="82"/>
  <c r="E34" i="82"/>
  <c r="K31" i="82"/>
  <c r="E31" i="82"/>
  <c r="K30" i="82"/>
  <c r="E30" i="82"/>
  <c r="K29" i="82"/>
  <c r="E29" i="82"/>
  <c r="K28" i="82"/>
  <c r="E28" i="82"/>
  <c r="K27" i="82"/>
  <c r="E27" i="82"/>
  <c r="K24" i="82"/>
  <c r="E24" i="82"/>
  <c r="K21" i="82"/>
  <c r="E21" i="82"/>
  <c r="K20" i="82"/>
  <c r="E20" i="82"/>
  <c r="K17" i="82"/>
  <c r="E17" i="82"/>
  <c r="K16" i="82"/>
  <c r="E16" i="82"/>
  <c r="K13" i="82"/>
  <c r="E13" i="82"/>
  <c r="K10" i="82"/>
  <c r="E10" i="82"/>
  <c r="K7" i="82"/>
  <c r="E7" i="82"/>
  <c r="K7" i="81"/>
  <c r="E7" i="81"/>
  <c r="K71" i="80"/>
  <c r="E71" i="80"/>
  <c r="K70" i="80"/>
  <c r="E70" i="80"/>
  <c r="K67" i="80"/>
  <c r="E67" i="80"/>
  <c r="K66" i="80"/>
  <c r="E66" i="80"/>
  <c r="K63" i="80"/>
  <c r="E63" i="80"/>
  <c r="K62" i="80"/>
  <c r="E62" i="80"/>
  <c r="K61" i="80"/>
  <c r="E61" i="80"/>
  <c r="K60" i="80"/>
  <c r="E60" i="80"/>
  <c r="K57" i="80"/>
  <c r="E57" i="80"/>
  <c r="K56" i="80"/>
  <c r="E56" i="80"/>
  <c r="K55" i="80"/>
  <c r="E55" i="80"/>
  <c r="K54" i="80"/>
  <c r="E54" i="80"/>
  <c r="K53" i="80"/>
  <c r="E53" i="80"/>
  <c r="K50" i="80"/>
  <c r="E50" i="80"/>
  <c r="K49" i="80"/>
  <c r="E49" i="80"/>
  <c r="K48" i="80"/>
  <c r="E48" i="80"/>
  <c r="K47" i="80"/>
  <c r="E47" i="80"/>
  <c r="K46" i="80"/>
  <c r="E46" i="80"/>
  <c r="K45" i="80"/>
  <c r="E45" i="80"/>
  <c r="K44" i="80"/>
  <c r="E44" i="80"/>
  <c r="K43" i="80"/>
  <c r="E43" i="80"/>
  <c r="K42" i="80"/>
  <c r="E42" i="80"/>
  <c r="K41" i="80"/>
  <c r="E41" i="80"/>
  <c r="K40" i="80"/>
  <c r="E40" i="80"/>
  <c r="K39" i="80"/>
  <c r="E39" i="80"/>
  <c r="K38" i="80"/>
  <c r="E38" i="80"/>
  <c r="K35" i="80"/>
  <c r="E35" i="80"/>
  <c r="K34" i="80"/>
  <c r="E34" i="80"/>
  <c r="K33" i="80"/>
  <c r="E33" i="80"/>
  <c r="K32" i="80"/>
  <c r="E32" i="80"/>
  <c r="K31" i="80"/>
  <c r="E31" i="80"/>
  <c r="K30" i="80"/>
  <c r="E30" i="80"/>
  <c r="K27" i="80"/>
  <c r="E27" i="80"/>
  <c r="K26" i="80"/>
  <c r="E26" i="80"/>
  <c r="K25" i="80"/>
  <c r="E25" i="80"/>
  <c r="K24" i="80"/>
  <c r="E24" i="80"/>
  <c r="K23" i="80"/>
  <c r="E23" i="80"/>
  <c r="K22" i="80"/>
  <c r="E22" i="80"/>
  <c r="K21" i="80"/>
  <c r="E21" i="80"/>
  <c r="K20" i="80"/>
  <c r="E20" i="80"/>
  <c r="K19" i="80"/>
  <c r="E19" i="80"/>
  <c r="K16" i="80"/>
  <c r="E16" i="80"/>
  <c r="K15" i="80"/>
  <c r="E15" i="80"/>
  <c r="K14" i="80"/>
  <c r="E14" i="80"/>
  <c r="K13" i="80"/>
  <c r="E13" i="80"/>
  <c r="K10" i="80"/>
  <c r="E10" i="80"/>
  <c r="K7" i="80"/>
  <c r="E7" i="80"/>
  <c r="K32" i="79"/>
  <c r="E32" i="79"/>
  <c r="K31" i="79"/>
  <c r="E31" i="79"/>
  <c r="K28" i="79"/>
  <c r="E28" i="79"/>
  <c r="K25" i="79"/>
  <c r="E25" i="79"/>
  <c r="K22" i="79"/>
  <c r="E22" i="79"/>
  <c r="K19" i="79"/>
  <c r="E19" i="79"/>
  <c r="K18" i="79"/>
  <c r="E18" i="79"/>
  <c r="K17" i="79"/>
  <c r="E17" i="79"/>
  <c r="K16" i="79"/>
  <c r="E16" i="79"/>
  <c r="K13" i="79"/>
  <c r="E13" i="79"/>
  <c r="K12" i="79"/>
  <c r="E12" i="79"/>
  <c r="K9" i="79"/>
  <c r="E9" i="79"/>
  <c r="K8" i="79"/>
  <c r="E8" i="79"/>
  <c r="K7" i="79"/>
  <c r="E7" i="79"/>
  <c r="Q39" i="78"/>
  <c r="Q38" i="78"/>
  <c r="Q35" i="78"/>
  <c r="E35" i="78"/>
  <c r="Q34" i="78"/>
  <c r="E34" i="78"/>
  <c r="Q31" i="78"/>
  <c r="E31" i="78"/>
  <c r="Q30" i="78"/>
  <c r="E30" i="78"/>
  <c r="Q29" i="78"/>
  <c r="E29" i="78"/>
  <c r="Q26" i="78"/>
  <c r="E26" i="78"/>
  <c r="Q25" i="78"/>
  <c r="E25" i="78"/>
  <c r="Q22" i="78"/>
  <c r="E22" i="78"/>
  <c r="Q21" i="78"/>
  <c r="E21" i="78"/>
  <c r="Q20" i="78"/>
  <c r="E20" i="78"/>
  <c r="Q19" i="78"/>
  <c r="E19" i="78"/>
  <c r="Q18" i="78"/>
  <c r="E18" i="78"/>
  <c r="Q17" i="78"/>
  <c r="E17" i="78"/>
  <c r="Q16" i="78"/>
  <c r="E16" i="78"/>
  <c r="Q13" i="78"/>
  <c r="E13" i="78"/>
  <c r="Q12" i="78"/>
  <c r="E12" i="78"/>
  <c r="Q11" i="78"/>
  <c r="E11" i="78"/>
  <c r="Q10" i="78"/>
  <c r="E10" i="78"/>
  <c r="Q7" i="78"/>
  <c r="E7" i="78"/>
  <c r="Q46" i="77"/>
  <c r="E46" i="77"/>
  <c r="Q43" i="77"/>
  <c r="E43" i="77"/>
  <c r="Q42" i="77"/>
  <c r="E42" i="77"/>
  <c r="Q39" i="77"/>
  <c r="E39" i="77"/>
  <c r="Q38" i="77"/>
  <c r="E38" i="77"/>
  <c r="Q37" i="77"/>
  <c r="E37" i="77"/>
  <c r="Q36" i="77"/>
  <c r="E36" i="77"/>
  <c r="Q33" i="77"/>
  <c r="E33" i="77"/>
  <c r="Q32" i="77"/>
  <c r="E32" i="77"/>
  <c r="Q31" i="77"/>
  <c r="E31" i="77"/>
  <c r="Q28" i="77"/>
  <c r="E28" i="77"/>
  <c r="Q27" i="77"/>
  <c r="E27" i="77"/>
  <c r="Q26" i="77"/>
  <c r="E26" i="77"/>
  <c r="Q25" i="77"/>
  <c r="E25" i="77"/>
  <c r="Q24" i="77"/>
  <c r="E24" i="77"/>
  <c r="Q23" i="77"/>
  <c r="E23" i="77"/>
  <c r="Q20" i="77"/>
  <c r="E20" i="77"/>
  <c r="Q19" i="77"/>
  <c r="E19" i="77"/>
  <c r="Q18" i="77"/>
  <c r="E18" i="77"/>
  <c r="Q17" i="77"/>
  <c r="E17" i="77"/>
  <c r="Q16" i="77"/>
  <c r="E16" i="77"/>
  <c r="Q13" i="77"/>
  <c r="E13" i="77"/>
  <c r="Q10" i="77"/>
  <c r="E10" i="77"/>
  <c r="Q7" i="77"/>
  <c r="E7" i="77"/>
  <c r="O170" i="61"/>
  <c r="E170" i="61"/>
  <c r="O161" i="61"/>
  <c r="E161" i="61"/>
  <c r="O160" i="61"/>
  <c r="E160" i="61"/>
  <c r="O159" i="61"/>
  <c r="E159" i="61"/>
  <c r="O156" i="61"/>
  <c r="E156" i="61"/>
  <c r="O155" i="61"/>
  <c r="E155" i="61"/>
  <c r="O154" i="61"/>
  <c r="E154" i="61"/>
  <c r="O153" i="61"/>
  <c r="E153" i="61"/>
  <c r="O152" i="61"/>
  <c r="E152" i="61"/>
  <c r="O151" i="61"/>
  <c r="E151" i="61"/>
  <c r="O148" i="61"/>
  <c r="E148" i="61"/>
  <c r="O147" i="61"/>
  <c r="E147" i="61"/>
  <c r="O138" i="61"/>
  <c r="E138" i="61"/>
  <c r="O135" i="61"/>
  <c r="E135" i="61"/>
  <c r="O132" i="61"/>
  <c r="E132" i="61"/>
  <c r="O131" i="61"/>
  <c r="E131" i="61"/>
  <c r="O128" i="61"/>
  <c r="E128" i="61"/>
  <c r="O119" i="61"/>
  <c r="E119" i="61"/>
  <c r="O104" i="61"/>
  <c r="E104" i="61"/>
  <c r="O103" i="61"/>
  <c r="E103" i="61"/>
  <c r="O102" i="61"/>
  <c r="E102" i="61"/>
  <c r="O99" i="61"/>
  <c r="E99" i="61"/>
  <c r="O98" i="61"/>
  <c r="E98" i="61"/>
  <c r="O97" i="61"/>
  <c r="E97" i="61"/>
  <c r="O96" i="61"/>
  <c r="E96" i="61"/>
  <c r="O95" i="61"/>
  <c r="E95" i="61"/>
  <c r="O94" i="61"/>
  <c r="E94" i="61"/>
  <c r="O93" i="61"/>
  <c r="E93" i="61"/>
  <c r="O90" i="61"/>
  <c r="E90" i="61"/>
  <c r="O89" i="61"/>
  <c r="E89" i="61"/>
  <c r="O88" i="61"/>
  <c r="E88" i="61"/>
  <c r="O87" i="61"/>
  <c r="E87" i="61"/>
  <c r="O86" i="61"/>
  <c r="E86" i="61"/>
  <c r="O83" i="61"/>
  <c r="E83" i="61"/>
  <c r="O82" i="61"/>
  <c r="E82" i="61"/>
  <c r="O79" i="61"/>
  <c r="E79" i="61"/>
  <c r="E76" i="61"/>
  <c r="O73" i="61"/>
  <c r="E73" i="61"/>
  <c r="O57" i="61"/>
  <c r="E57" i="61"/>
  <c r="O56" i="61"/>
  <c r="E56" i="61"/>
  <c r="O55" i="61"/>
  <c r="E55" i="61"/>
  <c r="O54" i="61"/>
  <c r="E54" i="61"/>
  <c r="O51" i="61"/>
  <c r="E51" i="61"/>
  <c r="O50" i="61"/>
  <c r="E50" i="61"/>
  <c r="O49" i="61"/>
  <c r="E49" i="61"/>
  <c r="O48" i="61"/>
  <c r="E48" i="61"/>
  <c r="O45" i="61"/>
  <c r="E45" i="61"/>
  <c r="O44" i="61"/>
  <c r="E44" i="61"/>
  <c r="O43" i="61"/>
  <c r="E43" i="61"/>
  <c r="O42" i="61"/>
  <c r="E42" i="61"/>
  <c r="O39" i="61"/>
  <c r="E39" i="61"/>
  <c r="O38" i="61"/>
  <c r="E38" i="61"/>
  <c r="O37" i="61"/>
  <c r="E37" i="61"/>
  <c r="O34" i="61"/>
  <c r="E34" i="61"/>
  <c r="O31" i="61"/>
  <c r="E31" i="61"/>
  <c r="O28" i="61"/>
  <c r="E28" i="61"/>
  <c r="O19" i="61"/>
  <c r="E19" i="61"/>
  <c r="O16" i="61"/>
  <c r="E16" i="61"/>
  <c r="K27" i="57"/>
  <c r="E27" i="57"/>
  <c r="K26" i="57"/>
  <c r="E26" i="57"/>
  <c r="K25" i="57"/>
  <c r="E25" i="57"/>
  <c r="K22" i="57"/>
  <c r="E22" i="57"/>
  <c r="K19" i="57"/>
  <c r="E19" i="57"/>
  <c r="M19" i="55"/>
  <c r="E19" i="55"/>
  <c r="K16" i="51"/>
  <c r="E16" i="51"/>
  <c r="M40" i="49"/>
  <c r="E40" i="49"/>
  <c r="M39" i="49"/>
  <c r="E39" i="49"/>
  <c r="M38" i="49"/>
  <c r="E38" i="49"/>
  <c r="E35" i="49"/>
  <c r="M34" i="49"/>
  <c r="E34" i="49"/>
  <c r="M33" i="49"/>
  <c r="E33" i="49"/>
  <c r="M30" i="49"/>
  <c r="E30" i="49"/>
  <c r="M27" i="49"/>
  <c r="E27" i="49"/>
  <c r="K37" i="47"/>
  <c r="E37" i="47"/>
  <c r="K36" i="47"/>
  <c r="E36" i="47"/>
  <c r="K33" i="47"/>
  <c r="E33" i="47"/>
  <c r="K32" i="47"/>
  <c r="E32" i="47"/>
  <c r="K29" i="47"/>
  <c r="E29" i="47"/>
  <c r="K28" i="47"/>
  <c r="E28" i="47"/>
  <c r="K25" i="47"/>
  <c r="E25" i="47"/>
  <c r="K16" i="47"/>
  <c r="E16" i="47"/>
  <c r="U50" i="25"/>
  <c r="O7" i="61"/>
  <c r="E7" i="61"/>
  <c r="K7" i="60"/>
  <c r="E7" i="60"/>
  <c r="M10" i="59"/>
  <c r="E10" i="59"/>
  <c r="M7" i="59"/>
  <c r="E7" i="59"/>
  <c r="K10" i="57"/>
  <c r="E10" i="57"/>
  <c r="K7" i="57"/>
  <c r="E7" i="57"/>
  <c r="M10" i="55"/>
  <c r="E10" i="55"/>
  <c r="M7" i="55"/>
  <c r="E7" i="55"/>
  <c r="M12" i="54"/>
  <c r="E12" i="54"/>
  <c r="M11" i="54"/>
  <c r="E11" i="54"/>
  <c r="M10" i="54"/>
  <c r="E10" i="54"/>
  <c r="M7" i="54"/>
  <c r="E7" i="54"/>
  <c r="K14" i="53"/>
  <c r="E14" i="53"/>
  <c r="K13" i="53"/>
  <c r="E13" i="53"/>
  <c r="K10" i="53"/>
  <c r="E10" i="53"/>
  <c r="K7" i="53"/>
  <c r="E7" i="53"/>
  <c r="K7" i="51"/>
  <c r="E7" i="51"/>
  <c r="M18" i="49"/>
  <c r="E18" i="49"/>
  <c r="M15" i="49"/>
  <c r="E15" i="49"/>
  <c r="M14" i="49"/>
  <c r="E14" i="49"/>
  <c r="M11" i="49"/>
  <c r="E11" i="49"/>
  <c r="M8" i="49"/>
  <c r="E8" i="49"/>
  <c r="M7" i="49"/>
  <c r="E7" i="49"/>
  <c r="K7" i="47"/>
  <c r="E7" i="47"/>
  <c r="M35" i="45"/>
  <c r="E35" i="45"/>
  <c r="M32" i="45"/>
  <c r="E32" i="45"/>
  <c r="M31" i="45"/>
  <c r="E31" i="45"/>
  <c r="M30" i="45"/>
  <c r="E30" i="45"/>
  <c r="M29" i="45"/>
  <c r="E29" i="45"/>
  <c r="E26" i="45"/>
  <c r="M25" i="45"/>
  <c r="E25" i="45"/>
  <c r="M24" i="45"/>
  <c r="E24" i="45"/>
  <c r="M23" i="45"/>
  <c r="E23" i="45"/>
  <c r="M22" i="45"/>
  <c r="E22" i="45"/>
  <c r="M21" i="45"/>
  <c r="E21" i="45"/>
  <c r="M20" i="45"/>
  <c r="E20" i="45"/>
  <c r="M17" i="45"/>
  <c r="E17" i="45"/>
  <c r="M16" i="45"/>
  <c r="E16" i="45"/>
  <c r="M15" i="45"/>
  <c r="E15" i="45"/>
  <c r="M14" i="45"/>
  <c r="E14" i="45"/>
  <c r="M11" i="45"/>
  <c r="E11" i="45"/>
  <c r="M10" i="45"/>
  <c r="E10" i="45"/>
  <c r="M9" i="45"/>
  <c r="E9" i="45"/>
  <c r="M8" i="45"/>
  <c r="E8" i="45"/>
  <c r="M7" i="45"/>
  <c r="E7" i="45"/>
  <c r="M36" i="44"/>
  <c r="E36" i="44"/>
  <c r="M33" i="44"/>
  <c r="E33" i="44"/>
  <c r="M30" i="44"/>
  <c r="E30" i="44"/>
  <c r="M29" i="44"/>
  <c r="E29" i="44"/>
  <c r="M28" i="44"/>
  <c r="E28" i="44"/>
  <c r="M27" i="44"/>
  <c r="E27" i="44"/>
  <c r="M26" i="44"/>
  <c r="E26" i="44"/>
  <c r="M25" i="44"/>
  <c r="E25" i="44"/>
  <c r="M24" i="44"/>
  <c r="E24" i="44"/>
  <c r="M23" i="44"/>
  <c r="E23" i="44"/>
  <c r="M20" i="44"/>
  <c r="E20" i="44"/>
  <c r="M19" i="44"/>
  <c r="E19" i="44"/>
  <c r="E18" i="44"/>
  <c r="E15" i="44"/>
  <c r="M14" i="44"/>
  <c r="E14" i="44"/>
  <c r="E13" i="44"/>
  <c r="M12" i="44"/>
  <c r="E12" i="44"/>
  <c r="M11" i="44"/>
  <c r="E11" i="44"/>
  <c r="M8" i="44"/>
  <c r="E8" i="44"/>
  <c r="M7" i="44"/>
  <c r="E7" i="44"/>
  <c r="M60" i="43"/>
  <c r="E60" i="43"/>
  <c r="M59" i="43"/>
  <c r="E59" i="43"/>
  <c r="M56" i="43"/>
  <c r="E56" i="43"/>
  <c r="M55" i="43"/>
  <c r="E55" i="43"/>
  <c r="M54" i="43"/>
  <c r="E54" i="43"/>
  <c r="M53" i="43"/>
  <c r="E53" i="43"/>
  <c r="M50" i="43"/>
  <c r="E50" i="43"/>
  <c r="M49" i="43"/>
  <c r="E49" i="43"/>
  <c r="M48" i="43"/>
  <c r="E48" i="43"/>
  <c r="M47" i="43"/>
  <c r="E47" i="43"/>
  <c r="M46" i="43"/>
  <c r="E46" i="43"/>
  <c r="M45" i="43"/>
  <c r="E45" i="43"/>
  <c r="M44" i="43"/>
  <c r="E44" i="43"/>
  <c r="M41" i="43"/>
  <c r="E41" i="43"/>
  <c r="M40" i="43"/>
  <c r="E40" i="43"/>
  <c r="M39" i="43"/>
  <c r="E39" i="43"/>
  <c r="M38" i="43"/>
  <c r="E38" i="43"/>
  <c r="M37" i="43"/>
  <c r="E37" i="43"/>
  <c r="M36" i="43"/>
  <c r="E36" i="43"/>
  <c r="M35" i="43"/>
  <c r="E35" i="43"/>
  <c r="M34" i="43"/>
  <c r="E34" i="43"/>
  <c r="M31" i="43"/>
  <c r="E31" i="43"/>
  <c r="M30" i="43"/>
  <c r="E30" i="43"/>
  <c r="M29" i="43"/>
  <c r="E29" i="43"/>
  <c r="M26" i="43"/>
  <c r="E26" i="43"/>
  <c r="M25" i="43"/>
  <c r="E25" i="43"/>
  <c r="M24" i="43"/>
  <c r="E24" i="43"/>
  <c r="M21" i="43"/>
  <c r="E21" i="43"/>
  <c r="M20" i="43"/>
  <c r="E20" i="43"/>
  <c r="M19" i="43"/>
  <c r="E19" i="43"/>
  <c r="M16" i="43"/>
  <c r="E16" i="43"/>
  <c r="M13" i="43"/>
  <c r="E13" i="43"/>
  <c r="M10" i="43"/>
  <c r="E10" i="43"/>
  <c r="M7" i="43"/>
  <c r="E7" i="43"/>
  <c r="M151" i="42"/>
  <c r="E151" i="42"/>
  <c r="E148" i="42"/>
  <c r="M147" i="42"/>
  <c r="E147" i="42"/>
  <c r="M144" i="42"/>
  <c r="E144" i="42"/>
  <c r="M143" i="42"/>
  <c r="E143" i="42"/>
  <c r="M142" i="42"/>
  <c r="E142" i="42"/>
  <c r="M141" i="42"/>
  <c r="E141" i="42"/>
  <c r="M140" i="42"/>
  <c r="E140" i="42"/>
  <c r="M139" i="42"/>
  <c r="E139" i="42"/>
  <c r="M138" i="42"/>
  <c r="E138" i="42"/>
  <c r="M137" i="42"/>
  <c r="E137" i="42"/>
  <c r="M136" i="42"/>
  <c r="E136" i="42"/>
  <c r="M135" i="42"/>
  <c r="E135" i="42"/>
  <c r="M134" i="42"/>
  <c r="E134" i="42"/>
  <c r="M133" i="42"/>
  <c r="E133" i="42"/>
  <c r="M132" i="42"/>
  <c r="E132" i="42"/>
  <c r="M131" i="42"/>
  <c r="E131" i="42"/>
  <c r="M128" i="42"/>
  <c r="E128" i="42"/>
  <c r="M127" i="42"/>
  <c r="E127" i="42"/>
  <c r="M126" i="42"/>
  <c r="E126" i="42"/>
  <c r="M125" i="42"/>
  <c r="E125" i="42"/>
  <c r="M124" i="42"/>
  <c r="E124" i="42"/>
  <c r="M123" i="42"/>
  <c r="E123" i="42"/>
  <c r="M122" i="42"/>
  <c r="E122" i="42"/>
  <c r="M121" i="42"/>
  <c r="E121" i="42"/>
  <c r="M120" i="42"/>
  <c r="E120" i="42"/>
  <c r="M119" i="42"/>
  <c r="E119" i="42"/>
  <c r="E118" i="42"/>
  <c r="M117" i="42"/>
  <c r="E117" i="42"/>
  <c r="M116" i="42"/>
  <c r="E116" i="42"/>
  <c r="M115" i="42"/>
  <c r="E115" i="42"/>
  <c r="M114" i="42"/>
  <c r="E114" i="42"/>
  <c r="M113" i="42"/>
  <c r="E113" i="42"/>
  <c r="M112" i="42"/>
  <c r="E112" i="42"/>
  <c r="M111" i="42"/>
  <c r="E111" i="42"/>
  <c r="M110" i="42"/>
  <c r="E110" i="42"/>
  <c r="M107" i="42"/>
  <c r="E107" i="42"/>
  <c r="M106" i="42"/>
  <c r="E106" i="42"/>
  <c r="M105" i="42"/>
  <c r="E105" i="42"/>
  <c r="M104" i="42"/>
  <c r="E104" i="42"/>
  <c r="E103" i="42"/>
  <c r="M102" i="42"/>
  <c r="E102" i="42"/>
  <c r="M101" i="42"/>
  <c r="E101" i="42"/>
  <c r="M100" i="42"/>
  <c r="E100" i="42"/>
  <c r="E99" i="42"/>
  <c r="M98" i="42"/>
  <c r="E98" i="42"/>
  <c r="M97" i="42"/>
  <c r="E97" i="42"/>
  <c r="M96" i="42"/>
  <c r="E96" i="42"/>
  <c r="M95" i="42"/>
  <c r="E95" i="42"/>
  <c r="M94" i="42"/>
  <c r="E94" i="42"/>
  <c r="M93" i="42"/>
  <c r="E93" i="42"/>
  <c r="M92" i="42"/>
  <c r="E92" i="42"/>
  <c r="M91" i="42"/>
  <c r="E91" i="42"/>
  <c r="M90" i="42"/>
  <c r="E90" i="42"/>
  <c r="M89" i="42"/>
  <c r="E89" i="42"/>
  <c r="M88" i="42"/>
  <c r="E88" i="42"/>
  <c r="M87" i="42"/>
  <c r="E87" i="42"/>
  <c r="M86" i="42"/>
  <c r="E86" i="42"/>
  <c r="M83" i="42"/>
  <c r="E83" i="42"/>
  <c r="M82" i="42"/>
  <c r="E82" i="42"/>
  <c r="M81" i="42"/>
  <c r="E81" i="42"/>
  <c r="M80" i="42"/>
  <c r="E80" i="42"/>
  <c r="M79" i="42"/>
  <c r="E79" i="42"/>
  <c r="M78" i="42"/>
  <c r="E78" i="42"/>
  <c r="M77" i="42"/>
  <c r="E77" i="42"/>
  <c r="M76" i="42"/>
  <c r="E76" i="42"/>
  <c r="M75" i="42"/>
  <c r="E75" i="42"/>
  <c r="M74" i="42"/>
  <c r="E74" i="42"/>
  <c r="M73" i="42"/>
  <c r="E73" i="42"/>
  <c r="M72" i="42"/>
  <c r="E72" i="42"/>
  <c r="M71" i="42"/>
  <c r="E71" i="42"/>
  <c r="M70" i="42"/>
  <c r="E70" i="42"/>
  <c r="M69" i="42"/>
  <c r="E69" i="42"/>
  <c r="M68" i="42"/>
  <c r="E68" i="42"/>
  <c r="M67" i="42"/>
  <c r="E67" i="42"/>
  <c r="M66" i="42"/>
  <c r="E66" i="42"/>
  <c r="M65" i="42"/>
  <c r="E65" i="42"/>
  <c r="M62" i="42"/>
  <c r="E62" i="42"/>
  <c r="M61" i="42"/>
  <c r="E61" i="42"/>
  <c r="M60" i="42"/>
  <c r="E60" i="42"/>
  <c r="E59" i="42"/>
  <c r="M58" i="42"/>
  <c r="E58" i="42"/>
  <c r="M57" i="42"/>
  <c r="E57" i="42"/>
  <c r="M56" i="42"/>
  <c r="E56" i="42"/>
  <c r="M55" i="42"/>
  <c r="E55" i="42"/>
  <c r="M54" i="42"/>
  <c r="E54" i="42"/>
  <c r="M53" i="42"/>
  <c r="E53" i="42"/>
  <c r="M52" i="42"/>
  <c r="E52" i="42"/>
  <c r="M49" i="42"/>
  <c r="E49" i="42"/>
  <c r="M48" i="42"/>
  <c r="E48" i="42"/>
  <c r="M47" i="42"/>
  <c r="E47" i="42"/>
  <c r="M46" i="42"/>
  <c r="E46" i="42"/>
  <c r="M45" i="42"/>
  <c r="E45" i="42"/>
  <c r="M44" i="42"/>
  <c r="E44" i="42"/>
  <c r="M41" i="42"/>
  <c r="E41" i="42"/>
  <c r="M40" i="42"/>
  <c r="E40" i="42"/>
  <c r="M37" i="42"/>
  <c r="E37" i="42"/>
  <c r="M36" i="42"/>
  <c r="E36" i="42"/>
  <c r="M33" i="42"/>
  <c r="E33" i="42"/>
  <c r="M32" i="42"/>
  <c r="E32" i="42"/>
  <c r="M29" i="42"/>
  <c r="E29" i="42"/>
  <c r="M26" i="42"/>
  <c r="E26" i="42"/>
  <c r="M25" i="42"/>
  <c r="E25" i="42"/>
  <c r="M24" i="42"/>
  <c r="E24" i="42"/>
  <c r="M21" i="42"/>
  <c r="E21" i="42"/>
  <c r="M20" i="42"/>
  <c r="E20" i="42"/>
  <c r="M19" i="42"/>
  <c r="E19" i="42"/>
  <c r="M16" i="42"/>
  <c r="E16" i="42"/>
  <c r="M13" i="42"/>
  <c r="E13" i="42"/>
  <c r="M12" i="42"/>
  <c r="E12" i="42"/>
  <c r="M11" i="42"/>
  <c r="E11" i="42"/>
  <c r="M10" i="42"/>
  <c r="E10" i="42"/>
  <c r="M7" i="42"/>
  <c r="E7" i="42"/>
  <c r="M93" i="41"/>
  <c r="E93" i="41"/>
  <c r="M90" i="41"/>
  <c r="E90" i="41"/>
  <c r="M89" i="41"/>
  <c r="E89" i="41"/>
  <c r="M88" i="41"/>
  <c r="E88" i="41"/>
  <c r="M87" i="41"/>
  <c r="E87" i="41"/>
  <c r="M84" i="41"/>
  <c r="E84" i="41"/>
  <c r="M83" i="41"/>
  <c r="E83" i="41"/>
  <c r="M82" i="41"/>
  <c r="E82" i="41"/>
  <c r="M81" i="41"/>
  <c r="E81" i="41"/>
  <c r="M80" i="41"/>
  <c r="E80" i="41"/>
  <c r="M79" i="41"/>
  <c r="E79" i="41"/>
  <c r="M78" i="41"/>
  <c r="E78" i="41"/>
  <c r="M77" i="41"/>
  <c r="E77" i="41"/>
  <c r="M76" i="41"/>
  <c r="E76" i="41"/>
  <c r="M75" i="41"/>
  <c r="E75" i="41"/>
  <c r="M74" i="41"/>
  <c r="E74" i="41"/>
  <c r="M71" i="41"/>
  <c r="E71" i="41"/>
  <c r="M70" i="41"/>
  <c r="E70" i="41"/>
  <c r="M69" i="41"/>
  <c r="E69" i="41"/>
  <c r="M68" i="41"/>
  <c r="E68" i="41"/>
  <c r="M67" i="41"/>
  <c r="E67" i="41"/>
  <c r="M66" i="41"/>
  <c r="E66" i="41"/>
  <c r="M65" i="41"/>
  <c r="E65" i="41"/>
  <c r="M64" i="41"/>
  <c r="E64" i="41"/>
  <c r="M63" i="41"/>
  <c r="E63" i="41"/>
  <c r="M62" i="41"/>
  <c r="E62" i="41"/>
  <c r="M61" i="41"/>
  <c r="E61" i="41"/>
  <c r="M60" i="41"/>
  <c r="E60" i="41"/>
  <c r="M59" i="41"/>
  <c r="E59" i="41"/>
  <c r="M56" i="41"/>
  <c r="E56" i="41"/>
  <c r="M55" i="41"/>
  <c r="E55" i="41"/>
  <c r="M54" i="41"/>
  <c r="E54" i="41"/>
  <c r="M53" i="41"/>
  <c r="E53" i="41"/>
  <c r="M52" i="41"/>
  <c r="E52" i="41"/>
  <c r="M49" i="41"/>
  <c r="E49" i="41"/>
  <c r="M48" i="41"/>
  <c r="E48" i="41"/>
  <c r="M47" i="41"/>
  <c r="E47" i="41"/>
  <c r="M46" i="41"/>
  <c r="E46" i="41"/>
  <c r="M45" i="41"/>
  <c r="E45" i="41"/>
  <c r="M44" i="41"/>
  <c r="E44" i="41"/>
  <c r="M43" i="41"/>
  <c r="E43" i="41"/>
  <c r="M42" i="41"/>
  <c r="E42" i="41"/>
  <c r="M41" i="41"/>
  <c r="E41" i="41"/>
  <c r="M40" i="41"/>
  <c r="E40" i="41"/>
  <c r="M39" i="41"/>
  <c r="E39" i="41"/>
  <c r="M38" i="41"/>
  <c r="E38" i="41"/>
  <c r="M37" i="41"/>
  <c r="E37" i="41"/>
  <c r="M34" i="41"/>
  <c r="E34" i="41"/>
  <c r="M33" i="41"/>
  <c r="E33" i="41"/>
  <c r="M32" i="41"/>
  <c r="E32" i="41"/>
  <c r="M29" i="41"/>
  <c r="E29" i="41"/>
  <c r="M28" i="41"/>
  <c r="E28" i="41"/>
  <c r="M27" i="41"/>
  <c r="E27" i="41"/>
  <c r="M26" i="41"/>
  <c r="E26" i="41"/>
  <c r="M23" i="41"/>
  <c r="E23" i="41"/>
  <c r="M22" i="41"/>
  <c r="E22" i="41"/>
  <c r="M19" i="41"/>
  <c r="E19" i="41"/>
  <c r="M16" i="41"/>
  <c r="E16" i="41"/>
  <c r="M13" i="41"/>
  <c r="E13" i="41"/>
  <c r="M12" i="41"/>
  <c r="E12" i="41"/>
  <c r="M9" i="41"/>
  <c r="E9" i="41"/>
  <c r="M8" i="41"/>
  <c r="E8" i="41"/>
  <c r="M7" i="41"/>
  <c r="E7" i="41"/>
  <c r="Q72" i="40"/>
  <c r="E72" i="40"/>
  <c r="Q69" i="40"/>
  <c r="E69" i="40"/>
  <c r="Q66" i="40"/>
  <c r="E66" i="40"/>
  <c r="Q65" i="40"/>
  <c r="E65" i="40"/>
  <c r="Q64" i="40"/>
  <c r="E64" i="40"/>
  <c r="Q63" i="40"/>
  <c r="E63" i="40"/>
  <c r="Q62" i="40"/>
  <c r="E62" i="40"/>
  <c r="Q59" i="40"/>
  <c r="E59" i="40"/>
  <c r="Q58" i="40"/>
  <c r="E58" i="40"/>
  <c r="Q57" i="40"/>
  <c r="E57" i="40"/>
  <c r="Q56" i="40"/>
  <c r="E56" i="40"/>
  <c r="Q55" i="40"/>
  <c r="E55" i="40"/>
  <c r="Q54" i="40"/>
  <c r="E54" i="40"/>
  <c r="Q51" i="40"/>
  <c r="E51" i="40"/>
  <c r="Q50" i="40"/>
  <c r="E50" i="40"/>
  <c r="Q49" i="40"/>
  <c r="E49" i="40"/>
  <c r="Q48" i="40"/>
  <c r="E48" i="40"/>
  <c r="Q45" i="40"/>
  <c r="E45" i="40"/>
  <c r="Q44" i="40"/>
  <c r="E44" i="40"/>
  <c r="E43" i="40"/>
  <c r="Q42" i="40"/>
  <c r="E42" i="40"/>
  <c r="Q39" i="40"/>
  <c r="E39" i="40"/>
  <c r="Q38" i="40"/>
  <c r="E38" i="40"/>
  <c r="Q37" i="40"/>
  <c r="E37" i="40"/>
  <c r="Q36" i="40"/>
  <c r="E36" i="40"/>
  <c r="Q35" i="40"/>
  <c r="E35" i="40"/>
  <c r="Q34" i="40"/>
  <c r="E34" i="40"/>
  <c r="Q31" i="40"/>
  <c r="E31" i="40"/>
  <c r="Q30" i="40"/>
  <c r="E30" i="40"/>
  <c r="Q29" i="40"/>
  <c r="E29" i="40"/>
  <c r="Q28" i="40"/>
  <c r="E28" i="40"/>
  <c r="Q25" i="40"/>
  <c r="E25" i="40"/>
  <c r="Q24" i="40"/>
  <c r="E24" i="40"/>
  <c r="Q21" i="40"/>
  <c r="E21" i="40"/>
  <c r="Q20" i="40"/>
  <c r="E20" i="40"/>
  <c r="Q17" i="40"/>
  <c r="E17" i="40"/>
  <c r="Q16" i="40"/>
  <c r="E16" i="40"/>
  <c r="Q13" i="40"/>
  <c r="E13" i="40"/>
  <c r="Q10" i="40"/>
  <c r="E10" i="40"/>
  <c r="Q7" i="40"/>
  <c r="E7" i="40"/>
  <c r="M22" i="39"/>
  <c r="E22" i="39"/>
  <c r="M21" i="39"/>
  <c r="E21" i="39"/>
  <c r="M18" i="39"/>
  <c r="E18" i="39"/>
  <c r="M15" i="39"/>
  <c r="E15" i="39"/>
  <c r="M12" i="39"/>
  <c r="E12" i="39"/>
  <c r="M11" i="39"/>
  <c r="E11" i="39"/>
  <c r="M10" i="39"/>
  <c r="E10" i="39"/>
  <c r="M7" i="39"/>
  <c r="E7" i="39"/>
  <c r="U45" i="38"/>
  <c r="E45" i="38"/>
  <c r="U44" i="38"/>
  <c r="E44" i="38"/>
  <c r="U41" i="38"/>
  <c r="E41" i="38"/>
  <c r="U38" i="38"/>
  <c r="E38" i="38"/>
  <c r="U37" i="38"/>
  <c r="E37" i="38"/>
  <c r="U34" i="38"/>
  <c r="E34" i="38"/>
  <c r="U33" i="38"/>
  <c r="E33" i="38"/>
  <c r="U32" i="38"/>
  <c r="E32" i="38"/>
  <c r="U31" i="38"/>
  <c r="E31" i="38"/>
  <c r="U30" i="38"/>
  <c r="E30" i="38"/>
  <c r="U27" i="38"/>
  <c r="E27" i="38"/>
  <c r="U26" i="38"/>
  <c r="E26" i="38"/>
  <c r="U25" i="38"/>
  <c r="E25" i="38"/>
  <c r="U24" i="38"/>
  <c r="E24" i="38"/>
  <c r="U23" i="38"/>
  <c r="E23" i="38"/>
  <c r="U22" i="38"/>
  <c r="E22" i="38"/>
  <c r="U21" i="38"/>
  <c r="E21" i="38"/>
  <c r="U18" i="38"/>
  <c r="E18" i="38"/>
  <c r="U17" i="38"/>
  <c r="E17" i="38"/>
  <c r="U16" i="38"/>
  <c r="E16" i="38"/>
  <c r="U13" i="38"/>
  <c r="E13" i="38"/>
  <c r="U12" i="38"/>
  <c r="E12" i="38"/>
  <c r="U11" i="38"/>
  <c r="E11" i="38"/>
  <c r="U10" i="38"/>
  <c r="E10" i="38"/>
  <c r="U7" i="38"/>
  <c r="E7" i="38"/>
  <c r="M228" i="35"/>
  <c r="E228" i="35"/>
  <c r="M227" i="35"/>
  <c r="E227" i="35"/>
  <c r="M226" i="35"/>
  <c r="E226" i="35"/>
  <c r="M223" i="35"/>
  <c r="E223" i="35"/>
  <c r="M222" i="35"/>
  <c r="E222" i="35"/>
  <c r="M221" i="35"/>
  <c r="E221" i="35"/>
  <c r="M220" i="35"/>
  <c r="E220" i="35"/>
  <c r="M217" i="35"/>
  <c r="E217" i="35"/>
  <c r="M216" i="35"/>
  <c r="E216" i="35"/>
  <c r="M215" i="35"/>
  <c r="E215" i="35"/>
  <c r="M214" i="35"/>
  <c r="E214" i="35"/>
  <c r="M213" i="35"/>
  <c r="E213" i="35"/>
  <c r="M212" i="35"/>
  <c r="E212" i="35"/>
  <c r="M211" i="35"/>
  <c r="E211" i="35"/>
  <c r="M210" i="35"/>
  <c r="E210" i="35"/>
  <c r="M209" i="35"/>
  <c r="E209" i="35"/>
  <c r="M208" i="35"/>
  <c r="E208" i="35"/>
  <c r="M207" i="35"/>
  <c r="E207" i="35"/>
  <c r="M204" i="35"/>
  <c r="E204" i="35"/>
  <c r="M203" i="35"/>
  <c r="E203" i="35"/>
  <c r="M202" i="35"/>
  <c r="E202" i="35"/>
  <c r="M201" i="35"/>
  <c r="E201" i="35"/>
  <c r="M200" i="35"/>
  <c r="E200" i="35"/>
  <c r="M199" i="35"/>
  <c r="E199" i="35"/>
  <c r="M198" i="35"/>
  <c r="E198" i="35"/>
  <c r="M197" i="35"/>
  <c r="E197" i="35"/>
  <c r="M196" i="35"/>
  <c r="E196" i="35"/>
  <c r="M195" i="35"/>
  <c r="E195" i="35"/>
  <c r="M194" i="35"/>
  <c r="E194" i="35"/>
  <c r="M193" i="35"/>
  <c r="E193" i="35"/>
  <c r="M192" i="35"/>
  <c r="E192" i="35"/>
  <c r="M191" i="35"/>
  <c r="E191" i="35"/>
  <c r="M190" i="35"/>
  <c r="E190" i="35"/>
  <c r="M189" i="35"/>
  <c r="E189" i="35"/>
  <c r="M188" i="35"/>
  <c r="E188" i="35"/>
  <c r="M185" i="35"/>
  <c r="E185" i="35"/>
  <c r="M184" i="35"/>
  <c r="E184" i="35"/>
  <c r="M183" i="35"/>
  <c r="E183" i="35"/>
  <c r="M182" i="35"/>
  <c r="E182" i="35"/>
  <c r="M181" i="35"/>
  <c r="E181" i="35"/>
  <c r="M180" i="35"/>
  <c r="E180" i="35"/>
  <c r="M179" i="35"/>
  <c r="E179" i="35"/>
  <c r="M178" i="35"/>
  <c r="E178" i="35"/>
  <c r="M177" i="35"/>
  <c r="E177" i="35"/>
  <c r="M176" i="35"/>
  <c r="E176" i="35"/>
  <c r="M175" i="35"/>
  <c r="E175" i="35"/>
  <c r="M174" i="35"/>
  <c r="E174" i="35"/>
  <c r="M173" i="35"/>
  <c r="E173" i="35"/>
  <c r="M172" i="35"/>
  <c r="E172" i="35"/>
  <c r="M171" i="35"/>
  <c r="E171" i="35"/>
  <c r="M170" i="35"/>
  <c r="E170" i="35"/>
  <c r="M169" i="35"/>
  <c r="E169" i="35"/>
  <c r="M168" i="35"/>
  <c r="E168" i="35"/>
  <c r="M167" i="35"/>
  <c r="E167" i="35"/>
  <c r="M166" i="35"/>
  <c r="E166" i="35"/>
  <c r="M165" i="35"/>
  <c r="E165" i="35"/>
  <c r="M164" i="35"/>
  <c r="E164" i="35"/>
  <c r="M163" i="35"/>
  <c r="E163" i="35"/>
  <c r="M162" i="35"/>
  <c r="E162" i="35"/>
  <c r="M161" i="35"/>
  <c r="E161" i="35"/>
  <c r="M160" i="35"/>
  <c r="E160" i="35"/>
  <c r="M159" i="35"/>
  <c r="E159" i="35"/>
  <c r="M158" i="35"/>
  <c r="E158" i="35"/>
  <c r="M157" i="35"/>
  <c r="E157" i="35"/>
  <c r="M154" i="35"/>
  <c r="E154" i="35"/>
  <c r="M153" i="35"/>
  <c r="E153" i="35"/>
  <c r="M152" i="35"/>
  <c r="E152" i="35"/>
  <c r="M151" i="35"/>
  <c r="E151" i="35"/>
  <c r="M150" i="35"/>
  <c r="E150" i="35"/>
  <c r="M149" i="35"/>
  <c r="E149" i="35"/>
  <c r="M148" i="35"/>
  <c r="E148" i="35"/>
  <c r="M147" i="35"/>
  <c r="E147" i="35"/>
  <c r="M146" i="35"/>
  <c r="E146" i="35"/>
  <c r="M145" i="35"/>
  <c r="E145" i="35"/>
  <c r="M144" i="35"/>
  <c r="E144" i="35"/>
  <c r="M143" i="35"/>
  <c r="E143" i="35"/>
  <c r="M142" i="35"/>
  <c r="E142" i="35"/>
  <c r="M141" i="35"/>
  <c r="E141" i="35"/>
  <c r="M140" i="35"/>
  <c r="E140" i="35"/>
  <c r="M139" i="35"/>
  <c r="E139" i="35"/>
  <c r="M138" i="35"/>
  <c r="E138" i="35"/>
  <c r="M137" i="35"/>
  <c r="E137" i="35"/>
  <c r="M136" i="35"/>
  <c r="E136" i="35"/>
  <c r="M135" i="35"/>
  <c r="E135" i="35"/>
  <c r="M134" i="35"/>
  <c r="E134" i="35"/>
  <c r="M133" i="35"/>
  <c r="E133" i="35"/>
  <c r="M132" i="35"/>
  <c r="E132" i="35"/>
  <c r="M131" i="35"/>
  <c r="E131" i="35"/>
  <c r="M130" i="35"/>
  <c r="E130" i="35"/>
  <c r="M129" i="35"/>
  <c r="E129" i="35"/>
  <c r="M128" i="35"/>
  <c r="E128" i="35"/>
  <c r="M127" i="35"/>
  <c r="E127" i="35"/>
  <c r="M126" i="35"/>
  <c r="E126" i="35"/>
  <c r="M125" i="35"/>
  <c r="E125" i="35"/>
  <c r="M124" i="35"/>
  <c r="E124" i="35"/>
  <c r="M123" i="35"/>
  <c r="E123" i="35"/>
  <c r="M122" i="35"/>
  <c r="E122" i="35"/>
  <c r="M121" i="35"/>
  <c r="E121" i="35"/>
  <c r="M120" i="35"/>
  <c r="E120" i="35"/>
  <c r="M119" i="35"/>
  <c r="E119" i="35"/>
  <c r="M118" i="35"/>
  <c r="E118" i="35"/>
  <c r="M115" i="35"/>
  <c r="E115" i="35"/>
  <c r="M114" i="35"/>
  <c r="E114" i="35"/>
  <c r="M113" i="35"/>
  <c r="E113" i="35"/>
  <c r="M112" i="35"/>
  <c r="E112" i="35"/>
  <c r="M111" i="35"/>
  <c r="E111" i="35"/>
  <c r="M110" i="35"/>
  <c r="E110" i="35"/>
  <c r="M109" i="35"/>
  <c r="E109" i="35"/>
  <c r="M108" i="35"/>
  <c r="E108" i="35"/>
  <c r="M107" i="35"/>
  <c r="E107" i="35"/>
  <c r="M106" i="35"/>
  <c r="E106" i="35"/>
  <c r="M105" i="35"/>
  <c r="E105" i="35"/>
  <c r="M104" i="35"/>
  <c r="E104" i="35"/>
  <c r="M103" i="35"/>
  <c r="E103" i="35"/>
  <c r="M102" i="35"/>
  <c r="E102" i="35"/>
  <c r="M101" i="35"/>
  <c r="E101" i="35"/>
  <c r="M100" i="35"/>
  <c r="E100" i="35"/>
  <c r="M99" i="35"/>
  <c r="E99" i="35"/>
  <c r="M98" i="35"/>
  <c r="E98" i="35"/>
  <c r="M97" i="35"/>
  <c r="E97" i="35"/>
  <c r="M96" i="35"/>
  <c r="E96" i="35"/>
  <c r="M93" i="35"/>
  <c r="E93" i="35"/>
  <c r="M92" i="35"/>
  <c r="E92" i="35"/>
  <c r="M91" i="35"/>
  <c r="E91" i="35"/>
  <c r="M90" i="35"/>
  <c r="E90" i="35"/>
  <c r="M89" i="35"/>
  <c r="E89" i="35"/>
  <c r="M88" i="35"/>
  <c r="E88" i="35"/>
  <c r="M87" i="35"/>
  <c r="E87" i="35"/>
  <c r="M86" i="35"/>
  <c r="E86" i="35"/>
  <c r="M85" i="35"/>
  <c r="E85" i="35"/>
  <c r="M84" i="35"/>
  <c r="E84" i="35"/>
  <c r="M83" i="35"/>
  <c r="E83" i="35"/>
  <c r="M82" i="35"/>
  <c r="E82" i="35"/>
  <c r="M81" i="35"/>
  <c r="E81" i="35"/>
  <c r="M80" i="35"/>
  <c r="E80" i="35"/>
  <c r="M79" i="35"/>
  <c r="E79" i="35"/>
  <c r="M78" i="35"/>
  <c r="E78" i="35"/>
  <c r="M77" i="35"/>
  <c r="E77" i="35"/>
  <c r="M74" i="35"/>
  <c r="E74" i="35"/>
  <c r="M73" i="35"/>
  <c r="E73" i="35"/>
  <c r="M72" i="35"/>
  <c r="E72" i="35"/>
  <c r="M69" i="35"/>
  <c r="E69" i="35"/>
  <c r="M68" i="35"/>
  <c r="E68" i="35"/>
  <c r="M65" i="35"/>
  <c r="E65" i="35"/>
  <c r="M64" i="35"/>
  <c r="E64" i="35"/>
  <c r="M63" i="35"/>
  <c r="E63" i="35"/>
  <c r="M60" i="35"/>
  <c r="E60" i="35"/>
  <c r="M59" i="35"/>
  <c r="E59" i="35"/>
  <c r="M56" i="35"/>
  <c r="E56" i="35"/>
  <c r="M53" i="35"/>
  <c r="E53" i="35"/>
  <c r="M52" i="35"/>
  <c r="E52" i="35"/>
  <c r="M51" i="35"/>
  <c r="E51" i="35"/>
  <c r="M50" i="35"/>
  <c r="E50" i="35"/>
  <c r="M49" i="35"/>
  <c r="E49" i="35"/>
  <c r="M48" i="35"/>
  <c r="E48" i="35"/>
  <c r="M47" i="35"/>
  <c r="E47" i="35"/>
  <c r="M46" i="35"/>
  <c r="E46" i="35"/>
  <c r="M45" i="35"/>
  <c r="E45" i="35"/>
  <c r="M44" i="35"/>
  <c r="E44" i="35"/>
  <c r="M41" i="35"/>
  <c r="E41" i="35"/>
  <c r="M40" i="35"/>
  <c r="E40" i="35"/>
  <c r="M39" i="35"/>
  <c r="E39" i="35"/>
  <c r="M38" i="35"/>
  <c r="E38" i="35"/>
  <c r="M37" i="35"/>
  <c r="E37" i="35"/>
  <c r="M35" i="35"/>
  <c r="E35" i="35"/>
  <c r="M34" i="35"/>
  <c r="E34" i="35"/>
  <c r="M31" i="35"/>
  <c r="E31" i="35"/>
  <c r="M30" i="35"/>
  <c r="E30" i="35"/>
  <c r="M29" i="35"/>
  <c r="E29" i="35"/>
  <c r="M28" i="35"/>
  <c r="E28" i="35"/>
  <c r="M25" i="35"/>
  <c r="E25" i="35"/>
  <c r="M24" i="35"/>
  <c r="E24" i="35"/>
  <c r="M23" i="35"/>
  <c r="E23" i="35"/>
  <c r="M22" i="35"/>
  <c r="E22" i="35"/>
  <c r="M21" i="35"/>
  <c r="E21" i="35"/>
  <c r="M20" i="35"/>
  <c r="E20" i="35"/>
  <c r="M19" i="35"/>
  <c r="E19" i="35"/>
  <c r="M18" i="35"/>
  <c r="E18" i="35"/>
  <c r="M17" i="35"/>
  <c r="E17" i="35"/>
  <c r="M14" i="35"/>
  <c r="E14" i="35"/>
  <c r="M13" i="35"/>
  <c r="E13" i="35"/>
  <c r="M12" i="35"/>
  <c r="E12" i="35"/>
  <c r="M9" i="35"/>
  <c r="E9" i="35"/>
  <c r="M8" i="35"/>
  <c r="E8" i="35"/>
  <c r="M7" i="35"/>
  <c r="E7" i="35"/>
  <c r="M47" i="33"/>
  <c r="E47" i="33"/>
  <c r="M44" i="33"/>
  <c r="E44" i="33"/>
  <c r="M41" i="33"/>
  <c r="E41" i="33"/>
  <c r="M40" i="33"/>
  <c r="E40" i="33"/>
  <c r="M39" i="33"/>
  <c r="E39" i="33"/>
  <c r="M36" i="33"/>
  <c r="E36" i="33"/>
  <c r="M35" i="33"/>
  <c r="E35" i="33"/>
  <c r="M34" i="33"/>
  <c r="E34" i="33"/>
  <c r="M33" i="33"/>
  <c r="E33" i="33"/>
  <c r="M30" i="33"/>
  <c r="E30" i="33"/>
  <c r="M29" i="33"/>
  <c r="E29" i="33"/>
  <c r="M28" i="33"/>
  <c r="E28" i="33"/>
  <c r="M27" i="33"/>
  <c r="E27" i="33"/>
  <c r="M26" i="33"/>
  <c r="E26" i="33"/>
  <c r="M23" i="33"/>
  <c r="E23" i="33"/>
  <c r="M22" i="33"/>
  <c r="E22" i="33"/>
  <c r="M21" i="33"/>
  <c r="E21" i="33"/>
  <c r="M20" i="33"/>
  <c r="E20" i="33"/>
  <c r="M19" i="33"/>
  <c r="E19" i="33"/>
  <c r="M16" i="33"/>
  <c r="E16" i="33"/>
  <c r="M15" i="33"/>
  <c r="E15" i="33"/>
  <c r="M12" i="33"/>
  <c r="E12" i="33"/>
  <c r="M11" i="33"/>
  <c r="E11" i="33"/>
  <c r="M10" i="33"/>
  <c r="E10" i="33"/>
  <c r="E7" i="33"/>
  <c r="M44" i="32"/>
  <c r="E44" i="32"/>
  <c r="M41" i="32"/>
  <c r="E41" i="32"/>
  <c r="E65" i="32"/>
  <c r="M40" i="32"/>
  <c r="E40" i="32"/>
  <c r="M39" i="32"/>
  <c r="E39" i="32"/>
  <c r="E38" i="32"/>
  <c r="M35" i="32"/>
  <c r="E35" i="32"/>
  <c r="M34" i="32"/>
  <c r="E34" i="32"/>
  <c r="M33" i="32"/>
  <c r="E33" i="32"/>
  <c r="E32" i="32"/>
  <c r="M29" i="32"/>
  <c r="E29" i="32"/>
  <c r="M28" i="32"/>
  <c r="E28" i="32"/>
  <c r="M27" i="32"/>
  <c r="E27" i="32"/>
  <c r="M26" i="32"/>
  <c r="E26" i="32"/>
  <c r="M25" i="32"/>
  <c r="E25" i="32"/>
  <c r="M22" i="32"/>
  <c r="E22" i="32"/>
  <c r="M21" i="32"/>
  <c r="E21" i="32"/>
  <c r="M20" i="32"/>
  <c r="E20" i="32"/>
  <c r="M19" i="32"/>
  <c r="E19" i="32"/>
  <c r="M18" i="32"/>
  <c r="E18" i="32"/>
  <c r="M17" i="32"/>
  <c r="E17" i="32"/>
  <c r="M16" i="32"/>
  <c r="E16" i="32"/>
  <c r="M13" i="32"/>
  <c r="E13" i="32"/>
  <c r="M10" i="32"/>
  <c r="E10" i="32"/>
  <c r="M7" i="32"/>
  <c r="E7" i="32"/>
  <c r="Q21" i="31"/>
  <c r="E21" i="31"/>
  <c r="Q18" i="31"/>
  <c r="E18" i="31"/>
  <c r="Q15" i="31"/>
  <c r="E15" i="31"/>
  <c r="Q14" i="31"/>
  <c r="E14" i="31"/>
  <c r="Q13" i="31"/>
  <c r="E13" i="31"/>
  <c r="Q10" i="31"/>
  <c r="E10" i="31"/>
  <c r="Q7" i="31"/>
  <c r="E7" i="31"/>
  <c r="U106" i="30"/>
  <c r="E106" i="30"/>
  <c r="U105" i="30"/>
  <c r="E105" i="30"/>
  <c r="U104" i="30"/>
  <c r="E104" i="30"/>
  <c r="U101" i="30"/>
  <c r="E101" i="30"/>
  <c r="U100" i="30"/>
  <c r="E100" i="30"/>
  <c r="U99" i="30"/>
  <c r="E99" i="30"/>
  <c r="U98" i="30"/>
  <c r="E98" i="30"/>
  <c r="U97" i="30"/>
  <c r="E97" i="30"/>
  <c r="U96" i="30"/>
  <c r="E96" i="30"/>
  <c r="U93" i="30"/>
  <c r="E93" i="30"/>
  <c r="U92" i="30"/>
  <c r="E92" i="30"/>
  <c r="U91" i="30"/>
  <c r="E91" i="30"/>
  <c r="E90" i="30"/>
  <c r="U89" i="30"/>
  <c r="E89" i="30"/>
  <c r="U88" i="30"/>
  <c r="E88" i="30"/>
  <c r="U87" i="30"/>
  <c r="E87" i="30"/>
  <c r="U86" i="30"/>
  <c r="E86" i="30"/>
  <c r="U85" i="30"/>
  <c r="E85" i="30"/>
  <c r="U84" i="30"/>
  <c r="E84" i="30"/>
  <c r="U83" i="30"/>
  <c r="E83" i="30"/>
  <c r="U82" i="30"/>
  <c r="E82" i="30"/>
  <c r="U81" i="30"/>
  <c r="E81" i="30"/>
  <c r="U80" i="30"/>
  <c r="E80" i="30"/>
  <c r="U77" i="30"/>
  <c r="E77" i="30"/>
  <c r="U76" i="30"/>
  <c r="E76" i="30"/>
  <c r="U75" i="30"/>
  <c r="E75" i="30"/>
  <c r="U74" i="30"/>
  <c r="E74" i="30"/>
  <c r="U73" i="30"/>
  <c r="E73" i="30"/>
  <c r="U72" i="30"/>
  <c r="E72" i="30"/>
  <c r="U71" i="30"/>
  <c r="E71" i="30"/>
  <c r="U70" i="30"/>
  <c r="E70" i="30"/>
  <c r="U69" i="30"/>
  <c r="E69" i="30"/>
  <c r="U68" i="30"/>
  <c r="E68" i="30"/>
  <c r="U67" i="30"/>
  <c r="E67" i="30"/>
  <c r="E66" i="30"/>
  <c r="U63" i="30"/>
  <c r="E63" i="30"/>
  <c r="U62" i="30"/>
  <c r="E62" i="30"/>
  <c r="U61" i="30"/>
  <c r="E61" i="30"/>
  <c r="U60" i="30"/>
  <c r="E60" i="30"/>
  <c r="U59" i="30"/>
  <c r="E59" i="30"/>
  <c r="U58" i="30"/>
  <c r="E58" i="30"/>
  <c r="U57" i="30"/>
  <c r="E57" i="30"/>
  <c r="U56" i="30"/>
  <c r="E56" i="30"/>
  <c r="U53" i="30"/>
  <c r="E53" i="30"/>
  <c r="U52" i="30"/>
  <c r="E52" i="30"/>
  <c r="U51" i="30"/>
  <c r="E51" i="30"/>
  <c r="U50" i="30"/>
  <c r="E50" i="30"/>
  <c r="E49" i="30"/>
  <c r="U48" i="30"/>
  <c r="E48" i="30"/>
  <c r="U47" i="30"/>
  <c r="E47" i="30"/>
  <c r="U46" i="30"/>
  <c r="E46" i="30"/>
  <c r="U45" i="30"/>
  <c r="E45" i="30"/>
  <c r="U44" i="30"/>
  <c r="E44" i="30"/>
  <c r="U43" i="30"/>
  <c r="E43" i="30"/>
  <c r="E42" i="30"/>
  <c r="E41" i="30"/>
  <c r="U40" i="30"/>
  <c r="E40" i="30"/>
  <c r="U39" i="30"/>
  <c r="E39" i="30"/>
  <c r="U38" i="30"/>
  <c r="E38" i="30"/>
  <c r="U35" i="30"/>
  <c r="E35" i="30"/>
  <c r="U34" i="30"/>
  <c r="E34" i="30"/>
  <c r="U33" i="30"/>
  <c r="E33" i="30"/>
  <c r="U32" i="30"/>
  <c r="E32" i="30"/>
  <c r="U29" i="30"/>
  <c r="E29" i="30"/>
  <c r="U28" i="30"/>
  <c r="E28" i="30"/>
  <c r="U25" i="30"/>
  <c r="E25" i="30"/>
  <c r="U22" i="30"/>
  <c r="E22" i="30"/>
  <c r="U19" i="30"/>
  <c r="E19" i="30"/>
  <c r="U18" i="30"/>
  <c r="E18" i="30"/>
  <c r="U15" i="30"/>
  <c r="E15" i="30"/>
  <c r="U14" i="30"/>
  <c r="E14" i="30"/>
  <c r="U11" i="30"/>
  <c r="E11" i="30"/>
  <c r="U8" i="30"/>
  <c r="E8" i="30"/>
  <c r="U7" i="30"/>
  <c r="E7" i="30"/>
  <c r="M30" i="29"/>
  <c r="E30" i="29"/>
  <c r="M27" i="29"/>
  <c r="E27" i="29"/>
  <c r="M26" i="29"/>
  <c r="E26" i="29"/>
  <c r="M25" i="29"/>
  <c r="E25" i="29"/>
  <c r="M24" i="29"/>
  <c r="E24" i="29"/>
  <c r="M23" i="29"/>
  <c r="E23" i="29"/>
  <c r="M22" i="29"/>
  <c r="E22" i="29"/>
  <c r="M19" i="29"/>
  <c r="E19" i="29"/>
  <c r="M18" i="29"/>
  <c r="E18" i="29"/>
  <c r="M17" i="29"/>
  <c r="E17" i="29"/>
  <c r="M16" i="29"/>
  <c r="E16" i="29"/>
  <c r="M15" i="29"/>
  <c r="E15" i="29"/>
  <c r="M14" i="29"/>
  <c r="E14" i="29"/>
  <c r="M11" i="29"/>
  <c r="E11" i="29"/>
  <c r="M10" i="29"/>
  <c r="E10" i="29"/>
  <c r="M7" i="29"/>
  <c r="E7" i="29"/>
  <c r="M32" i="27"/>
  <c r="E32" i="27"/>
  <c r="M31" i="27"/>
  <c r="E31" i="27"/>
  <c r="M30" i="27"/>
  <c r="E30" i="27"/>
  <c r="M27" i="27"/>
  <c r="E27" i="27"/>
  <c r="M26" i="27"/>
  <c r="E26" i="27"/>
  <c r="M23" i="27"/>
  <c r="E23" i="27"/>
  <c r="M22" i="27"/>
  <c r="E22" i="27"/>
  <c r="M19" i="27"/>
  <c r="E19" i="27"/>
  <c r="M18" i="27"/>
  <c r="E18" i="27"/>
  <c r="M17" i="27"/>
  <c r="E17" i="27"/>
  <c r="M16" i="27"/>
  <c r="E16" i="27"/>
  <c r="M13" i="27"/>
  <c r="E13" i="27"/>
  <c r="M10" i="27"/>
  <c r="E10" i="27"/>
  <c r="M7" i="27"/>
  <c r="E7" i="27"/>
  <c r="E70" i="26"/>
  <c r="E69" i="26"/>
  <c r="M68" i="26"/>
  <c r="E68" i="26"/>
  <c r="M67" i="26"/>
  <c r="E67" i="26"/>
  <c r="E64" i="26"/>
  <c r="M63" i="26"/>
  <c r="E63" i="26"/>
  <c r="M62" i="26"/>
  <c r="E62" i="26"/>
  <c r="M61" i="26"/>
  <c r="E61" i="26"/>
  <c r="M60" i="26"/>
  <c r="E60" i="26"/>
  <c r="M59" i="26"/>
  <c r="E59" i="26"/>
  <c r="M56" i="26"/>
  <c r="E56" i="26"/>
  <c r="E55" i="26"/>
  <c r="M54" i="26"/>
  <c r="E54" i="26"/>
  <c r="M53" i="26"/>
  <c r="E53" i="26"/>
  <c r="M52" i="26"/>
  <c r="E52" i="26"/>
  <c r="E51" i="26"/>
  <c r="E50" i="26"/>
  <c r="E49" i="26"/>
  <c r="M48" i="26"/>
  <c r="E48" i="26"/>
  <c r="M47" i="26"/>
  <c r="E47" i="26"/>
  <c r="M46" i="26"/>
  <c r="E46" i="26"/>
  <c r="M43" i="26"/>
  <c r="E43" i="26"/>
  <c r="M42" i="26"/>
  <c r="E42" i="26"/>
  <c r="M41" i="26"/>
  <c r="E41" i="26"/>
  <c r="M40" i="26"/>
  <c r="E40" i="26"/>
  <c r="M37" i="26"/>
  <c r="E37" i="26"/>
  <c r="M36" i="26"/>
  <c r="E36" i="26"/>
  <c r="M35" i="26"/>
  <c r="E35" i="26"/>
  <c r="M34" i="26"/>
  <c r="E34" i="26"/>
  <c r="M33" i="26"/>
  <c r="E33" i="26"/>
  <c r="M32" i="26"/>
  <c r="E32" i="26"/>
  <c r="M31" i="26"/>
  <c r="E31" i="26"/>
  <c r="M30" i="26"/>
  <c r="E30" i="26"/>
  <c r="M29" i="26"/>
  <c r="E29" i="26"/>
  <c r="E26" i="26"/>
  <c r="M25" i="26"/>
  <c r="E25" i="26"/>
  <c r="M24" i="26"/>
  <c r="E24" i="26"/>
  <c r="E21" i="26"/>
  <c r="M20" i="26"/>
  <c r="E20" i="26"/>
  <c r="M19" i="26"/>
  <c r="E19" i="26"/>
  <c r="E18" i="26"/>
  <c r="M15" i="26"/>
  <c r="E15" i="26"/>
  <c r="M14" i="26"/>
  <c r="E14" i="26"/>
  <c r="M11" i="26"/>
  <c r="E11" i="26"/>
  <c r="M10" i="26"/>
  <c r="E10" i="26"/>
  <c r="M7" i="26"/>
  <c r="E7" i="26"/>
  <c r="U81" i="25"/>
  <c r="E81" i="25"/>
  <c r="U78" i="25"/>
  <c r="E78" i="25"/>
  <c r="U77" i="25"/>
  <c r="E77" i="25"/>
  <c r="U74" i="25"/>
  <c r="E74" i="25"/>
  <c r="U73" i="25"/>
  <c r="E73" i="25"/>
  <c r="U72" i="25"/>
  <c r="E72" i="25"/>
  <c r="U71" i="25"/>
  <c r="E71" i="25"/>
  <c r="U70" i="25"/>
  <c r="E70" i="25"/>
  <c r="U67" i="25"/>
  <c r="E67" i="25"/>
  <c r="U66" i="25"/>
  <c r="E66" i="25"/>
  <c r="U65" i="25"/>
  <c r="E65" i="25"/>
  <c r="U64" i="25"/>
  <c r="E64" i="25"/>
  <c r="U63" i="25"/>
  <c r="E63" i="25"/>
  <c r="U62" i="25"/>
  <c r="E62" i="25"/>
  <c r="U61" i="25"/>
  <c r="E61" i="25"/>
  <c r="U60" i="25"/>
  <c r="E60" i="25"/>
  <c r="U59" i="25"/>
  <c r="E59" i="25"/>
  <c r="U58" i="25"/>
  <c r="E58" i="25"/>
  <c r="U55" i="25"/>
  <c r="E55" i="25"/>
  <c r="U54" i="25"/>
  <c r="E54" i="25"/>
  <c r="U53" i="25"/>
  <c r="E53" i="25"/>
  <c r="U52" i="25"/>
  <c r="E52" i="25"/>
  <c r="U51" i="25"/>
  <c r="E51" i="25"/>
  <c r="E50" i="25"/>
  <c r="U49" i="25"/>
  <c r="E49" i="25"/>
  <c r="U48" i="25"/>
  <c r="E48" i="25"/>
  <c r="U47" i="25"/>
  <c r="E47" i="25"/>
  <c r="U44" i="25"/>
  <c r="E44" i="25"/>
  <c r="U43" i="25"/>
  <c r="E43" i="25"/>
  <c r="U42" i="25"/>
  <c r="E42" i="25"/>
  <c r="U41" i="25"/>
  <c r="E41" i="25"/>
  <c r="U40" i="25"/>
  <c r="E40" i="25"/>
  <c r="U39" i="25"/>
  <c r="E39" i="25"/>
  <c r="U38" i="25"/>
  <c r="E38" i="25"/>
  <c r="U37" i="25"/>
  <c r="E37" i="25"/>
  <c r="U36" i="25"/>
  <c r="E36" i="25"/>
  <c r="U35" i="25"/>
  <c r="E35" i="25"/>
  <c r="U32" i="25"/>
  <c r="E32" i="25"/>
  <c r="U31" i="25"/>
  <c r="E31" i="25"/>
  <c r="U28" i="25"/>
  <c r="E28" i="25"/>
  <c r="U27" i="25"/>
  <c r="E27" i="25"/>
  <c r="U26" i="25"/>
  <c r="E26" i="25"/>
  <c r="U23" i="25"/>
  <c r="E23" i="25"/>
  <c r="U20" i="25"/>
  <c r="E20" i="25"/>
  <c r="U17" i="25"/>
  <c r="E17" i="25"/>
  <c r="U16" i="25"/>
  <c r="E16" i="25"/>
  <c r="U15" i="25"/>
  <c r="E15" i="25"/>
  <c r="U12" i="25"/>
  <c r="E12" i="25"/>
  <c r="U11" i="25"/>
  <c r="E11" i="25"/>
  <c r="U8" i="25"/>
  <c r="E8" i="25"/>
  <c r="U7" i="25"/>
  <c r="E7" i="25"/>
  <c r="M35" i="24"/>
  <c r="E35" i="24"/>
  <c r="M32" i="24"/>
  <c r="E32" i="24"/>
  <c r="E29" i="24"/>
  <c r="M28" i="24"/>
  <c r="E28" i="24"/>
  <c r="M25" i="24"/>
  <c r="E25" i="24"/>
  <c r="M24" i="24"/>
  <c r="E24" i="24"/>
  <c r="M23" i="24"/>
  <c r="E23" i="24"/>
  <c r="M22" i="24"/>
  <c r="E22" i="24"/>
  <c r="M21" i="24"/>
  <c r="E21" i="24"/>
  <c r="M18" i="24"/>
  <c r="E18" i="24"/>
  <c r="M15" i="24"/>
  <c r="E15" i="24"/>
  <c r="M14" i="24"/>
  <c r="E14" i="24"/>
  <c r="M13" i="24"/>
  <c r="E13" i="24"/>
  <c r="M10" i="24"/>
  <c r="E10" i="24"/>
  <c r="M7" i="24"/>
  <c r="E7" i="24"/>
  <c r="M19" i="22"/>
  <c r="E19" i="22"/>
  <c r="M16" i="22"/>
  <c r="E16" i="22"/>
  <c r="M13" i="22"/>
  <c r="E13" i="22"/>
  <c r="M10" i="22"/>
  <c r="E10" i="22"/>
  <c r="M7" i="22"/>
  <c r="E7" i="22"/>
  <c r="U88" i="21"/>
  <c r="E88" i="21"/>
  <c r="U85" i="21"/>
  <c r="E85" i="21"/>
  <c r="U82" i="21"/>
  <c r="E82" i="21"/>
  <c r="U81" i="21"/>
  <c r="E81" i="21"/>
  <c r="U80" i="21"/>
  <c r="E80" i="21"/>
  <c r="E77" i="21"/>
  <c r="U76" i="21"/>
  <c r="E76" i="21"/>
  <c r="U75" i="21"/>
  <c r="E75" i="21"/>
  <c r="U74" i="21"/>
  <c r="E74" i="21"/>
  <c r="U73" i="21"/>
  <c r="E73" i="21"/>
  <c r="U72" i="21"/>
  <c r="E72" i="21"/>
  <c r="U69" i="21"/>
  <c r="E69" i="21"/>
  <c r="U68" i="21"/>
  <c r="E68" i="21"/>
  <c r="U67" i="21"/>
  <c r="E67" i="21"/>
  <c r="U66" i="21"/>
  <c r="E66" i="21"/>
  <c r="U65" i="21"/>
  <c r="E65" i="21"/>
  <c r="U64" i="21"/>
  <c r="E64" i="21"/>
  <c r="U63" i="21"/>
  <c r="E63" i="21"/>
  <c r="E60" i="21"/>
  <c r="U59" i="21"/>
  <c r="E59" i="21"/>
  <c r="U58" i="21"/>
  <c r="E58" i="21"/>
  <c r="U57" i="21"/>
  <c r="E57" i="21"/>
  <c r="U56" i="21"/>
  <c r="E56" i="21"/>
  <c r="U55" i="21"/>
  <c r="E55" i="21"/>
  <c r="U54" i="21"/>
  <c r="E54" i="21"/>
  <c r="U53" i="21"/>
  <c r="E53" i="21"/>
  <c r="U52" i="21"/>
  <c r="E52" i="21"/>
  <c r="U51" i="21"/>
  <c r="E51" i="21"/>
  <c r="U48" i="21"/>
  <c r="E48" i="21"/>
  <c r="U47" i="21"/>
  <c r="E47" i="21"/>
  <c r="U46" i="21"/>
  <c r="E46" i="21"/>
  <c r="U43" i="21"/>
  <c r="E43" i="21"/>
  <c r="U42" i="21"/>
  <c r="E42" i="21"/>
  <c r="U41" i="21"/>
  <c r="E41" i="21"/>
  <c r="U40" i="21"/>
  <c r="E40" i="21"/>
  <c r="E39" i="21"/>
  <c r="U38" i="21"/>
  <c r="E38" i="21"/>
  <c r="U37" i="21"/>
  <c r="E37" i="21"/>
  <c r="U36" i="21"/>
  <c r="E36" i="21"/>
  <c r="U33" i="21"/>
  <c r="E33" i="21"/>
  <c r="U32" i="21"/>
  <c r="E32" i="21"/>
  <c r="U29" i="21"/>
  <c r="E29" i="21"/>
  <c r="U26" i="21"/>
  <c r="E26" i="21"/>
  <c r="U23" i="21"/>
  <c r="E23" i="21"/>
  <c r="U20" i="21"/>
  <c r="E20" i="21"/>
  <c r="U19" i="21"/>
  <c r="E19" i="21"/>
  <c r="U18" i="21"/>
  <c r="E18" i="21"/>
  <c r="U15" i="21"/>
  <c r="E15" i="21"/>
  <c r="U12" i="21"/>
  <c r="E12" i="21"/>
  <c r="U11" i="21"/>
  <c r="E11" i="21"/>
  <c r="U10" i="21"/>
  <c r="E10" i="21"/>
  <c r="U7" i="21"/>
  <c r="E7" i="21"/>
  <c r="Q54" i="12"/>
  <c r="E54" i="12"/>
  <c r="Q51" i="12"/>
  <c r="E51" i="12"/>
  <c r="Q48" i="12"/>
  <c r="E48" i="12"/>
  <c r="Q47" i="12"/>
  <c r="E47" i="12"/>
  <c r="Q46" i="12"/>
  <c r="E46" i="12"/>
  <c r="Q43" i="12"/>
  <c r="E43" i="12"/>
  <c r="Q41" i="12"/>
  <c r="E41" i="12"/>
  <c r="Q40" i="12"/>
  <c r="E40" i="12"/>
  <c r="Q37" i="12"/>
  <c r="E37" i="12"/>
  <c r="Q36" i="12"/>
  <c r="E36" i="12"/>
  <c r="Q35" i="12"/>
  <c r="E35" i="12"/>
  <c r="Q32" i="12"/>
  <c r="E32" i="12"/>
  <c r="Q31" i="12"/>
  <c r="E31" i="12"/>
  <c r="Q28" i="12"/>
  <c r="E28" i="12"/>
  <c r="Q27" i="12"/>
  <c r="E27" i="12"/>
  <c r="Q26" i="12"/>
  <c r="E26" i="12"/>
  <c r="Q23" i="12"/>
  <c r="E23" i="12"/>
  <c r="Q20" i="12"/>
  <c r="E20" i="12"/>
  <c r="Q17" i="12"/>
  <c r="E17" i="12"/>
  <c r="Q16" i="12"/>
  <c r="E16" i="12"/>
  <c r="Q15" i="12"/>
  <c r="E15" i="12"/>
  <c r="Q14" i="12"/>
  <c r="E14" i="12"/>
  <c r="Q11" i="12"/>
  <c r="E11" i="12"/>
  <c r="Q10" i="12"/>
  <c r="E10" i="12"/>
  <c r="Q7" i="12"/>
  <c r="E7" i="12"/>
  <c r="M111" i="11"/>
  <c r="E111" i="11"/>
  <c r="M108" i="11"/>
  <c r="E108" i="11"/>
  <c r="M107" i="11"/>
  <c r="E107" i="11"/>
  <c r="M106" i="11"/>
  <c r="E106" i="11"/>
  <c r="M103" i="11"/>
  <c r="E103" i="11"/>
  <c r="M102" i="11"/>
  <c r="E102" i="11"/>
  <c r="M99" i="11"/>
  <c r="E99" i="11"/>
  <c r="M98" i="11"/>
  <c r="E98" i="11"/>
  <c r="M97" i="11"/>
  <c r="E97" i="11"/>
  <c r="M96" i="11"/>
  <c r="E96" i="11"/>
  <c r="M95" i="11"/>
  <c r="E95" i="11"/>
  <c r="M94" i="11"/>
  <c r="E94" i="11"/>
  <c r="M93" i="11"/>
  <c r="E93" i="11"/>
  <c r="M92" i="11"/>
  <c r="E92" i="11"/>
  <c r="M91" i="11"/>
  <c r="E91" i="11"/>
  <c r="M88" i="11"/>
  <c r="E88" i="11"/>
  <c r="E87" i="11"/>
  <c r="M86" i="11"/>
  <c r="E86" i="11"/>
  <c r="M85" i="11"/>
  <c r="E85" i="11"/>
  <c r="M84" i="11"/>
  <c r="E84" i="11"/>
  <c r="M83" i="11"/>
  <c r="E83" i="11"/>
  <c r="M82" i="11"/>
  <c r="E82" i="11"/>
  <c r="M81" i="11"/>
  <c r="E81" i="11"/>
  <c r="M80" i="11"/>
  <c r="E80" i="11"/>
  <c r="M79" i="11"/>
  <c r="E79" i="11"/>
  <c r="M78" i="11"/>
  <c r="E78" i="11"/>
  <c r="M75" i="11"/>
  <c r="E75" i="11"/>
  <c r="M74" i="11"/>
  <c r="E74" i="11"/>
  <c r="M73" i="11"/>
  <c r="E73" i="11"/>
  <c r="M72" i="11"/>
  <c r="E72" i="11"/>
  <c r="M71" i="11"/>
  <c r="E71" i="11"/>
  <c r="M70" i="11"/>
  <c r="E70" i="11"/>
  <c r="M69" i="11"/>
  <c r="E69" i="11"/>
  <c r="M68" i="11"/>
  <c r="E68" i="11"/>
  <c r="M67" i="11"/>
  <c r="E67" i="11"/>
  <c r="M64" i="11"/>
  <c r="E64" i="11"/>
  <c r="M63" i="11"/>
  <c r="E63" i="11"/>
  <c r="M62" i="11"/>
  <c r="E62" i="11"/>
  <c r="M61" i="11"/>
  <c r="E61" i="11"/>
  <c r="M60" i="11"/>
  <c r="E60" i="11"/>
  <c r="M59" i="11"/>
  <c r="E59" i="11"/>
  <c r="M58" i="11"/>
  <c r="E58" i="11"/>
  <c r="M57" i="11"/>
  <c r="E57" i="11"/>
  <c r="M56" i="11"/>
  <c r="E56" i="11"/>
  <c r="M55" i="11"/>
  <c r="E55" i="11"/>
  <c r="M52" i="11"/>
  <c r="E52" i="11"/>
  <c r="M51" i="11"/>
  <c r="E51" i="11"/>
  <c r="M50" i="11"/>
  <c r="E50" i="11"/>
  <c r="M49" i="11"/>
  <c r="E49" i="11"/>
  <c r="M48" i="11"/>
  <c r="E48" i="11"/>
  <c r="M47" i="11"/>
  <c r="E47" i="11"/>
  <c r="M46" i="11"/>
  <c r="E46" i="11"/>
  <c r="M43" i="11"/>
  <c r="E43" i="11"/>
  <c r="M40" i="11"/>
  <c r="E40" i="11"/>
  <c r="M39" i="11"/>
  <c r="E39" i="11"/>
  <c r="M36" i="11"/>
  <c r="E36" i="11"/>
  <c r="M33" i="11"/>
  <c r="E33" i="11"/>
  <c r="M30" i="11"/>
  <c r="E30" i="11"/>
  <c r="M29" i="11"/>
  <c r="E29" i="11"/>
  <c r="M28" i="11"/>
  <c r="E28" i="11"/>
  <c r="M27" i="11"/>
  <c r="E27" i="11"/>
  <c r="M26" i="11"/>
  <c r="E26" i="11"/>
  <c r="M23" i="11"/>
  <c r="E23" i="11"/>
  <c r="M22" i="11"/>
  <c r="E22" i="11"/>
  <c r="M21" i="11"/>
  <c r="E21" i="11"/>
  <c r="M20" i="11"/>
  <c r="E20" i="11"/>
  <c r="M19" i="11"/>
  <c r="E19" i="11"/>
  <c r="M18" i="11"/>
  <c r="E18" i="11"/>
  <c r="M15" i="11"/>
  <c r="E15" i="11"/>
  <c r="M14" i="11"/>
  <c r="E14" i="11"/>
  <c r="M11" i="11"/>
  <c r="E11" i="11"/>
  <c r="M10" i="11"/>
  <c r="E10" i="11"/>
  <c r="E7" i="11"/>
  <c r="U86" i="10"/>
  <c r="E86" i="10"/>
  <c r="U85" i="10"/>
  <c r="E85" i="10"/>
  <c r="U84" i="10"/>
  <c r="E84" i="10"/>
  <c r="U81" i="10"/>
  <c r="E81" i="10"/>
  <c r="U80" i="10"/>
  <c r="E80" i="10"/>
  <c r="U79" i="10"/>
  <c r="E79" i="10"/>
  <c r="U76" i="10"/>
  <c r="E76" i="10"/>
  <c r="U75" i="10"/>
  <c r="E75" i="10"/>
  <c r="E74" i="10"/>
  <c r="U73" i="10"/>
  <c r="E73" i="10"/>
  <c r="U72" i="10"/>
  <c r="E72" i="10"/>
  <c r="U69" i="10"/>
  <c r="E69" i="10"/>
  <c r="U68" i="10"/>
  <c r="E68" i="10"/>
  <c r="U67" i="10"/>
  <c r="E67" i="10"/>
  <c r="U66" i="10"/>
  <c r="E66" i="10"/>
  <c r="U65" i="10"/>
  <c r="E65" i="10"/>
  <c r="U64" i="10"/>
  <c r="E64" i="10"/>
  <c r="U63" i="10"/>
  <c r="E63" i="10"/>
  <c r="E62" i="10"/>
  <c r="E61" i="10"/>
  <c r="U60" i="10"/>
  <c r="E60" i="10"/>
  <c r="U59" i="10"/>
  <c r="E59" i="10"/>
  <c r="U56" i="10"/>
  <c r="E56" i="10"/>
  <c r="U55" i="10"/>
  <c r="E55" i="10"/>
  <c r="U54" i="10"/>
  <c r="E54" i="10"/>
  <c r="U53" i="10"/>
  <c r="E53" i="10"/>
  <c r="U52" i="10"/>
  <c r="E52" i="10"/>
  <c r="U49" i="10"/>
  <c r="E49" i="10"/>
  <c r="U48" i="10"/>
  <c r="E48" i="10"/>
  <c r="U47" i="10"/>
  <c r="E47" i="10"/>
  <c r="U46" i="10"/>
  <c r="E46" i="10"/>
  <c r="U45" i="10"/>
  <c r="E45" i="10"/>
  <c r="U44" i="10"/>
  <c r="E44" i="10"/>
  <c r="U41" i="10"/>
  <c r="E41" i="10"/>
  <c r="U40" i="10"/>
  <c r="E40" i="10"/>
  <c r="U39" i="10"/>
  <c r="E39" i="10"/>
  <c r="U38" i="10"/>
  <c r="E38" i="10"/>
  <c r="U37" i="10"/>
  <c r="E37" i="10"/>
  <c r="U34" i="10"/>
  <c r="E34" i="10"/>
  <c r="U31" i="10"/>
  <c r="E31" i="10"/>
  <c r="U30" i="10"/>
  <c r="E30" i="10"/>
  <c r="E27" i="10"/>
  <c r="U26" i="10"/>
  <c r="E26" i="10"/>
  <c r="U25" i="10"/>
  <c r="E25" i="10"/>
  <c r="U22" i="10"/>
  <c r="E22" i="10"/>
  <c r="U21" i="10"/>
  <c r="E21" i="10"/>
  <c r="U20" i="10"/>
  <c r="E20" i="10"/>
  <c r="U17" i="10"/>
  <c r="E17" i="10"/>
  <c r="U16" i="10"/>
  <c r="E16" i="10"/>
  <c r="U15" i="10"/>
  <c r="E15" i="10"/>
  <c r="U14" i="10"/>
  <c r="E14" i="10"/>
  <c r="U13" i="10"/>
  <c r="E13" i="10"/>
  <c r="U12" i="10"/>
  <c r="E12" i="10"/>
  <c r="E9" i="10"/>
  <c r="U8" i="10"/>
  <c r="E8" i="10"/>
  <c r="U7" i="10"/>
  <c r="E7" i="10"/>
</calcChain>
</file>

<file path=xl/sharedStrings.xml><?xml version="1.0" encoding="utf-8"?>
<sst xmlns="http://schemas.openxmlformats.org/spreadsheetml/2006/main" count="17271" uniqueCount="4302">
  <si>
    <t>Name</t>
  </si>
  <si>
    <t>Team</t>
  </si>
  <si>
    <t>Squat</t>
  </si>
  <si>
    <t>Benchpress</t>
  </si>
  <si>
    <t>Deadlift</t>
  </si>
  <si>
    <t>Coach</t>
  </si>
  <si>
    <t>Pts</t>
  </si>
  <si>
    <t>Rec</t>
  </si>
  <si>
    <t>Body
weight</t>
  </si>
  <si>
    <t>Resh</t>
  </si>
  <si>
    <t>89,30</t>
  </si>
  <si>
    <t>180,0</t>
  </si>
  <si>
    <t>73,90</t>
  </si>
  <si>
    <t>81,50</t>
  </si>
  <si>
    <t>Ukraina</t>
  </si>
  <si>
    <t>265,0</t>
  </si>
  <si>
    <t>275,0</t>
  </si>
  <si>
    <t>260,0</t>
  </si>
  <si>
    <t>Open</t>
  </si>
  <si>
    <t>Age class</t>
  </si>
  <si>
    <t>WC</t>
  </si>
  <si>
    <t>82.5</t>
  </si>
  <si>
    <t>74,40</t>
  </si>
  <si>
    <t>135,0</t>
  </si>
  <si>
    <t>220,0</t>
  </si>
  <si>
    <t>155,0</t>
  </si>
  <si>
    <t>280,0</t>
  </si>
  <si>
    <t>Sheykin Aleksey</t>
  </si>
  <si>
    <t>Open (24.03.1988)/28</t>
  </si>
  <si>
    <t>89,50</t>
  </si>
  <si>
    <t>167,5</t>
  </si>
  <si>
    <t>Shumskiy V.</t>
  </si>
  <si>
    <t>90</t>
  </si>
  <si>
    <t>442,5</t>
  </si>
  <si>
    <t>430,1100</t>
  </si>
  <si>
    <t>270,0</t>
  </si>
  <si>
    <t>150,0</t>
  </si>
  <si>
    <t>250,0</t>
  </si>
  <si>
    <t>Akimkina Yuliya</t>
  </si>
  <si>
    <t>Open (28.03.1982)/34</t>
  </si>
  <si>
    <t>47,70</t>
  </si>
  <si>
    <t>75,0</t>
  </si>
  <si>
    <t>80,0</t>
  </si>
  <si>
    <t>82,5</t>
  </si>
  <si>
    <t>42,5</t>
  </si>
  <si>
    <t>45,0</t>
  </si>
  <si>
    <t>90,0</t>
  </si>
  <si>
    <t>97,5</t>
  </si>
  <si>
    <t>Shestakova Yana</t>
  </si>
  <si>
    <t>Open (09.04.1984)/32</t>
  </si>
  <si>
    <t>47,20</t>
  </si>
  <si>
    <t>70,0</t>
  </si>
  <si>
    <t>40,0</t>
  </si>
  <si>
    <t>65,0</t>
  </si>
  <si>
    <t>72,5</t>
  </si>
  <si>
    <t>77,5</t>
  </si>
  <si>
    <t>Lytasova Kristina</t>
  </si>
  <si>
    <t>Open (04.03.1988)/28</t>
  </si>
  <si>
    <t>46,40</t>
  </si>
  <si>
    <t>50,0</t>
  </si>
  <si>
    <t>52,5</t>
  </si>
  <si>
    <t>95,0</t>
  </si>
  <si>
    <t>Kovaleva Tatyana</t>
  </si>
  <si>
    <t>Juniors 20-23 (11.03.1994)/22</t>
  </si>
  <si>
    <t>52,00</t>
  </si>
  <si>
    <t>102,5</t>
  </si>
  <si>
    <t>107,5</t>
  </si>
  <si>
    <t>62,5</t>
  </si>
  <si>
    <t>67,5</t>
  </si>
  <si>
    <t>110,0</t>
  </si>
  <si>
    <t>115,0</t>
  </si>
  <si>
    <t>120,0</t>
  </si>
  <si>
    <t>Kozhina Regina</t>
  </si>
  <si>
    <t>Juniors 20-23 (21.11.1995)/21</t>
  </si>
  <si>
    <t>51,40</t>
  </si>
  <si>
    <t>57,5</t>
  </si>
  <si>
    <t>100,0</t>
  </si>
  <si>
    <t>Barannikova Viktoriya</t>
  </si>
  <si>
    <t>Juniors 20-23 (25.12.1995)/20</t>
  </si>
  <si>
    <t>51,00</t>
  </si>
  <si>
    <t>37,5</t>
  </si>
  <si>
    <t>85,0</t>
  </si>
  <si>
    <t>Koltsova Olga</t>
  </si>
  <si>
    <t>Open (06.08.1983)/33</t>
  </si>
  <si>
    <t>50,70</t>
  </si>
  <si>
    <t>87,5</t>
  </si>
  <si>
    <t>60,0</t>
  </si>
  <si>
    <t>112,5</t>
  </si>
  <si>
    <t>Tyuleneva Veronika</t>
  </si>
  <si>
    <t>Open (25.11.1992)/24</t>
  </si>
  <si>
    <t>50,90</t>
  </si>
  <si>
    <t>92,5</t>
  </si>
  <si>
    <t>47,5</t>
  </si>
  <si>
    <t>55,0</t>
  </si>
  <si>
    <t>Budkina Tatyana</t>
  </si>
  <si>
    <t>Open (02.04.1979)/37</t>
  </si>
  <si>
    <t>48,50</t>
  </si>
  <si>
    <t>105,0</t>
  </si>
  <si>
    <t>Artemyeva Aleksandra</t>
  </si>
  <si>
    <t>Juniors 20-23 (07.03.1995)/21</t>
  </si>
  <si>
    <t>57,50</t>
  </si>
  <si>
    <t>Okhapkina Svetlana</t>
  </si>
  <si>
    <t>Open (25.02.1977)/39</t>
  </si>
  <si>
    <t>58,60</t>
  </si>
  <si>
    <t>130,0</t>
  </si>
  <si>
    <t>137,5</t>
  </si>
  <si>
    <t>185,0</t>
  </si>
  <si>
    <t>190,0</t>
  </si>
  <si>
    <t>Aftab Golala</t>
  </si>
  <si>
    <t>Open (10.09.1983)/33</t>
  </si>
  <si>
    <t>57,80</t>
  </si>
  <si>
    <t>Finland</t>
  </si>
  <si>
    <t>125,0</t>
  </si>
  <si>
    <t>Obraztsova Tatyana</t>
  </si>
  <si>
    <t>Open (02.07.1979)/37</t>
  </si>
  <si>
    <t>66,80</t>
  </si>
  <si>
    <t>140,0</t>
  </si>
  <si>
    <t>Yepikhina Viktiriya</t>
  </si>
  <si>
    <t>Open (18.04.1991)/25</t>
  </si>
  <si>
    <t>63,40</t>
  </si>
  <si>
    <t>Cherkasova Natalya</t>
  </si>
  <si>
    <t>Masters 40-44 (30.05.1976)/40</t>
  </si>
  <si>
    <t>66,70</t>
  </si>
  <si>
    <t>Kostina Yekaterina</t>
  </si>
  <si>
    <t>Open (30.04.1989)/27</t>
  </si>
  <si>
    <t>72,10</t>
  </si>
  <si>
    <t>145,0</t>
  </si>
  <si>
    <t>160,0</t>
  </si>
  <si>
    <t>Kuzavkova Svetlana</t>
  </si>
  <si>
    <t>Open (22.11.1980)/36</t>
  </si>
  <si>
    <t>68,80</t>
  </si>
  <si>
    <t>Gee Ci</t>
  </si>
  <si>
    <t>Open (18.07.1988)/28</t>
  </si>
  <si>
    <t>58,70</t>
  </si>
  <si>
    <t>196,0</t>
  </si>
  <si>
    <t>205,0</t>
  </si>
  <si>
    <t>Luke Lango</t>
  </si>
  <si>
    <t>Grafov Anton</t>
  </si>
  <si>
    <t>Teen 18-19 (13.03.1997)/19</t>
  </si>
  <si>
    <t>67,50</t>
  </si>
  <si>
    <t>200,0</t>
  </si>
  <si>
    <t>165,0</t>
  </si>
  <si>
    <t>170,0</t>
  </si>
  <si>
    <t>210,0</t>
  </si>
  <si>
    <t>230,0</t>
  </si>
  <si>
    <t>Dushkin Aleksandr</t>
  </si>
  <si>
    <t>Teen 18-19 (02.06.1997)/19</t>
  </si>
  <si>
    <t>67,00</t>
  </si>
  <si>
    <t>152,5</t>
  </si>
  <si>
    <t>157,5</t>
  </si>
  <si>
    <t>Vouazanis Dimitros</t>
  </si>
  <si>
    <t>Juniors 20-23 (18.07.1994)/22</t>
  </si>
  <si>
    <t>Karpov Yevgeniy</t>
  </si>
  <si>
    <t>Open (26.10.1979)/37</t>
  </si>
  <si>
    <t>67,20</t>
  </si>
  <si>
    <t>162,5</t>
  </si>
  <si>
    <t>175,0</t>
  </si>
  <si>
    <t>122,5</t>
  </si>
  <si>
    <t>127,5</t>
  </si>
  <si>
    <t>Lazureykis Pavel</t>
  </si>
  <si>
    <t>Open (11.04.1984)/32</t>
  </si>
  <si>
    <t>64,20</t>
  </si>
  <si>
    <t>Polezhayev Aleksey</t>
  </si>
  <si>
    <t>Juniors 20-23 (24.05.1994)/22</t>
  </si>
  <si>
    <t>73,10</t>
  </si>
  <si>
    <t>132,5</t>
  </si>
  <si>
    <t>195,0</t>
  </si>
  <si>
    <t>Kafash Mikhail</t>
  </si>
  <si>
    <t>Juniors 20-23 (25.02.1996)/20</t>
  </si>
  <si>
    <t>117,5</t>
  </si>
  <si>
    <t>Yudin G.V.</t>
  </si>
  <si>
    <t>Yarilin Ivan</t>
  </si>
  <si>
    <t>Juniors 20-23 (07.12.1993)/23</t>
  </si>
  <si>
    <t>72,80</t>
  </si>
  <si>
    <t>Mikhalkov Sergey</t>
  </si>
  <si>
    <t>Juniors 20-23 (19.06.1995)/21</t>
  </si>
  <si>
    <t>73,70</t>
  </si>
  <si>
    <t>Shirokov Yevgeniy</t>
  </si>
  <si>
    <t>Open (03.12.1988)/28</t>
  </si>
  <si>
    <t>72,90</t>
  </si>
  <si>
    <t>Markevich Sergey</t>
  </si>
  <si>
    <t>Open (31.03.1982)/34</t>
  </si>
  <si>
    <t>72,00</t>
  </si>
  <si>
    <t>Karpeyev Dmitriy</t>
  </si>
  <si>
    <t>Open (24.04.1984)/32</t>
  </si>
  <si>
    <t>80,30</t>
  </si>
  <si>
    <t>142,5</t>
  </si>
  <si>
    <t>215,0</t>
  </si>
  <si>
    <t>232,5</t>
  </si>
  <si>
    <t>237,5</t>
  </si>
  <si>
    <t>Fartuna Ivan</t>
  </si>
  <si>
    <t>Open (06.07.1991)/25</t>
  </si>
  <si>
    <t>81,10</t>
  </si>
  <si>
    <t>Martynyuk Artem</t>
  </si>
  <si>
    <t>Open (08.09.1985)/31</t>
  </si>
  <si>
    <t>80,00</t>
  </si>
  <si>
    <t>Salenkov Nikolay</t>
  </si>
  <si>
    <t>Open (21.06.1989)/27</t>
  </si>
  <si>
    <t>82,00</t>
  </si>
  <si>
    <t>Pervyshin Yevgeniy</t>
  </si>
  <si>
    <t>Masters 40-44 (04.12.1973)/43</t>
  </si>
  <si>
    <t>82,40</t>
  </si>
  <si>
    <t>242,5</t>
  </si>
  <si>
    <t>Shuvayev Anton</t>
  </si>
  <si>
    <t>Teen 18-19 (19.08.1997)/19</t>
  </si>
  <si>
    <t>89,10</t>
  </si>
  <si>
    <t>182,5</t>
  </si>
  <si>
    <t>187,5</t>
  </si>
  <si>
    <t>245,0</t>
  </si>
  <si>
    <t>Pavlov Andrey</t>
  </si>
  <si>
    <t>Juniors 20-23 (08.04.1994)/22</t>
  </si>
  <si>
    <t>86,20</t>
  </si>
  <si>
    <t>Viktorov Aleksandr</t>
  </si>
  <si>
    <t>Juniors 20-23 (28.10.1995)/21</t>
  </si>
  <si>
    <t>87,90</t>
  </si>
  <si>
    <t>Pilat Georgiy</t>
  </si>
  <si>
    <t>Juniors 20-23 (25.01.1993)/23</t>
  </si>
  <si>
    <t>Prikhodko Andrey</t>
  </si>
  <si>
    <t>Open (13.05.1988)/28</t>
  </si>
  <si>
    <t>85,90</t>
  </si>
  <si>
    <t>235,0</t>
  </si>
  <si>
    <t>252,5</t>
  </si>
  <si>
    <t>Levin Aleksandr</t>
  </si>
  <si>
    <t>84,00</t>
  </si>
  <si>
    <t>192,5</t>
  </si>
  <si>
    <t>202,5</t>
  </si>
  <si>
    <t>Kuznetsov Igor</t>
  </si>
  <si>
    <t>Open (02.08.1982)/34</t>
  </si>
  <si>
    <t>88,80</t>
  </si>
  <si>
    <t>Novikov Leonid</t>
  </si>
  <si>
    <t>Open (18.05.1983)/33</t>
  </si>
  <si>
    <t>87,50</t>
  </si>
  <si>
    <t>222,5</t>
  </si>
  <si>
    <t>Fitsios Konstantinos</t>
  </si>
  <si>
    <t>Open (23.12.1978)/37</t>
  </si>
  <si>
    <t>89,80</t>
  </si>
  <si>
    <t>Koletis</t>
  </si>
  <si>
    <t>Akopyan Arsen</t>
  </si>
  <si>
    <t>Masters 45-49 (23.06.1970)/46</t>
  </si>
  <si>
    <t>172,5</t>
  </si>
  <si>
    <t>Tokarev Feliks</t>
  </si>
  <si>
    <t>Teen 16-17 (30.09.1999)/17</t>
  </si>
  <si>
    <t>95,10</t>
  </si>
  <si>
    <t>Vostokov Andrey</t>
  </si>
  <si>
    <t>Open (21.05.1980)/36</t>
  </si>
  <si>
    <t>97,40</t>
  </si>
  <si>
    <t>225,0</t>
  </si>
  <si>
    <t>Viktorov Sergey</t>
  </si>
  <si>
    <t>Open (31.12.1989)/26</t>
  </si>
  <si>
    <t>97,00</t>
  </si>
  <si>
    <t>Nefedov Ilya</t>
  </si>
  <si>
    <t>Masters 40-44 (25.05.1972)/44</t>
  </si>
  <si>
    <t>97,70</t>
  </si>
  <si>
    <t>240,0</t>
  </si>
  <si>
    <t>Makevnin Andrey</t>
  </si>
  <si>
    <t>Masters 55-59 (18.05.1961)/55</t>
  </si>
  <si>
    <t>92,50</t>
  </si>
  <si>
    <t>Bukhman Anton</t>
  </si>
  <si>
    <t>Open (22.08.1988)/28</t>
  </si>
  <si>
    <t>108,30</t>
  </si>
  <si>
    <t>177,5</t>
  </si>
  <si>
    <t>255,0</t>
  </si>
  <si>
    <t>285,0</t>
  </si>
  <si>
    <t>Saeid Shaban</t>
  </si>
  <si>
    <t>Open (18.01.1985)/31</t>
  </si>
  <si>
    <t>110,00</t>
  </si>
  <si>
    <t>Iran</t>
  </si>
  <si>
    <t>Rogov Dmitriy</t>
  </si>
  <si>
    <t>Open (17.12.1978)/37</t>
  </si>
  <si>
    <t>101,70</t>
  </si>
  <si>
    <t>Loginov Dmitriy</t>
  </si>
  <si>
    <t>Open (12.05.1989)/27</t>
  </si>
  <si>
    <t>118,20</t>
  </si>
  <si>
    <t>257,5</t>
  </si>
  <si>
    <t>300,0</t>
  </si>
  <si>
    <t>315,0</t>
  </si>
  <si>
    <t>322,5</t>
  </si>
  <si>
    <t>Ivanov Aleksey</t>
  </si>
  <si>
    <t>114,10</t>
  </si>
  <si>
    <t>Masters 40-44 (16.11.1972)/44</t>
  </si>
  <si>
    <t>Shishkin Andrey</t>
  </si>
  <si>
    <t>Masters 50-54 (02.09.1962)/54</t>
  </si>
  <si>
    <t>111,00</t>
  </si>
  <si>
    <t>Women</t>
  </si>
  <si>
    <t>Juniors</t>
  </si>
  <si>
    <t>Juniors 20-23</t>
  </si>
  <si>
    <t>52</t>
  </si>
  <si>
    <t>290,0</t>
  </si>
  <si>
    <t>60</t>
  </si>
  <si>
    <t>402,5</t>
  </si>
  <si>
    <t>731,9865</t>
  </si>
  <si>
    <t>75</t>
  </si>
  <si>
    <t>392,5</t>
  </si>
  <si>
    <t>619,6790</t>
  </si>
  <si>
    <t>580,1760</t>
  </si>
  <si>
    <t>67.5</t>
  </si>
  <si>
    <t>217,5</t>
  </si>
  <si>
    <t>Teen</t>
  </si>
  <si>
    <t>Teen 18-19</t>
  </si>
  <si>
    <t>Teen 16-17</t>
  </si>
  <si>
    <t>100</t>
  </si>
  <si>
    <t>672,5</t>
  </si>
  <si>
    <t>653,6700</t>
  </si>
  <si>
    <t>125</t>
  </si>
  <si>
    <t>752,5</t>
  </si>
  <si>
    <t>652,4175</t>
  </si>
  <si>
    <t>110</t>
  </si>
  <si>
    <t>710,0</t>
  </si>
  <si>
    <t>631,1900</t>
  </si>
  <si>
    <t>475,0</t>
  </si>
  <si>
    <t>Masters</t>
  </si>
  <si>
    <t>Masters 50-54</t>
  </si>
  <si>
    <t>Masters 40-44</t>
  </si>
  <si>
    <t>Masters 55-59</t>
  </si>
  <si>
    <t>Masters 45-49</t>
  </si>
  <si>
    <t>Grigoryeva Viktoriya</t>
  </si>
  <si>
    <t>Juniors 20-23 (09.06.1995)/21</t>
  </si>
  <si>
    <t>43,50</t>
  </si>
  <si>
    <t>Zavyazkina Darya</t>
  </si>
  <si>
    <t>Juniors 20-23 (04.09.1994)/22</t>
  </si>
  <si>
    <t>51,30</t>
  </si>
  <si>
    <t>Netrebina Galina</t>
  </si>
  <si>
    <t>Open (07.07.1978)/38</t>
  </si>
  <si>
    <t>55,30</t>
  </si>
  <si>
    <t>Solovyeva Yevgeniya</t>
  </si>
  <si>
    <t>Open (20.12.1981)/34</t>
  </si>
  <si>
    <t>53,50</t>
  </si>
  <si>
    <t>Tikhonova Tatyana</t>
  </si>
  <si>
    <t>Teen 18-19 (10.09.1997)/19</t>
  </si>
  <si>
    <t>59,40</t>
  </si>
  <si>
    <t>Shishkina Olesya</t>
  </si>
  <si>
    <t>Juniors 20-23 (15.10.1994)/22</t>
  </si>
  <si>
    <t>59,50</t>
  </si>
  <si>
    <t>Open (15.10.1994)/22</t>
  </si>
  <si>
    <t>Yemeleva Yelena</t>
  </si>
  <si>
    <t>Masters 40-44 (11.07.1976)/40</t>
  </si>
  <si>
    <t>59,20</t>
  </si>
  <si>
    <t>Stepanova Anna</t>
  </si>
  <si>
    <t>Masters 55-59 (15.02.1957)/59</t>
  </si>
  <si>
    <t>59,00</t>
  </si>
  <si>
    <t>Povolotskaya Aleksandra</t>
  </si>
  <si>
    <t>Juniors 20-23 (10.07.1993)/23</t>
  </si>
  <si>
    <t>62,40</t>
  </si>
  <si>
    <t>Open (10.07.1993)/23</t>
  </si>
  <si>
    <t>Skornyakova Anna</t>
  </si>
  <si>
    <t>Open (27.09.1991)/25</t>
  </si>
  <si>
    <t>67,30</t>
  </si>
  <si>
    <t>Prokhina Yelena</t>
  </si>
  <si>
    <t>Open (01.06.1983)/33</t>
  </si>
  <si>
    <t>64,50</t>
  </si>
  <si>
    <t>Makarova Yuliya</t>
  </si>
  <si>
    <t>Masters 45-49 (30.06.1969)/47</t>
  </si>
  <si>
    <t>65,60</t>
  </si>
  <si>
    <t>Yakovleva Yelena</t>
  </si>
  <si>
    <t>Open (01.04.1991)/25</t>
  </si>
  <si>
    <t>74,90</t>
  </si>
  <si>
    <t>Khlebodarova Alina</t>
  </si>
  <si>
    <t>Open (18.08.1989)/27</t>
  </si>
  <si>
    <t>Chizhov Danila</t>
  </si>
  <si>
    <t>Teen 13-15 (06.12.2002)/14</t>
  </si>
  <si>
    <t>54,20</t>
  </si>
  <si>
    <t>Kupryushin Andrey</t>
  </si>
  <si>
    <t>Teen 18-19 (17.05.1997)/19</t>
  </si>
  <si>
    <t>Sabzi Eidi</t>
  </si>
  <si>
    <t>Open (14.12.1989)/26</t>
  </si>
  <si>
    <t>60,00</t>
  </si>
  <si>
    <t>Stepurin Aleksandr</t>
  </si>
  <si>
    <t>Juniors 20-23 (16.06.1993)/23</t>
  </si>
  <si>
    <t>62,30</t>
  </si>
  <si>
    <t>Zolotarev Nikolay</t>
  </si>
  <si>
    <t>Juniors 20-23 (14.02.1995)/21</t>
  </si>
  <si>
    <t>Dyachenko Ivan</t>
  </si>
  <si>
    <t>Open (01.01.1986)/30</t>
  </si>
  <si>
    <t>65,40</t>
  </si>
  <si>
    <t>262,5</t>
  </si>
  <si>
    <t>Sukhobok Maksim</t>
  </si>
  <si>
    <t>Open (01.01.1965)/51</t>
  </si>
  <si>
    <t>65,20</t>
  </si>
  <si>
    <t>212,5</t>
  </si>
  <si>
    <t>Mkrtumyan Suren</t>
  </si>
  <si>
    <t>Open (15.01.1989)/27</t>
  </si>
  <si>
    <t>197,5</t>
  </si>
  <si>
    <t>Masters 50-54 (01.01.1965)/51</t>
  </si>
  <si>
    <t>Obukhov Nikolay</t>
  </si>
  <si>
    <t>Masters 60-64 (02.04.1953)/63</t>
  </si>
  <si>
    <t>67,40</t>
  </si>
  <si>
    <t>Tarasov Rodion</t>
  </si>
  <si>
    <t>Teen 16-17 (12.03.1999)/17</t>
  </si>
  <si>
    <t>71,50</t>
  </si>
  <si>
    <t>207,5</t>
  </si>
  <si>
    <t>220,5</t>
  </si>
  <si>
    <t>Mizonov Nikita</t>
  </si>
  <si>
    <t>Teen 16-17 (22.05.1999)/17</t>
  </si>
  <si>
    <t>73,00</t>
  </si>
  <si>
    <t>Kotsis Vasileios</t>
  </si>
  <si>
    <t>Juniors 20-23 (08.07.1993)/23</t>
  </si>
  <si>
    <t>71,20</t>
  </si>
  <si>
    <t>Chetvergov Mikhail</t>
  </si>
  <si>
    <t>Open (19.09.1984)/32</t>
  </si>
  <si>
    <t>72,70</t>
  </si>
  <si>
    <t>227,5</t>
  </si>
  <si>
    <t>Chetvergov Sergey</t>
  </si>
  <si>
    <t>Open (20.06.1987)/29</t>
  </si>
  <si>
    <t>74,00</t>
  </si>
  <si>
    <t>Open (12.03.1999)/17</t>
  </si>
  <si>
    <t>Shchemenenko Vadim</t>
  </si>
  <si>
    <t>Open (21.01.1989)/27</t>
  </si>
  <si>
    <t>73,20</t>
  </si>
  <si>
    <t>Kostikov Mikhail</t>
  </si>
  <si>
    <t>Open (29.06.1975)/41</t>
  </si>
  <si>
    <t>74,80</t>
  </si>
  <si>
    <t>Koukoulakis Nikolaos</t>
  </si>
  <si>
    <t>Masters 45-49 (03.11.1969)/47</t>
  </si>
  <si>
    <t>Sehovic Sejfo</t>
  </si>
  <si>
    <t>Masters 55-59 (13.08.1959)/57</t>
  </si>
  <si>
    <t>Kozhedub Andrey</t>
  </si>
  <si>
    <t>Juniors 20-23 (19.12.1993)/22</t>
  </si>
  <si>
    <t>82,30</t>
  </si>
  <si>
    <t>Maleyev Dmitriy</t>
  </si>
  <si>
    <t>Open (07.02.1990)/26</t>
  </si>
  <si>
    <t>81,80</t>
  </si>
  <si>
    <t>Ganichkin Andrey</t>
  </si>
  <si>
    <t>Open (09.08.1984)/32</t>
  </si>
  <si>
    <t>79,90</t>
  </si>
  <si>
    <t>Lednev Kirill</t>
  </si>
  <si>
    <t>Open (05.04.1987)/29</t>
  </si>
  <si>
    <t>81,40</t>
  </si>
  <si>
    <t>Doronin Sergey</t>
  </si>
  <si>
    <t>Open (07.07.1983)/33</t>
  </si>
  <si>
    <t>75,10</t>
  </si>
  <si>
    <t>Bovinov Vyacheslav</t>
  </si>
  <si>
    <t>Open (16.06.1980)/36</t>
  </si>
  <si>
    <t>Kononov Yevgeniy</t>
  </si>
  <si>
    <t>Open (10.01.1986)/30</t>
  </si>
  <si>
    <t>79,70</t>
  </si>
  <si>
    <t>Likholay Aleksandr</t>
  </si>
  <si>
    <t>Masters 75-79 (22.02.1939)/77</t>
  </si>
  <si>
    <t>77,90</t>
  </si>
  <si>
    <t>Goncharov Denis</t>
  </si>
  <si>
    <t>Juniors 20-23 (19.11.1996)/20</t>
  </si>
  <si>
    <t>Petrov Yegor</t>
  </si>
  <si>
    <t>Juniors 20-23 (09.05.1996)/20</t>
  </si>
  <si>
    <t>88,20</t>
  </si>
  <si>
    <t>Matveyev Maksim</t>
  </si>
  <si>
    <t>Open (10.08.1981)/35</t>
  </si>
  <si>
    <t>86,70</t>
  </si>
  <si>
    <t>Zheludev Vitaliy</t>
  </si>
  <si>
    <t>Open (09.02.1985)/31</t>
  </si>
  <si>
    <t>87,70</t>
  </si>
  <si>
    <t>Gubanov Yuriy</t>
  </si>
  <si>
    <t>Open (06.03.1987)/29</t>
  </si>
  <si>
    <t>88,40</t>
  </si>
  <si>
    <t>Kolesov Z.</t>
  </si>
  <si>
    <t>Zotov Sergey</t>
  </si>
  <si>
    <t>Open (14.09.1983)/33</t>
  </si>
  <si>
    <t>Alyautdinov Aleksandr</t>
  </si>
  <si>
    <t>Open (26.09.1984)/32</t>
  </si>
  <si>
    <t>86,00</t>
  </si>
  <si>
    <t>Karyotis Panagiotis</t>
  </si>
  <si>
    <t>Open (04.08.1984)/32</t>
  </si>
  <si>
    <t>87,80</t>
  </si>
  <si>
    <t>Luis Zerpa</t>
  </si>
  <si>
    <t>Masters 50-54 (17.12.1965)/50</t>
  </si>
  <si>
    <t>87,00</t>
  </si>
  <si>
    <t>Peru</t>
  </si>
  <si>
    <t>Nemchinov Aleksandr</t>
  </si>
  <si>
    <t>Masters 65-69 (10.11.1951)/65</t>
  </si>
  <si>
    <t>88,50</t>
  </si>
  <si>
    <t>Rallis Dimitrios</t>
  </si>
  <si>
    <t>Open (14.09.1988)/28</t>
  </si>
  <si>
    <t>99,20</t>
  </si>
  <si>
    <t>Kuzmin Anton</t>
  </si>
  <si>
    <t>Open (06.04.1978)/38</t>
  </si>
  <si>
    <t>98,80</t>
  </si>
  <si>
    <t>Maentymaeki Mikko</t>
  </si>
  <si>
    <t>Open (29.09.1971)/45</t>
  </si>
  <si>
    <t>99,40</t>
  </si>
  <si>
    <t>Karev Aleksey</t>
  </si>
  <si>
    <t>Open (31.08.1979)/37</t>
  </si>
  <si>
    <t>94,10</t>
  </si>
  <si>
    <t>Smirnov Aleksey</t>
  </si>
  <si>
    <t>Open (22.09.1977)/39</t>
  </si>
  <si>
    <t>98,00</t>
  </si>
  <si>
    <t>Zamani Reza</t>
  </si>
  <si>
    <t>Sub Masters 33-39 (21.04.1977)/39</t>
  </si>
  <si>
    <t>98,60</t>
  </si>
  <si>
    <t>Bychkov Pavel</t>
  </si>
  <si>
    <t>Masters 40-44 (19.08.1975)/41</t>
  </si>
  <si>
    <t>95,90</t>
  </si>
  <si>
    <t>Alexopoulos Konstantinos</t>
  </si>
  <si>
    <t>Masters 45-49 (03.11.1968)/48</t>
  </si>
  <si>
    <t>98,10</t>
  </si>
  <si>
    <t>Greece</t>
  </si>
  <si>
    <t>Masters 45-49 (29.09.1971)/45</t>
  </si>
  <si>
    <t>Plenkin Denis</t>
  </si>
  <si>
    <t>Masters 40-44 (19.05.1974)/42</t>
  </si>
  <si>
    <t>101,50</t>
  </si>
  <si>
    <t>Lukyanov Sergey</t>
  </si>
  <si>
    <t>Masters 60-64 (25.10.1955)/61</t>
  </si>
  <si>
    <t>107,20</t>
  </si>
  <si>
    <t>Zaychuk Igor</t>
  </si>
  <si>
    <t>Open (02.12.1989)/27</t>
  </si>
  <si>
    <t>110,90</t>
  </si>
  <si>
    <t>Nurutdinov Tabriz</t>
  </si>
  <si>
    <t>Open (31.07.1981)/35</t>
  </si>
  <si>
    <t>116,70</t>
  </si>
  <si>
    <t>Tromaras Konstantinos</t>
  </si>
  <si>
    <t>Open (20.11.1989)/27</t>
  </si>
  <si>
    <t>Marizas Emmanouil</t>
  </si>
  <si>
    <t>Open (12.02.1990)/26</t>
  </si>
  <si>
    <t>142,80</t>
  </si>
  <si>
    <t>272,5</t>
  </si>
  <si>
    <t>278,2250</t>
  </si>
  <si>
    <t>233,1450</t>
  </si>
  <si>
    <t>336,4410</t>
  </si>
  <si>
    <t>56</t>
  </si>
  <si>
    <t>323,4525</t>
  </si>
  <si>
    <t>302,0220</t>
  </si>
  <si>
    <t>297,7200</t>
  </si>
  <si>
    <t>140+</t>
  </si>
  <si>
    <t>Masters 65-69</t>
  </si>
  <si>
    <t>360,1937</t>
  </si>
  <si>
    <t>352,7617</t>
  </si>
  <si>
    <t>343,5935</t>
  </si>
  <si>
    <t>Popova Alena</t>
  </si>
  <si>
    <t>Open (28.10.1986)/30</t>
  </si>
  <si>
    <t>50,10</t>
  </si>
  <si>
    <t>Morozova Olga</t>
  </si>
  <si>
    <t>Open (19.05.1976)/40</t>
  </si>
  <si>
    <t>54,80</t>
  </si>
  <si>
    <t>Masters 40-44 (19.05.1976)/40</t>
  </si>
  <si>
    <t>Isayeva Irina</t>
  </si>
  <si>
    <t>Teen 16-17 (11.08.2000)/16</t>
  </si>
  <si>
    <t>Markina Viktoriya</t>
  </si>
  <si>
    <t>Teen 18-19 (16.12.1997)/18</t>
  </si>
  <si>
    <t>58,50</t>
  </si>
  <si>
    <t>Dudareva Yekaterina</t>
  </si>
  <si>
    <t>Open (08.11.1993)/23</t>
  </si>
  <si>
    <t>Open (11.08.2000)/16</t>
  </si>
  <si>
    <t>Kaznakova Irina</t>
  </si>
  <si>
    <t>Open (05.10.1988)/28</t>
  </si>
  <si>
    <t>64,00</t>
  </si>
  <si>
    <t>67,35</t>
  </si>
  <si>
    <t>Churzin Aleksandr</t>
  </si>
  <si>
    <t>Juniors 20-23 (22.08.1995)/21</t>
  </si>
  <si>
    <t>82,10</t>
  </si>
  <si>
    <t>Skorobogatov A.</t>
  </si>
  <si>
    <t>Open (04.12.1973)/43</t>
  </si>
  <si>
    <t>Ilyasov Danil</t>
  </si>
  <si>
    <t>Open (08.03.1992)/24</t>
  </si>
  <si>
    <t>85,10</t>
  </si>
  <si>
    <t>Kulakov Mikhail</t>
  </si>
  <si>
    <t>Open (01.05.1986)/30</t>
  </si>
  <si>
    <t>105,20</t>
  </si>
  <si>
    <t>480,0</t>
  </si>
  <si>
    <t>476,3520</t>
  </si>
  <si>
    <t>436,1450</t>
  </si>
  <si>
    <t>415,0</t>
  </si>
  <si>
    <t>53,90</t>
  </si>
  <si>
    <t>Juniors 20-23 (22.03.1995)/21</t>
  </si>
  <si>
    <t>66,10</t>
  </si>
  <si>
    <t>Rostami Nejad</t>
  </si>
  <si>
    <t>Open (16.12.1985)/30</t>
  </si>
  <si>
    <t>81,70</t>
  </si>
  <si>
    <t>89,70</t>
  </si>
  <si>
    <t>85,00</t>
  </si>
  <si>
    <t>88,70</t>
  </si>
  <si>
    <t>89,00</t>
  </si>
  <si>
    <t>Open (03.11.1968)/48</t>
  </si>
  <si>
    <t>65,70</t>
  </si>
  <si>
    <t>74,30</t>
  </si>
  <si>
    <t>96,60</t>
  </si>
  <si>
    <t>Konchakova Natalya</t>
  </si>
  <si>
    <t>Open (14.08.1977)/39</t>
  </si>
  <si>
    <t>147,5</t>
  </si>
  <si>
    <t>Zazulyak Irina</t>
  </si>
  <si>
    <t>Juniors 20-23 (31.07.1993)/23</t>
  </si>
  <si>
    <t>Petelova Yana</t>
  </si>
  <si>
    <t>Open (12.04.1990)/26</t>
  </si>
  <si>
    <t>56,00</t>
  </si>
  <si>
    <t>Postnova Ilina</t>
  </si>
  <si>
    <t>Open (16.06.1985)/31</t>
  </si>
  <si>
    <t>54,50</t>
  </si>
  <si>
    <t>Ryamayeva Lyudmila</t>
  </si>
  <si>
    <t>Open (12.01.1980)/36</t>
  </si>
  <si>
    <t>59,70</t>
  </si>
  <si>
    <t>Nenartovich Dmitriy</t>
  </si>
  <si>
    <t>Veredina Oksana</t>
  </si>
  <si>
    <t>Open (23.11.1987)/29</t>
  </si>
  <si>
    <t>Tyurbeneva Mariya</t>
  </si>
  <si>
    <t>Open (26.03.1981)/35</t>
  </si>
  <si>
    <t>62,10</t>
  </si>
  <si>
    <t>Pogula Yekaterina</t>
  </si>
  <si>
    <t>Masters 40-44 (28.04.1972)/44</t>
  </si>
  <si>
    <t>35,0</t>
  </si>
  <si>
    <t>Burnashov Vladimir</t>
  </si>
  <si>
    <t>Teen 13-15 (15.11.2002)/14</t>
  </si>
  <si>
    <t>Ganzha Danila</t>
  </si>
  <si>
    <t>Teen 13-15 (24.01.2001)/15</t>
  </si>
  <si>
    <t>58,00</t>
  </si>
  <si>
    <t>Filatov Yegor</t>
  </si>
  <si>
    <t>Juniors 20-23 (22.04.1993)/23</t>
  </si>
  <si>
    <t>65,00</t>
  </si>
  <si>
    <t>Zelenyy Oleg</t>
  </si>
  <si>
    <t>Open (21.12.1984)/31</t>
  </si>
  <si>
    <t>Chuvashayev Vadim</t>
  </si>
  <si>
    <t>Teen 16-17 (01.06.2000)/16</t>
  </si>
  <si>
    <t>191,0</t>
  </si>
  <si>
    <t>Pisarev Aleksandr</t>
  </si>
  <si>
    <t>Teen 18-19 (05.06.1998)/18</t>
  </si>
  <si>
    <t>Slotyuk Yegor</t>
  </si>
  <si>
    <t>71,70</t>
  </si>
  <si>
    <t>Open (05.06.1998)/18</t>
  </si>
  <si>
    <t>Lukin Dmitriy</t>
  </si>
  <si>
    <t>Open (05.01.1991)/25</t>
  </si>
  <si>
    <t>Garcia Carrillo-Exal</t>
  </si>
  <si>
    <t>Open (14.04.1984)/32</t>
  </si>
  <si>
    <t>Kapustkin Pavel</t>
  </si>
  <si>
    <t>Open (20.07.1986)/30</t>
  </si>
  <si>
    <t>81,60</t>
  </si>
  <si>
    <t>Rogachev Ilya</t>
  </si>
  <si>
    <t>Open (25.02.1983)/33</t>
  </si>
  <si>
    <t>Yashin Viktor</t>
  </si>
  <si>
    <t>Open (29.10.1989)/27</t>
  </si>
  <si>
    <t>76,50</t>
  </si>
  <si>
    <t>Kazaryan Artak</t>
  </si>
  <si>
    <t>Teen 16-17 (25.05.2000)/16</t>
  </si>
  <si>
    <t>84,40</t>
  </si>
  <si>
    <t>Petrosyan Gor</t>
  </si>
  <si>
    <t>Juniors 20-23 (27.06.1994)/22</t>
  </si>
  <si>
    <t>88,60</t>
  </si>
  <si>
    <t>Klyauzov Sergey</t>
  </si>
  <si>
    <t>Open (28.01.1990)/26</t>
  </si>
  <si>
    <t>Sobtsov Dmitriy</t>
  </si>
  <si>
    <t>Open (04.06.1991)/25</t>
  </si>
  <si>
    <t>Khorkov Vyacheslav</t>
  </si>
  <si>
    <t>Open (25.10.1979)/37</t>
  </si>
  <si>
    <t>Keshavarz Javad</t>
  </si>
  <si>
    <t>Open (25.07.1979)/37</t>
  </si>
  <si>
    <t>Murzin Anton</t>
  </si>
  <si>
    <t>Teen 18-19 (03.02.1998)/18</t>
  </si>
  <si>
    <t>92,70</t>
  </si>
  <si>
    <t>190,5</t>
  </si>
  <si>
    <t>98,20</t>
  </si>
  <si>
    <t>305,0</t>
  </si>
  <si>
    <t>Safronov Roman</t>
  </si>
  <si>
    <t>Open (04.08.1989)/27</t>
  </si>
  <si>
    <t>96,50</t>
  </si>
  <si>
    <t>Bormalev Leonid</t>
  </si>
  <si>
    <t>Open (10.03.1990)/26</t>
  </si>
  <si>
    <t>Maslennikov Maksim</t>
  </si>
  <si>
    <t>94,30</t>
  </si>
  <si>
    <t>Marinovic Hrvoje</t>
  </si>
  <si>
    <t>Juniors 20-23 (05.01.1996)/20</t>
  </si>
  <si>
    <t>106,50</t>
  </si>
  <si>
    <t>261,0</t>
  </si>
  <si>
    <t>266,0</t>
  </si>
  <si>
    <t>276,0</t>
  </si>
  <si>
    <t>Open (21.12.1987)/28</t>
  </si>
  <si>
    <t>108,00</t>
  </si>
  <si>
    <t>247,5</t>
  </si>
  <si>
    <t>Petrosyan Gevorg</t>
  </si>
  <si>
    <t>Open (18.09.1992)/24</t>
  </si>
  <si>
    <t>106,70</t>
  </si>
  <si>
    <t>Troshin Andrey</t>
  </si>
  <si>
    <t>Open (08.06.1984)/32</t>
  </si>
  <si>
    <t>106,80</t>
  </si>
  <si>
    <t>Aldo Ulises</t>
  </si>
  <si>
    <t>Masters 50-54 (01.03.1966)/50</t>
  </si>
  <si>
    <t>105,30</t>
  </si>
  <si>
    <t>Trdatyan Levon</t>
  </si>
  <si>
    <t>Open (28.11.1980)/36</t>
  </si>
  <si>
    <t>118,50</t>
  </si>
  <si>
    <t>114,00</t>
  </si>
  <si>
    <t>Dluzhnevskiy Dmitriy</t>
  </si>
  <si>
    <t>Open (28.10.1983)/33</t>
  </si>
  <si>
    <t>128,30</t>
  </si>
  <si>
    <t>340,0</t>
  </si>
  <si>
    <t>726,7840</t>
  </si>
  <si>
    <t>310,0</t>
  </si>
  <si>
    <t>554,9620</t>
  </si>
  <si>
    <t>277,5</t>
  </si>
  <si>
    <t>544,7325</t>
  </si>
  <si>
    <t>540,0</t>
  </si>
  <si>
    <t>312,5</t>
  </si>
  <si>
    <t>342,5</t>
  </si>
  <si>
    <t>530,0</t>
  </si>
  <si>
    <t>689,0000</t>
  </si>
  <si>
    <t>745,0</t>
  </si>
  <si>
    <t>687,0390</t>
  </si>
  <si>
    <t>755,0</t>
  </si>
  <si>
    <t>666,2120</t>
  </si>
  <si>
    <t>140</t>
  </si>
  <si>
    <t>Leonova Vesta</t>
  </si>
  <si>
    <t>Open (30.03.1991)/25</t>
  </si>
  <si>
    <t>47,10</t>
  </si>
  <si>
    <t>Fedorinov Denis</t>
  </si>
  <si>
    <t>Masters 40-44 (16.10.1974)/42</t>
  </si>
  <si>
    <t>Popov Maksim</t>
  </si>
  <si>
    <t>Open (03.09.1984)/32</t>
  </si>
  <si>
    <t>66,40</t>
  </si>
  <si>
    <t>Yudin Grigoriy</t>
  </si>
  <si>
    <t>Open (06.06.1985)/31</t>
  </si>
  <si>
    <t>80,10</t>
  </si>
  <si>
    <t>Kiselev Ivan</t>
  </si>
  <si>
    <t>Masters 55-59 (17.10.1961)/55</t>
  </si>
  <si>
    <t>Gredyagin Aleksandr</t>
  </si>
  <si>
    <t>Open (17.11.1974)/42</t>
  </si>
  <si>
    <t>97,90</t>
  </si>
  <si>
    <t>Masters 40-44 (17.11.1974)/42</t>
  </si>
  <si>
    <t>Rurua Tariyel</t>
  </si>
  <si>
    <t>Open (14.04.1979)/37</t>
  </si>
  <si>
    <t>101,90</t>
  </si>
  <si>
    <t>Shaposhnikov Aleksey</t>
  </si>
  <si>
    <t>Open (03.10.1990)/26</t>
  </si>
  <si>
    <t>106,60</t>
  </si>
  <si>
    <t>269,3600</t>
  </si>
  <si>
    <t>263,2000</t>
  </si>
  <si>
    <t>248,9940</t>
  </si>
  <si>
    <t>Place</t>
  </si>
  <si>
    <t>0</t>
  </si>
  <si>
    <t>Ustinov N.</t>
  </si>
  <si>
    <t>Nikitenko L.</t>
  </si>
  <si>
    <t>Zobov L.</t>
  </si>
  <si>
    <t>Ukolova V.</t>
  </si>
  <si>
    <t>Kravchunov A.</t>
  </si>
  <si>
    <t>Chakryan A.</t>
  </si>
  <si>
    <t>Nenartovich D.</t>
  </si>
  <si>
    <t>Vjekoslav Karaka</t>
  </si>
  <si>
    <t>Alyshev N.</t>
  </si>
  <si>
    <t>Ushkov I.</t>
  </si>
  <si>
    <t>Zaytsev V.</t>
  </si>
  <si>
    <t>Chumichev S.</t>
  </si>
  <si>
    <t>Mokhov S.</t>
  </si>
  <si>
    <t>Lepeshenkov V.</t>
  </si>
  <si>
    <t>Yukhanov A.</t>
  </si>
  <si>
    <t>Fuad Mandi</t>
  </si>
  <si>
    <t>Tsvetkov V.</t>
  </si>
  <si>
    <t>Gusev K.</t>
  </si>
  <si>
    <t>Tysyachnyuk Y.</t>
  </si>
  <si>
    <t>Melnikov A.</t>
  </si>
  <si>
    <t>Burnashov V.</t>
  </si>
  <si>
    <t>Tsvetkov A.</t>
  </si>
  <si>
    <t>Kochetov A.</t>
  </si>
  <si>
    <t>Isakov P.</t>
  </si>
  <si>
    <t>52,0</t>
  </si>
  <si>
    <t>Sukhobok M.</t>
  </si>
  <si>
    <t>Alimbekov R.</t>
  </si>
  <si>
    <t>Kondakov A.</t>
  </si>
  <si>
    <t>Dudareva Y.</t>
  </si>
  <si>
    <t>Pervyshin Y.</t>
  </si>
  <si>
    <t>Mazurkevich M.</t>
  </si>
  <si>
    <t>Bakhtin N.</t>
  </si>
  <si>
    <t>Pryakhin S.</t>
  </si>
  <si>
    <t>Maletskaya S.</t>
  </si>
  <si>
    <t>Shel Fetengof D.</t>
  </si>
  <si>
    <t>Marchenko V.</t>
  </si>
  <si>
    <t>Karpyuk B.</t>
  </si>
  <si>
    <t>Yudin S.</t>
  </si>
  <si>
    <t>Urazov V.</t>
  </si>
  <si>
    <t>Karandashev V.</t>
  </si>
  <si>
    <t>Guzev P.</t>
  </si>
  <si>
    <t>Koval M.</t>
  </si>
  <si>
    <t>Rodionova D.</t>
  </si>
  <si>
    <t>Polyakov A.</t>
  </si>
  <si>
    <t>Charov M.</t>
  </si>
  <si>
    <t>Maleyev D.</t>
  </si>
  <si>
    <t>Nikulin A.</t>
  </si>
  <si>
    <t>Zubkov P.</t>
  </si>
  <si>
    <t>Osiyev A.</t>
  </si>
  <si>
    <t>Chabanov V.</t>
  </si>
  <si>
    <t>Kotelnikov G.</t>
  </si>
  <si>
    <t>Yevdokushin S.</t>
  </si>
  <si>
    <t>Kulyasov S.</t>
  </si>
  <si>
    <t>Kostenko Y.</t>
  </si>
  <si>
    <t>Belkin Y.</t>
  </si>
  <si>
    <t>Bobrov V.</t>
  </si>
  <si>
    <t>Smirnov D.</t>
  </si>
  <si>
    <t>Bardin V.</t>
  </si>
  <si>
    <t>Petrovskiy A.</t>
  </si>
  <si>
    <t>Pecherskiy A.</t>
  </si>
  <si>
    <t>Fartuna I.</t>
  </si>
  <si>
    <t>Karpeyev M.</t>
  </si>
  <si>
    <t>Ivanov V.</t>
  </si>
  <si>
    <t>Papesko A.</t>
  </si>
  <si>
    <t>Presnyakov V.</t>
  </si>
  <si>
    <t>Bazanov S.</t>
  </si>
  <si>
    <t>Khudayarov A.</t>
  </si>
  <si>
    <t xml:space="preserve">Urazov V. </t>
  </si>
  <si>
    <t>Sharapov I.</t>
  </si>
  <si>
    <t>Lomova O.</t>
  </si>
  <si>
    <t>Ivachev A.</t>
  </si>
  <si>
    <t>Pivovarov V.</t>
  </si>
  <si>
    <t>Sakharova E.</t>
  </si>
  <si>
    <t xml:space="preserve"> </t>
  </si>
  <si>
    <t>Country/Town/Region</t>
  </si>
  <si>
    <t>Russia/Moskva/Moskovskaya oblast</t>
  </si>
  <si>
    <t>Russia/Velsk/Arkhangelskaya oblast</t>
  </si>
  <si>
    <t>Russia/Zhukovskiy/Moskovskaya oblast</t>
  </si>
  <si>
    <t>Russia/Dolgoprudnyy/Moskovskaya oblast</t>
  </si>
  <si>
    <t>Russia/Dubna/Moskovskaya oblast</t>
  </si>
  <si>
    <t>Russia/Kazan/Tatarstan</t>
  </si>
  <si>
    <t>Russia/Buy/Kostromskaya oblast</t>
  </si>
  <si>
    <t>Russia/Kubinka/Moskovskaya oblast</t>
  </si>
  <si>
    <t>Russia/Orekhovo-Zuyevo/Moskovskaya oblast</t>
  </si>
  <si>
    <t>Russia/Tver/Tverskaya oblast</t>
  </si>
  <si>
    <t>Russia/Orenburg/Orenburgskaya oblast</t>
  </si>
  <si>
    <t>Russia/Vologda/Vologodskaya oblast</t>
  </si>
  <si>
    <t>Russia/Elektrostal/Moskovskaya oblast</t>
  </si>
  <si>
    <t>Russia/Saratov/Saratovskaya oblast</t>
  </si>
  <si>
    <t>Russia/Yegoryevsk/Moskovskaya oblast</t>
  </si>
  <si>
    <t>Russia/Klimovsk/Moskovskaya oblast</t>
  </si>
  <si>
    <t>Russia/Sergiyev-Posad/Moskovskaya</t>
  </si>
  <si>
    <t>Russia/Solnechnogorsk/Moskovskaya oblast</t>
  </si>
  <si>
    <t>Russia/Pavlovskiy Posad/Moskovskaya oblast</t>
  </si>
  <si>
    <t xml:space="preserve">Tryfinopoulos Kontantinos </t>
  </si>
  <si>
    <t>Tryfinopoulos Kontantinos</t>
  </si>
  <si>
    <t xml:space="preserve">Kostenko Y. </t>
  </si>
  <si>
    <t>Greece/Athina/</t>
  </si>
  <si>
    <t xml:space="preserve">Greece/Athina/ </t>
  </si>
  <si>
    <t xml:space="preserve">Greece/Afiny/ </t>
  </si>
  <si>
    <t>Greece/Gliwice/Silesia</t>
  </si>
  <si>
    <t>Ukraina/Kiyev/</t>
  </si>
  <si>
    <t>Iran/Iecava/</t>
  </si>
  <si>
    <t>Peru/Pefki/Attiki</t>
  </si>
  <si>
    <t>Chile</t>
  </si>
  <si>
    <t>Chile/Vina del Mar/Valparaiso/</t>
  </si>
  <si>
    <t>Bosnia and Herzegovina</t>
  </si>
  <si>
    <t>Bosnia and Herzegovina/Sarajevo/Kanton Sarajevo/</t>
  </si>
  <si>
    <t>Greece/Afiny/</t>
  </si>
  <si>
    <t>Greece/Cholargos/</t>
  </si>
  <si>
    <t>Croatia</t>
  </si>
  <si>
    <t>Croatia/Zadar/Dalmacija</t>
  </si>
  <si>
    <t>Russia/Pushkino/Moskovskaya oblast</t>
  </si>
  <si>
    <t>Russia/Bogoroditsk/Tulskaya oblast</t>
  </si>
  <si>
    <t>Russia/Petrozavodsk/Kareliya</t>
  </si>
  <si>
    <t>Russia/Ramenskoye/Moskovskaya oblast</t>
  </si>
  <si>
    <t>Iran/Iecava</t>
  </si>
  <si>
    <t>Russia/Reutov/Moskovskaya oblast</t>
  </si>
  <si>
    <t>Russia/Nizhniy Novgorod/Nizhegorodskaya oblast</t>
  </si>
  <si>
    <t>Russia/Sankt-Peterburg/Leningradskaya oblast</t>
  </si>
  <si>
    <t>Russia/Vidnoye/Moskovskaya oblast</t>
  </si>
  <si>
    <t>Russia/Klintsy/Bryanskaya oblast</t>
  </si>
  <si>
    <t>Russia/Novorzhev/Pskovskaya oblast</t>
  </si>
  <si>
    <t>Russia/Belgorod/Belgorodskaya oblast</t>
  </si>
  <si>
    <t>Russia/Chekhov/Moskovskaya oblast</t>
  </si>
  <si>
    <t>Russia/Korolev/Moskovskaya oblast</t>
  </si>
  <si>
    <t>Russia/Penza/Penzenskaya oblast</t>
  </si>
  <si>
    <t>Russia/Domodedovo/Moskovskaya oblast</t>
  </si>
  <si>
    <t>Russia/Kirovsk/Leningradskaya oblast</t>
  </si>
  <si>
    <t>Russia/Zheleznodorozhnyy/Moskovskaya oblast</t>
  </si>
  <si>
    <t>Moldova</t>
  </si>
  <si>
    <t>Finland/Turku/</t>
  </si>
  <si>
    <t>Russia/Artisan Tim</t>
  </si>
  <si>
    <t>Russia/Olimp</t>
  </si>
  <si>
    <t>Russia/Viktoria</t>
  </si>
  <si>
    <t>Russia/100 pudov</t>
  </si>
  <si>
    <t>Russia/Artisan Team</t>
  </si>
  <si>
    <t xml:space="preserve">Russia/Lider </t>
  </si>
  <si>
    <t>Russia/Lider</t>
  </si>
  <si>
    <t>Russia/Sportiv</t>
  </si>
  <si>
    <t>Russia/NNtop</t>
  </si>
  <si>
    <t>Russia/Viktoriya</t>
  </si>
  <si>
    <t>Russia/Bogoroditsk-strong</t>
  </si>
  <si>
    <t>Moldova/Kishinev/</t>
  </si>
  <si>
    <t>Malaysia</t>
  </si>
  <si>
    <t>Malaysia/Subang Jaya/Selangor</t>
  </si>
  <si>
    <t>Greece/Thessaloniki/</t>
  </si>
  <si>
    <t>Russia/Grad Kresta</t>
  </si>
  <si>
    <t>Russia/Team A</t>
  </si>
  <si>
    <t>Russia/Podolsk/Moskovskaya oblast</t>
  </si>
  <si>
    <t>Russia/Roshal/Moskovskaya oblast</t>
  </si>
  <si>
    <t>Russia/Chkalovsk/Nizhegorodskaya oblast</t>
  </si>
  <si>
    <t>Greece/Cholargos</t>
  </si>
  <si>
    <t xml:space="preserve">Iran/Sananday/ </t>
  </si>
  <si>
    <t>Bosnia and Herzegovina/Sarajevo/Kanton Sarajevo</t>
  </si>
  <si>
    <t>Russia/Stavropol/Stavropolskiy kray</t>
  </si>
  <si>
    <t>Russia/Gubkin/Belgorodskaya oblast</t>
  </si>
  <si>
    <t>Russia/Mytishchi/Moskovskaya oblast</t>
  </si>
  <si>
    <t>Russia/Sharya/Kostromskaya oblast</t>
  </si>
  <si>
    <t>Russia/Volgograd/Volgogradskaya oblast</t>
  </si>
  <si>
    <t>Russia/Murom/Vladimirskaya oblast</t>
  </si>
  <si>
    <t>Russia/Novyy gorodok/Moskovskaya oblast</t>
  </si>
  <si>
    <t>Russia/Dzerzhinsk/Nizhegorodskaya oblast</t>
  </si>
  <si>
    <t>Russia/Cherepovets/Vologodskaya oblast</t>
  </si>
  <si>
    <t>Russia/Lobnya/Moskovskaya oblast</t>
  </si>
  <si>
    <t>Russia/Uzlovaya/Tulskaya oblast</t>
  </si>
  <si>
    <t>Russia/Dyatkovo/Bryanskaya oblast</t>
  </si>
  <si>
    <t>Russia/Tula/Tulskaya oblast</t>
  </si>
  <si>
    <t>Russia/Velikiy Ustyug/Vologodskaya oblast</t>
  </si>
  <si>
    <t>Russia/Kostroma/Kostromskaya oblast</t>
  </si>
  <si>
    <t>Russia/Bryansk/Bryanskaya oblast</t>
  </si>
  <si>
    <t>1</t>
  </si>
  <si>
    <t>Open (16.10.1983)/33</t>
  </si>
  <si>
    <t>55,50</t>
  </si>
  <si>
    <t>Belyak Marina</t>
  </si>
  <si>
    <t>Masters 45-49 (28.11.1967)/49</t>
  </si>
  <si>
    <t>55,70</t>
  </si>
  <si>
    <t>Open (28.05.1974)/42</t>
  </si>
  <si>
    <t>65,90</t>
  </si>
  <si>
    <t>Open (28.01.1987)/29</t>
  </si>
  <si>
    <t>63,70</t>
  </si>
  <si>
    <t>Open (10.06.1987)/29</t>
  </si>
  <si>
    <t>74,50</t>
  </si>
  <si>
    <t>Open (04.09.1982)/34</t>
  </si>
  <si>
    <t>Open (31.01.1987)/29</t>
  </si>
  <si>
    <t>Open (21.03.1983)/33</t>
  </si>
  <si>
    <t>Rybakov D.</t>
  </si>
  <si>
    <t>Yaroshenko Irina</t>
  </si>
  <si>
    <t>Open (04.12.1986)/30</t>
  </si>
  <si>
    <t>104,40</t>
  </si>
  <si>
    <t>Juniors 20-23 (12.07.1994)/22</t>
  </si>
  <si>
    <t>Open (01.07.1992)/24</t>
  </si>
  <si>
    <t>Masters 75-79 (20.06.1937)/79</t>
  </si>
  <si>
    <t>Juniors 20-23 (04.07.1995)/21</t>
  </si>
  <si>
    <t>72,20</t>
  </si>
  <si>
    <t>Open (10.09.1986)/30</t>
  </si>
  <si>
    <t>Mozhayev Sergey</t>
  </si>
  <si>
    <t>Teen 16-17 (14.06.1999)/17</t>
  </si>
  <si>
    <t>79,20</t>
  </si>
  <si>
    <t>165,5</t>
  </si>
  <si>
    <t>Skorobogatov Aleksandr</t>
  </si>
  <si>
    <t>Juniors 20-23 (31.05.1995)/21</t>
  </si>
  <si>
    <t>Juniors 20-23 (09.07.1993)/23</t>
  </si>
  <si>
    <t>78,10</t>
  </si>
  <si>
    <t>Open (28.02.1983)/33</t>
  </si>
  <si>
    <t>295,0</t>
  </si>
  <si>
    <t>Open (23.12.1991)/24</t>
  </si>
  <si>
    <t>267,5</t>
  </si>
  <si>
    <t>Open (22.12.1985)/30</t>
  </si>
  <si>
    <t>Open (12.04.1983)/33</t>
  </si>
  <si>
    <t>81,00</t>
  </si>
  <si>
    <t>Open (25.10.1981)/35</t>
  </si>
  <si>
    <t>Masters 50-54 (19.04.1965)/51</t>
  </si>
  <si>
    <t>100,5</t>
  </si>
  <si>
    <t>Rami Anttila</t>
  </si>
  <si>
    <t>Masters 55-59 (03.01.1957)/59</t>
  </si>
  <si>
    <t>77,50</t>
  </si>
  <si>
    <t>Juniors 20-23 (02.11.1994)/22</t>
  </si>
  <si>
    <t>Open (04.02.1991)/25</t>
  </si>
  <si>
    <t>Udalov Andrey</t>
  </si>
  <si>
    <t>Open (02.11.1994)/22</t>
  </si>
  <si>
    <t>Open (07.12.1986)/30</t>
  </si>
  <si>
    <t>Open (26.04.1984)/32</t>
  </si>
  <si>
    <t>88,90</t>
  </si>
  <si>
    <t>Open (02.05.1987)/29</t>
  </si>
  <si>
    <t>89,20</t>
  </si>
  <si>
    <t>Open (29.04.1989)/27</t>
  </si>
  <si>
    <t>86,40</t>
  </si>
  <si>
    <t>Sidorov Igor</t>
  </si>
  <si>
    <t>Open (08.01.1987)/29</t>
  </si>
  <si>
    <t>Sizov Aleksey</t>
  </si>
  <si>
    <t>Open (11.12.1979)/36</t>
  </si>
  <si>
    <t>94,00</t>
  </si>
  <si>
    <t>297,5</t>
  </si>
  <si>
    <t>Podvizhnoy Denis</t>
  </si>
  <si>
    <t>Open (29.06.1977)/39</t>
  </si>
  <si>
    <t>98,70</t>
  </si>
  <si>
    <t>Mishchenko Sergey</t>
  </si>
  <si>
    <t>Open (21.07.1988)/28</t>
  </si>
  <si>
    <t>98,50</t>
  </si>
  <si>
    <t>Moiseyev Sergey</t>
  </si>
  <si>
    <t>Open (24.08.1977)/39</t>
  </si>
  <si>
    <t>Zamp Nikolay</t>
  </si>
  <si>
    <t>Open (02.03.1990)/26</t>
  </si>
  <si>
    <t>96,30</t>
  </si>
  <si>
    <t>Melikhov Dmitriy</t>
  </si>
  <si>
    <t>Open (19.09.1979)/37</t>
  </si>
  <si>
    <t>Ushkov Ilya</t>
  </si>
  <si>
    <t>Masters 40-44 (21.06.1976)/40</t>
  </si>
  <si>
    <t>282,5</t>
  </si>
  <si>
    <t>Chupryakov Igor</t>
  </si>
  <si>
    <t>Masters 40-44 (31.08.1975)/41</t>
  </si>
  <si>
    <t>97,80</t>
  </si>
  <si>
    <t>Shishkin Aleksandr</t>
  </si>
  <si>
    <t>Masters 40-44 (27.10.1975)/41</t>
  </si>
  <si>
    <t>245,5</t>
  </si>
  <si>
    <t>Saul Salazar</t>
  </si>
  <si>
    <t>Masters 50-54 (03.02.1964)/52</t>
  </si>
  <si>
    <t>97,50</t>
  </si>
  <si>
    <t>Teen 18-19 (02.02.1997)/19</t>
  </si>
  <si>
    <t>103,50</t>
  </si>
  <si>
    <t>Open (30.07.1981)/35</t>
  </si>
  <si>
    <t>101,00</t>
  </si>
  <si>
    <t>Open (11.05.1992)/24</t>
  </si>
  <si>
    <t>Open (26.07.1991)/25</t>
  </si>
  <si>
    <t>109,50</t>
  </si>
  <si>
    <t>Masters 45-49 (30.10.1971)/45</t>
  </si>
  <si>
    <t>109,70</t>
  </si>
  <si>
    <t>Open (01.09.1986)/30</t>
  </si>
  <si>
    <t>111,40</t>
  </si>
  <si>
    <t>Open (03.09.1983)/33</t>
  </si>
  <si>
    <t>113,00</t>
  </si>
  <si>
    <t>Masters 40-44 (02.04.1976)/40</t>
  </si>
  <si>
    <t>134,40</t>
  </si>
  <si>
    <t>Knysh Viktoriya</t>
  </si>
  <si>
    <t>550,0</t>
  </si>
  <si>
    <t>788,3700</t>
  </si>
  <si>
    <t>100+</t>
  </si>
  <si>
    <t>570,0</t>
  </si>
  <si>
    <t>767,4480</t>
  </si>
  <si>
    <t>Kostrova Olga</t>
  </si>
  <si>
    <t>691,2240</t>
  </si>
  <si>
    <t>Romanova Anna</t>
  </si>
  <si>
    <t>Astakhov Aleksandr</t>
  </si>
  <si>
    <t>Kulikov Dmitriy</t>
  </si>
  <si>
    <t>Shungarov Eduard</t>
  </si>
  <si>
    <t>320,0</t>
  </si>
  <si>
    <t>Shalokha Arkadiy</t>
  </si>
  <si>
    <t>750,0</t>
  </si>
  <si>
    <t>778,8000</t>
  </si>
  <si>
    <t>Bobrov Vitaliy</t>
  </si>
  <si>
    <t>800,0</t>
  </si>
  <si>
    <t>728,8000</t>
  </si>
  <si>
    <t>Koval Maksim</t>
  </si>
  <si>
    <t>697,5</t>
  </si>
  <si>
    <t>722,3310</t>
  </si>
  <si>
    <t>717,5</t>
  </si>
  <si>
    <t>Sharov Aleksandr</t>
  </si>
  <si>
    <t>Ruzin Ernst</t>
  </si>
  <si>
    <t>Masters 75-79</t>
  </si>
  <si>
    <t>365,0</t>
  </si>
  <si>
    <t>1023,4863</t>
  </si>
  <si>
    <t>Shnaider Anatoly</t>
  </si>
  <si>
    <t>507,5</t>
  </si>
  <si>
    <t>742,6755</t>
  </si>
  <si>
    <t>659,9565</t>
  </si>
  <si>
    <t xml:space="preserve">Kostrova Olga </t>
  </si>
  <si>
    <t xml:space="preserve">Zlydennaya Tatyana </t>
  </si>
  <si>
    <t xml:space="preserve">Chernina Elina </t>
  </si>
  <si>
    <t xml:space="preserve">Doga Viktoriya </t>
  </si>
  <si>
    <t xml:space="preserve">Klintsova Mariya </t>
  </si>
  <si>
    <t>Sanin Leontiy</t>
  </si>
  <si>
    <t xml:space="preserve">Ruzin Ernst </t>
  </si>
  <si>
    <t xml:space="preserve">Kozinets Aleksey </t>
  </si>
  <si>
    <t xml:space="preserve">Yeginov Ivan </t>
  </si>
  <si>
    <t xml:space="preserve">Suleymanov Vladislav </t>
  </si>
  <si>
    <t xml:space="preserve">Sheff Pavel </t>
  </si>
  <si>
    <t xml:space="preserve">Shalokha Arkadiy </t>
  </si>
  <si>
    <t xml:space="preserve">Koval Maksim </t>
  </si>
  <si>
    <t xml:space="preserve">Zubkov Pavel </t>
  </si>
  <si>
    <t xml:space="preserve">Gutsu Vadim </t>
  </si>
  <si>
    <t xml:space="preserve">Pekka Anttila </t>
  </si>
  <si>
    <t xml:space="preserve">Udalov Andrey </t>
  </si>
  <si>
    <t xml:space="preserve">Cherednichenko Aleksandr </t>
  </si>
  <si>
    <t xml:space="preserve">Sheykin Aleksey </t>
  </si>
  <si>
    <t xml:space="preserve">Sakharov Yuriy </t>
  </si>
  <si>
    <t xml:space="preserve">Postanogov Gennadiy </t>
  </si>
  <si>
    <t xml:space="preserve">Mitropoulos Paraskevas </t>
  </si>
  <si>
    <t xml:space="preserve">Presnyakov Vladimir </t>
  </si>
  <si>
    <t xml:space="preserve">Bobrov Vitaliy </t>
  </si>
  <si>
    <t xml:space="preserve">Kovalenko Kirill </t>
  </si>
  <si>
    <t xml:space="preserve">Kosterin Valeriy </t>
  </si>
  <si>
    <t xml:space="preserve">Sharapov Igor </t>
  </si>
  <si>
    <t xml:space="preserve">Sekov Mikhail </t>
  </si>
  <si>
    <t xml:space="preserve">Alferov Igor </t>
  </si>
  <si>
    <t>Russia/MIREA</t>
  </si>
  <si>
    <t>Russia/100pudov</t>
  </si>
  <si>
    <t>Taranukhin G.</t>
  </si>
  <si>
    <t>Talikova N.</t>
  </si>
  <si>
    <t>Kobelev D.</t>
  </si>
  <si>
    <t>Postnov D.</t>
  </si>
  <si>
    <t>Mozhayev S.</t>
  </si>
  <si>
    <t>Sokolov N.</t>
  </si>
  <si>
    <t>Astakhov D.</t>
  </si>
  <si>
    <t>Averyanov A.</t>
  </si>
  <si>
    <t>Bardin V</t>
  </si>
  <si>
    <t>Rassokhin A.</t>
  </si>
  <si>
    <t>Piklyayev D.</t>
  </si>
  <si>
    <t>Cherednichenko A.</t>
  </si>
  <si>
    <t>Stepanov. A.</t>
  </si>
  <si>
    <t xml:space="preserve">Zverev </t>
  </si>
  <si>
    <t>Lomov I.</t>
  </si>
  <si>
    <t>Open (08.07.1979)/37</t>
  </si>
  <si>
    <t>Amy Elaine</t>
  </si>
  <si>
    <t>Open (01.10.1972)/44</t>
  </si>
  <si>
    <t>USA</t>
  </si>
  <si>
    <t>Masters 40-44 (01.10.1972)/44</t>
  </si>
  <si>
    <t>Teen 18-19 (25.05.1997)/19</t>
  </si>
  <si>
    <t>63,20</t>
  </si>
  <si>
    <t>Open (13.01.1992)/24</t>
  </si>
  <si>
    <t>66,50</t>
  </si>
  <si>
    <t>Sitdikov Kirill</t>
  </si>
  <si>
    <t>Juniors 20-23 (31.10.1993)/23</t>
  </si>
  <si>
    <t>Open (07.12.1983)/33</t>
  </si>
  <si>
    <t>Open (31.12.1990)/25</t>
  </si>
  <si>
    <t>Sirotin Vyacheslav</t>
  </si>
  <si>
    <t>Open (09.08.1987)/29</t>
  </si>
  <si>
    <t>72,60</t>
  </si>
  <si>
    <t>Open (23.11.1983)/33</t>
  </si>
  <si>
    <t>77,40</t>
  </si>
  <si>
    <t>Open (17.07.1986)/30</t>
  </si>
  <si>
    <t>Semin Vasiliy</t>
  </si>
  <si>
    <t>78,90</t>
  </si>
  <si>
    <t>Open (17.09.1989)/27</t>
  </si>
  <si>
    <t>84,70</t>
  </si>
  <si>
    <t>Konchakov Vladimir</t>
  </si>
  <si>
    <t>Open (25.05.1973)/43</t>
  </si>
  <si>
    <t>85,40</t>
  </si>
  <si>
    <t>Chepornov</t>
  </si>
  <si>
    <t>Open (16.03.1987)/29</t>
  </si>
  <si>
    <t>Kochevatkin Dkhmitriy</t>
  </si>
  <si>
    <t>Open (18.02.1976)/40</t>
  </si>
  <si>
    <t>Masters 40-44 (25.05.1973)/43</t>
  </si>
  <si>
    <t>Masters 40-44 (31.05.1974)/42</t>
  </si>
  <si>
    <t>Masters 40-44 (18.02.1976)/40</t>
  </si>
  <si>
    <t>Masters 45-49 (21.10.1967)/49</t>
  </si>
  <si>
    <t>88,10</t>
  </si>
  <si>
    <t>Mamedov Emin</t>
  </si>
  <si>
    <t>Open (31.08.1974)/42</t>
  </si>
  <si>
    <t>330,0</t>
  </si>
  <si>
    <t>360,0</t>
  </si>
  <si>
    <t>380,0</t>
  </si>
  <si>
    <t>Tesaruk Sergey</t>
  </si>
  <si>
    <t>Open (07.05.1984)/32</t>
  </si>
  <si>
    <t>Masters 40-44 (31.08.1974)/42</t>
  </si>
  <si>
    <t>Paradiz Georgiy</t>
  </si>
  <si>
    <t>Masters 40-44 (14.05.1975)/41</t>
  </si>
  <si>
    <t>Open (05.07.1981)/35</t>
  </si>
  <si>
    <t>Open (09.11.1978)/38</t>
  </si>
  <si>
    <t>Chebykin Andrey</t>
  </si>
  <si>
    <t>Open (26.03.1976)/40</t>
  </si>
  <si>
    <t>Shkudas Vladislav</t>
  </si>
  <si>
    <t>Open (30.03.1989)/27</t>
  </si>
  <si>
    <t>101,80</t>
  </si>
  <si>
    <t>Millrany Kenneth</t>
  </si>
  <si>
    <t>Open (22.01.1963)/53</t>
  </si>
  <si>
    <t>106,00</t>
  </si>
  <si>
    <t>Olkhovskiy Aleksandr</t>
  </si>
  <si>
    <t>Open (25.12.1978)/37</t>
  </si>
  <si>
    <t>109,10</t>
  </si>
  <si>
    <t>Sub Masters 33-39 (01.09.1978)/38</t>
  </si>
  <si>
    <t>105,00</t>
  </si>
  <si>
    <t>Masters 40-44 (26.03.1976)/40</t>
  </si>
  <si>
    <t>Masters 50-54 (25.03.1965)/51</t>
  </si>
  <si>
    <t>Masters 50-54 (22.01.1963)/53</t>
  </si>
  <si>
    <t>Masters 60-64 (02.03.1955)/61</t>
  </si>
  <si>
    <t>108,70</t>
  </si>
  <si>
    <t>Open (02.03.1976)/40</t>
  </si>
  <si>
    <t>113,70</t>
  </si>
  <si>
    <t>Kryzhanovskiy Konstantin</t>
  </si>
  <si>
    <t>Open (14.03.1975)/41</t>
  </si>
  <si>
    <t>Masters 40-44 (14.12.1971)/44</t>
  </si>
  <si>
    <t>Masters 40-44 (27.06.1975)/41</t>
  </si>
  <si>
    <t>115,80</t>
  </si>
  <si>
    <t>Masters 40-44 (14.03.1975)/41</t>
  </si>
  <si>
    <t>Azimov Sharof</t>
  </si>
  <si>
    <t>Masters 40-44 (15.10.1972)/44</t>
  </si>
  <si>
    <t>115,20</t>
  </si>
  <si>
    <t>Open (24.06.1976)/40</t>
  </si>
  <si>
    <t>139,00</t>
  </si>
  <si>
    <t>325,0</t>
  </si>
  <si>
    <t>Gelo Nikhore</t>
  </si>
  <si>
    <t>Open (03.09.1991)/25</t>
  </si>
  <si>
    <t>136,00</t>
  </si>
  <si>
    <t>Babak Ghosiyani</t>
  </si>
  <si>
    <t>Zamani Danial</t>
  </si>
  <si>
    <t>Guzev Pavel</t>
  </si>
  <si>
    <t>Open (29.05.1966)/50</t>
  </si>
  <si>
    <t>129,30</t>
  </si>
  <si>
    <t>Masters 50-54 (29.05.1966)/50</t>
  </si>
  <si>
    <t>Rankin Bejerano</t>
  </si>
  <si>
    <t>Open (07.10.1975)/41</t>
  </si>
  <si>
    <t>Cuba</t>
  </si>
  <si>
    <t>Masters 40-44 (07.10.1975)/41</t>
  </si>
  <si>
    <t>Medvedeva Yuliya</t>
  </si>
  <si>
    <t>332,7120</t>
  </si>
  <si>
    <t>Kayava Kirill</t>
  </si>
  <si>
    <t>277,5960</t>
  </si>
  <si>
    <t>266,1750</t>
  </si>
  <si>
    <t>Sibalakov Vladimir</t>
  </si>
  <si>
    <t>Knyazev Yuriy</t>
  </si>
  <si>
    <t>Kopyttsev Denis</t>
  </si>
  <si>
    <t>337,3700</t>
  </si>
  <si>
    <t>Abdyushev Eduard</t>
  </si>
  <si>
    <t>Masters 60-64</t>
  </si>
  <si>
    <t>275,5196</t>
  </si>
  <si>
    <t>257,7216</t>
  </si>
  <si>
    <t>Urazov Vladimir</t>
  </si>
  <si>
    <t>Grigoryev Andrey</t>
  </si>
  <si>
    <t>Ushkov D.</t>
  </si>
  <si>
    <t>Zalutskiy R.</t>
  </si>
  <si>
    <t>Yudin G.</t>
  </si>
  <si>
    <t>Silushin A.</t>
  </si>
  <si>
    <t>Abdullin M.</t>
  </si>
  <si>
    <t>Popova O.</t>
  </si>
  <si>
    <t>Li A.</t>
  </si>
  <si>
    <t>Muratkin A.</t>
  </si>
  <si>
    <t>Kryzhynovskiy K.</t>
  </si>
  <si>
    <t>Kashirin A.</t>
  </si>
  <si>
    <t>Paradiz G.</t>
  </si>
  <si>
    <t>Kokorev I.</t>
  </si>
  <si>
    <t>Mamedov E.</t>
  </si>
  <si>
    <t xml:space="preserve">Amy Elaine </t>
  </si>
  <si>
    <t xml:space="preserve">Bobryshev Daniil </t>
  </si>
  <si>
    <t xml:space="preserve">Popov Denis </t>
  </si>
  <si>
    <t xml:space="preserve">Yeremin Yuriy </t>
  </si>
  <si>
    <t xml:space="preserve">Dvoryadkin Pavel </t>
  </si>
  <si>
    <t xml:space="preserve">Silushin Pavel </t>
  </si>
  <si>
    <t xml:space="preserve">Semenikhin Ivan </t>
  </si>
  <si>
    <t xml:space="preserve">Uglichin Ilya </t>
  </si>
  <si>
    <t xml:space="preserve">Popov Sergey </t>
  </si>
  <si>
    <t xml:space="preserve">Kochevatkin Dkhmitriy </t>
  </si>
  <si>
    <t xml:space="preserve">Kurochkin Valeriy </t>
  </si>
  <si>
    <t xml:space="preserve">Milos Cecenovic </t>
  </si>
  <si>
    <t xml:space="preserve">Chebykin Andrey </t>
  </si>
  <si>
    <t xml:space="preserve">Zhukov Andrey </t>
  </si>
  <si>
    <t xml:space="preserve">Medvedev Aleksandr </t>
  </si>
  <si>
    <t xml:space="preserve">Belyayev Denis </t>
  </si>
  <si>
    <t xml:space="preserve">Kryzhanovskiy Konstantin </t>
  </si>
  <si>
    <t xml:space="preserve">Kayava Kirill </t>
  </si>
  <si>
    <t xml:space="preserve">Zamani Danial </t>
  </si>
  <si>
    <t>Russia/Okskiye bogateri</t>
  </si>
  <si>
    <t>Open (15.05.1990)/26</t>
  </si>
  <si>
    <t>55,20</t>
  </si>
  <si>
    <t>Open (13.07.1987)/29</t>
  </si>
  <si>
    <t>Masters 40-44 (04.06.1976)/40</t>
  </si>
  <si>
    <t>Open (01.11.1982)/34</t>
  </si>
  <si>
    <t>81,30</t>
  </si>
  <si>
    <t>Open (08.03.1984)/32</t>
  </si>
  <si>
    <t>Sentjurje/Sentvid pri Sticni</t>
  </si>
  <si>
    <t>Open (08.07.1986)/30</t>
  </si>
  <si>
    <t>81,90</t>
  </si>
  <si>
    <t>Open (16.04.1988)/28</t>
  </si>
  <si>
    <t>Fedyukov Daniil</t>
  </si>
  <si>
    <t>Teen 18-19 (21.01.1997)/19</t>
  </si>
  <si>
    <t>99,70</t>
  </si>
  <si>
    <t>Open (21.01.1997)/19</t>
  </si>
  <si>
    <t>Open (12.04.1980)/36</t>
  </si>
  <si>
    <t>102,20</t>
  </si>
  <si>
    <t>Open (23.11.1978)/38</t>
  </si>
  <si>
    <t>Open (30.10.1980)/36</t>
  </si>
  <si>
    <t>117,90</t>
  </si>
  <si>
    <t>Open (07.09.1982)/34</t>
  </si>
  <si>
    <t>118,70</t>
  </si>
  <si>
    <t>Sapounakis Pantelis</t>
  </si>
  <si>
    <t>Sub Masters 33-39 (30.10.1980)/36</t>
  </si>
  <si>
    <t>Nikulin Aleksey</t>
  </si>
  <si>
    <t>343,3980</t>
  </si>
  <si>
    <t>Simon Stopar</t>
  </si>
  <si>
    <t>295,1460</t>
  </si>
  <si>
    <t>277,5680</t>
  </si>
  <si>
    <t>Slovenija</t>
  </si>
  <si>
    <t>Sheyko B.</t>
  </si>
  <si>
    <t>Bukina V.</t>
  </si>
  <si>
    <t xml:space="preserve">Golob Marisa </t>
  </si>
  <si>
    <t xml:space="preserve">Rek Aleksandr </t>
  </si>
  <si>
    <t xml:space="preserve">Gregorcic Erni </t>
  </si>
  <si>
    <t xml:space="preserve">Nikulin Aleksey </t>
  </si>
  <si>
    <t xml:space="preserve">Simon Stopar </t>
  </si>
  <si>
    <t xml:space="preserve">Markin Aleksey </t>
  </si>
  <si>
    <t xml:space="preserve">Pavlov Andrey </t>
  </si>
  <si>
    <t xml:space="preserve">Zolotarenok Andrey </t>
  </si>
  <si>
    <t xml:space="preserve">Sapounakis Pantelis </t>
  </si>
  <si>
    <t xml:space="preserve">Liouras Athanasios </t>
  </si>
  <si>
    <t>Bukina V</t>
  </si>
  <si>
    <t>Zadkov Konstantin</t>
  </si>
  <si>
    <t>Open (16.06.1982)/34</t>
  </si>
  <si>
    <t>105,10</t>
  </si>
  <si>
    <t>Gregorcic Erni</t>
  </si>
  <si>
    <t>Masters 45-49 (05.03.1971)/45</t>
  </si>
  <si>
    <t>80,60</t>
  </si>
  <si>
    <t>Open (23.07.1984)/32</t>
  </si>
  <si>
    <t>89,90</t>
  </si>
  <si>
    <t>Open (21.06.1976)/40</t>
  </si>
  <si>
    <t>Rassokhin Aleksandr</t>
  </si>
  <si>
    <t>Strulev Aleksey</t>
  </si>
  <si>
    <t>Masters 45-49 (19.03.1971)/45</t>
  </si>
  <si>
    <t>96,40</t>
  </si>
  <si>
    <t>Vdovushkin</t>
  </si>
  <si>
    <t>Gnatko Vitaliy</t>
  </si>
  <si>
    <t>Masters 55-59 (30.07.1961)/55</t>
  </si>
  <si>
    <t>94,40</t>
  </si>
  <si>
    <t>Gorokhov Ye.</t>
  </si>
  <si>
    <t>Open (07.03.1988)/28</t>
  </si>
  <si>
    <t>104,50</t>
  </si>
  <si>
    <t>243,4000</t>
  </si>
  <si>
    <t>257,4500</t>
  </si>
  <si>
    <t>250,6455</t>
  </si>
  <si>
    <t>Cherednichenko Aleksandr</t>
  </si>
  <si>
    <t>Mitropoulos Paraskevas</t>
  </si>
  <si>
    <t>Degtyarev Vladimir</t>
  </si>
  <si>
    <t>Yevsyutkin Aleksandr</t>
  </si>
  <si>
    <t xml:space="preserve">Kulikov Dmitriy </t>
  </si>
  <si>
    <t xml:space="preserve">Sagitov Marat </t>
  </si>
  <si>
    <t xml:space="preserve">Yevsyutkin Aleksandr </t>
  </si>
  <si>
    <t>Zverev O.</t>
  </si>
  <si>
    <t>Open (20.04.1990)/26</t>
  </si>
  <si>
    <t>46,70</t>
  </si>
  <si>
    <t>172,0</t>
  </si>
  <si>
    <t>80,5</t>
  </si>
  <si>
    <t>Masters 70-74 (12.04.1942)/74</t>
  </si>
  <si>
    <t>45,00</t>
  </si>
  <si>
    <t>Teen 16-17 (23.07.2000)/16</t>
  </si>
  <si>
    <t>59,60</t>
  </si>
  <si>
    <t>Open (26.02.1987)/29</t>
  </si>
  <si>
    <t>Teen 18-19 (14.08.1997)/19</t>
  </si>
  <si>
    <t>64,80</t>
  </si>
  <si>
    <t>Gonzalez Caterine</t>
  </si>
  <si>
    <t>Open (14.08.1997)/19</t>
  </si>
  <si>
    <t>Open (24.01.1988)/28</t>
  </si>
  <si>
    <t>Khudayarov Anna</t>
  </si>
  <si>
    <t>124,0</t>
  </si>
  <si>
    <t>Open (01.11.1991)/25</t>
  </si>
  <si>
    <t>58,80</t>
  </si>
  <si>
    <t>Open (12.05.1984)/32</t>
  </si>
  <si>
    <t>223,0</t>
  </si>
  <si>
    <t>Vaskelainen Jani</t>
  </si>
  <si>
    <t>Juniors 20-23 (07.02.1994)/22</t>
  </si>
  <si>
    <t>Teplyakov Dmitriy</t>
  </si>
  <si>
    <t>Open (04.03.1974)/42</t>
  </si>
  <si>
    <t>241,0</t>
  </si>
  <si>
    <t>Masters 40-44 (04.03.1974)/42</t>
  </si>
  <si>
    <t>Juniors 20-23 (16.11.1994)/22</t>
  </si>
  <si>
    <t>301,0</t>
  </si>
  <si>
    <t>Juniors 20-23 (21.08.1996)/20</t>
  </si>
  <si>
    <t>Juniors 20-23 (14.05.1993)/23</t>
  </si>
  <si>
    <t>79,40</t>
  </si>
  <si>
    <t>Novogolub Oleg</t>
  </si>
  <si>
    <t>Juniors 20-23 (27.01.1995)/21</t>
  </si>
  <si>
    <t>78,60</t>
  </si>
  <si>
    <t>Repin Nikita</t>
  </si>
  <si>
    <t>Juniors 20-23 (20.02.1995)/21</t>
  </si>
  <si>
    <t>345,0</t>
  </si>
  <si>
    <t>Open (29.06.1988)/28</t>
  </si>
  <si>
    <t>306,0</t>
  </si>
  <si>
    <t>Pryakhin Stanislav</t>
  </si>
  <si>
    <t>Open (18.03.1975)/41</t>
  </si>
  <si>
    <t>82,50</t>
  </si>
  <si>
    <t>287,5</t>
  </si>
  <si>
    <t>Open (27.01.1995)/21</t>
  </si>
  <si>
    <t>Masters 40-44 (18.03.1975)/41</t>
  </si>
  <si>
    <t>Masters 40-44 (29.05.1974)/42</t>
  </si>
  <si>
    <t>Masters 45-49 (19.07.1968)/48</t>
  </si>
  <si>
    <t>Masters 50-54 (19.08.1966)/50</t>
  </si>
  <si>
    <t>103,0</t>
  </si>
  <si>
    <t>103,5</t>
  </si>
  <si>
    <t>Juniors 20-23 (14.02.1993)/23</t>
  </si>
  <si>
    <t>Open (02.07.1991)/25</t>
  </si>
  <si>
    <t>302,5</t>
  </si>
  <si>
    <t>307,5</t>
  </si>
  <si>
    <t>Open (15.05.1987)/29</t>
  </si>
  <si>
    <t>88,00</t>
  </si>
  <si>
    <t>Open (03.12.1986)/30</t>
  </si>
  <si>
    <t>Open (13.10.1990)/26</t>
  </si>
  <si>
    <t>Open (05.01.1982)/34</t>
  </si>
  <si>
    <t>Masters 40-44 (27.07.1974)/42</t>
  </si>
  <si>
    <t>89,40</t>
  </si>
  <si>
    <t>Gaysin Ruslan</t>
  </si>
  <si>
    <t>Teen 16-17 (13.12.1998)/17</t>
  </si>
  <si>
    <t>99,60</t>
  </si>
  <si>
    <t>Anfinogenov Kirill</t>
  </si>
  <si>
    <t>Teen 18-19 (06.03.1998)/18</t>
  </si>
  <si>
    <t>94,70</t>
  </si>
  <si>
    <t>Konyukhov Daniil</t>
  </si>
  <si>
    <t>Juniors 20-23 (12.04.1994)/22</t>
  </si>
  <si>
    <t>97,30</t>
  </si>
  <si>
    <t>Golyshev</t>
  </si>
  <si>
    <t>Osiyev Aleksandr</t>
  </si>
  <si>
    <t>Open (15.08.1976)/40</t>
  </si>
  <si>
    <t>95,70</t>
  </si>
  <si>
    <t>Vitovskiy Vasiliy</t>
  </si>
  <si>
    <t>Open (06.01.1960)/56</t>
  </si>
  <si>
    <t>Drobotov Yevgeniy</t>
  </si>
  <si>
    <t>Open (16.08.1987)/29</t>
  </si>
  <si>
    <t>Tikhonov German</t>
  </si>
  <si>
    <t>Open (23.10.1992)/24</t>
  </si>
  <si>
    <t>92,20</t>
  </si>
  <si>
    <t>Proskuryakov Aleksey</t>
  </si>
  <si>
    <t>Open (19.06.1984)/32</t>
  </si>
  <si>
    <t>Pilipishko Nikolay</t>
  </si>
  <si>
    <t>Masters 40-44 (15.08.1976)/40</t>
  </si>
  <si>
    <t>Asaturov Valeriy</t>
  </si>
  <si>
    <t>Masters 50-54 (10.10.1966)/50</t>
  </si>
  <si>
    <t>Masters 55-59 (06.01.1960)/56</t>
  </si>
  <si>
    <t>Tsvetkov Aleksandr</t>
  </si>
  <si>
    <t>Masters 55-59 (10.04.1957)/59</t>
  </si>
  <si>
    <t>97,10</t>
  </si>
  <si>
    <t>Teen 18-19 (01.02.1998)/18</t>
  </si>
  <si>
    <t>337,5</t>
  </si>
  <si>
    <t>292,5</t>
  </si>
  <si>
    <t>Open (27.12.1988)/27</t>
  </si>
  <si>
    <t>108,50</t>
  </si>
  <si>
    <t>Open (21.07.1984)/32</t>
  </si>
  <si>
    <t>106,20</t>
  </si>
  <si>
    <t>Open (16.09.1981)/35</t>
  </si>
  <si>
    <t>103,70</t>
  </si>
  <si>
    <t>Brasil</t>
  </si>
  <si>
    <t>Open (29.02.1980)/36</t>
  </si>
  <si>
    <t>Maksimov Eduard</t>
  </si>
  <si>
    <t>Open (20.11.1971)/45</t>
  </si>
  <si>
    <t>Open (23.11.1977)/39</t>
  </si>
  <si>
    <t>India</t>
  </si>
  <si>
    <t>Open (05.08.1993)/23</t>
  </si>
  <si>
    <t>107,70</t>
  </si>
  <si>
    <t>Mukarrum Mohammed-Azamathulla</t>
  </si>
  <si>
    <t>Sub Masters 33-39 (23.11.1977)/39</t>
  </si>
  <si>
    <t>Masters 45-49 (20.11.1971)/45</t>
  </si>
  <si>
    <t>104,80</t>
  </si>
  <si>
    <t>Juniors 20-23 (02.04.1993)/23</t>
  </si>
  <si>
    <t>119,20</t>
  </si>
  <si>
    <t>352,5</t>
  </si>
  <si>
    <t>321,0</t>
  </si>
  <si>
    <t>Bebenin Grigoriy</t>
  </si>
  <si>
    <t>Open (02.04.1993)/23</t>
  </si>
  <si>
    <t>Open (26.03.1980)/36</t>
  </si>
  <si>
    <t>114,40</t>
  </si>
  <si>
    <t>Open (15.11.1980)/36</t>
  </si>
  <si>
    <t>129,00</t>
  </si>
  <si>
    <t>Hondadakeri Raghavendr-Shivanand</t>
  </si>
  <si>
    <t>Sub Masters 33-39 (15.11.1980)/36</t>
  </si>
  <si>
    <t>Masters 40-44 (02.10.1976)/40</t>
  </si>
  <si>
    <t>139,10</t>
  </si>
  <si>
    <t>Ramos Maria</t>
  </si>
  <si>
    <t>400,0</t>
  </si>
  <si>
    <t>832,5</t>
  </si>
  <si>
    <t>866,2995</t>
  </si>
  <si>
    <t>Smirnov Sergey</t>
  </si>
  <si>
    <t>779,8500</t>
  </si>
  <si>
    <t>Skorobogatchenko Roman</t>
  </si>
  <si>
    <t>775,0</t>
  </si>
  <si>
    <t>761,8250</t>
  </si>
  <si>
    <t>660,0</t>
  </si>
  <si>
    <t>780,1912</t>
  </si>
  <si>
    <t>622,5</t>
  </si>
  <si>
    <t>778,6915</t>
  </si>
  <si>
    <t>Odegov Sergey</t>
  </si>
  <si>
    <t>915,0</t>
  </si>
  <si>
    <t>769,5150</t>
  </si>
  <si>
    <t>470,0</t>
  </si>
  <si>
    <t xml:space="preserve">Mcmahon Lucila </t>
  </si>
  <si>
    <t xml:space="preserve">Shabanova Anastasiya  </t>
  </si>
  <si>
    <t xml:space="preserve">Belyayeva Polina </t>
  </si>
  <si>
    <t xml:space="preserve">Gonzalez Caterine </t>
  </si>
  <si>
    <t xml:space="preserve">Khudayarov Anna  </t>
  </si>
  <si>
    <t xml:space="preserve">Ukryukov Georgiy  </t>
  </si>
  <si>
    <t xml:space="preserve">Vaskelainen Sami  </t>
  </si>
  <si>
    <t xml:space="preserve">Rek Aleksandr  </t>
  </si>
  <si>
    <t xml:space="preserve">Zhukov Pavel  </t>
  </si>
  <si>
    <t xml:space="preserve">Gregorcic Erni  </t>
  </si>
  <si>
    <t xml:space="preserve">Teplyakov Dmitriy </t>
  </si>
  <si>
    <t xml:space="preserve">Eetu Sieppi  </t>
  </si>
  <si>
    <t xml:space="preserve">Ilchenko Vladislav  </t>
  </si>
  <si>
    <t xml:space="preserve">Romashin Aleksandr </t>
  </si>
  <si>
    <t xml:space="preserve">Nikulin Aleksey  </t>
  </si>
  <si>
    <t xml:space="preserve">Smirnov Sergey </t>
  </si>
  <si>
    <t xml:space="preserve">Mozhayev Sergey </t>
  </si>
  <si>
    <t xml:space="preserve">Pryakhin Stanislav  </t>
  </si>
  <si>
    <t xml:space="preserve">Kandaurov Sergey  </t>
  </si>
  <si>
    <t xml:space="preserve">Yagunov Aleksey </t>
  </si>
  <si>
    <t xml:space="preserve">Albornoz Tinoco  </t>
  </si>
  <si>
    <t xml:space="preserve">Bozak Darko </t>
  </si>
  <si>
    <t xml:space="preserve">Yakushevich Aleksey  </t>
  </si>
  <si>
    <t xml:space="preserve">Skorobogatchenko Roman  </t>
  </si>
  <si>
    <t xml:space="preserve">Vitovskiy Mikhail  </t>
  </si>
  <si>
    <t xml:space="preserve">Amanatov Maksim </t>
  </si>
  <si>
    <t xml:space="preserve">Nino Pevec  </t>
  </si>
  <si>
    <t xml:space="preserve">Lipnik Igor </t>
  </si>
  <si>
    <t xml:space="preserve">Zerpa-Garcia Luis </t>
  </si>
  <si>
    <t xml:space="preserve">Nikitin Artem  </t>
  </si>
  <si>
    <t xml:space="preserve">Vorivodin Andrey  </t>
  </si>
  <si>
    <t xml:space="preserve">Chernysh Aleksandr </t>
  </si>
  <si>
    <t xml:space="preserve">Simakov Sergey  </t>
  </si>
  <si>
    <t xml:space="preserve">Eduardo Kramm  </t>
  </si>
  <si>
    <t xml:space="preserve">Papenkov Pavel  </t>
  </si>
  <si>
    <t xml:space="preserve">Mukarrum Mohammed-Azamathulla  </t>
  </si>
  <si>
    <t xml:space="preserve">Zolotarenok Andrey  </t>
  </si>
  <si>
    <t xml:space="preserve">Averyanov Aleksey  </t>
  </si>
  <si>
    <t xml:space="preserve">Maksimov Eduard  </t>
  </si>
  <si>
    <t xml:space="preserve">Aldo Ulises  </t>
  </si>
  <si>
    <t xml:space="preserve">Bebenin Grigoriy  </t>
  </si>
  <si>
    <t xml:space="preserve">Liouras Athanasios  </t>
  </si>
  <si>
    <t xml:space="preserve">Magomedov Khabibula  </t>
  </si>
  <si>
    <t xml:space="preserve">Odegov Sergey  </t>
  </si>
  <si>
    <t xml:space="preserve">Hondadakeri Raghavendr-Shivanand </t>
  </si>
  <si>
    <t>Khamatdinov D.</t>
  </si>
  <si>
    <t>Belyayev V.</t>
  </si>
  <si>
    <t>Konovalov E.</t>
  </si>
  <si>
    <t>Antoch M.</t>
  </si>
  <si>
    <t>Fuga T.</t>
  </si>
  <si>
    <t>Ryakhovskiy D.</t>
  </si>
  <si>
    <t>Novikov S.</t>
  </si>
  <si>
    <t>Nazarenko M.</t>
  </si>
  <si>
    <t>Dluzhnevskiy S.</t>
  </si>
  <si>
    <t>Chernov I.</t>
  </si>
  <si>
    <t>Akhmetov T.</t>
  </si>
  <si>
    <t>Pilipishko N.</t>
  </si>
  <si>
    <t>Tsatsulin M.</t>
  </si>
  <si>
    <t>Komissarov I.</t>
  </si>
  <si>
    <t>Dolgov A.</t>
  </si>
  <si>
    <t>Argentina</t>
  </si>
  <si>
    <t>Slovenia</t>
  </si>
  <si>
    <t>Kulikov Stanislav</t>
  </si>
  <si>
    <t>Open (29.11.1978)/38</t>
  </si>
  <si>
    <t>96,90</t>
  </si>
  <si>
    <t>Sudakov Pavel</t>
  </si>
  <si>
    <t>Open (12.07.1991)/25</t>
  </si>
  <si>
    <t>100,00</t>
  </si>
  <si>
    <t>Yukhanov Aleksandr</t>
  </si>
  <si>
    <t>Open (14.12.1985)/30</t>
  </si>
  <si>
    <t>98,30</t>
  </si>
  <si>
    <t>Juniors 20-23 (11.08.1993)/23</t>
  </si>
  <si>
    <t>105,80</t>
  </si>
  <si>
    <t>271,0</t>
  </si>
  <si>
    <t>117,40</t>
  </si>
  <si>
    <t>422,5</t>
  </si>
  <si>
    <t>Colombia</t>
  </si>
  <si>
    <t>Montenegro</t>
  </si>
  <si>
    <t xml:space="preserve">Knyazev Yuriy </t>
  </si>
  <si>
    <t xml:space="preserve">Urazov Vladimir  </t>
  </si>
  <si>
    <t xml:space="preserve">Koltsov Pavel  </t>
  </si>
  <si>
    <t xml:space="preserve">Lugovoy Aleksandr  </t>
  </si>
  <si>
    <t>Sibalakov V.</t>
  </si>
  <si>
    <t>Kabetova K.</t>
  </si>
  <si>
    <t>Open (09.05.1981)/35</t>
  </si>
  <si>
    <t>Open (19.07.1991)/25</t>
  </si>
  <si>
    <t>Open (27.06.1980)/36</t>
  </si>
  <si>
    <t>347,5</t>
  </si>
  <si>
    <t>361,0</t>
  </si>
  <si>
    <t>Open (16.07.1991)/25</t>
  </si>
  <si>
    <t>Koryakin Sergey</t>
  </si>
  <si>
    <t>Open (01.07.1976)/40</t>
  </si>
  <si>
    <t>80,20</t>
  </si>
  <si>
    <t>Open (08.09.1983)/33</t>
  </si>
  <si>
    <t>Open (10.05.1984)/32</t>
  </si>
  <si>
    <t>Parfenov Aleksandr</t>
  </si>
  <si>
    <t>Open (20.09.1988)/28</t>
  </si>
  <si>
    <t>80,90</t>
  </si>
  <si>
    <t>Masters 40-44 (01.07.1976)/40</t>
  </si>
  <si>
    <t>Open (12.11.1987)/29</t>
  </si>
  <si>
    <t>86,90</t>
  </si>
  <si>
    <t>Tyatkov Nikolay</t>
  </si>
  <si>
    <t>Open (14.06.1984)/32</t>
  </si>
  <si>
    <t>85,80</t>
  </si>
  <si>
    <t>Masters 45-49 (23.06.1968)/48</t>
  </si>
  <si>
    <t>Grinko Mikhail</t>
  </si>
  <si>
    <t>Open (04.02.1978)/38</t>
  </si>
  <si>
    <t>99,30</t>
  </si>
  <si>
    <t>Pershin Dmitriy</t>
  </si>
  <si>
    <t>Open (25.09.1990)/26</t>
  </si>
  <si>
    <t>Open (29.08.1985)/31</t>
  </si>
  <si>
    <t>109,00</t>
  </si>
  <si>
    <t>Open (09.09.1986)/30</t>
  </si>
  <si>
    <t>104,60</t>
  </si>
  <si>
    <t>Belkin Yuriy</t>
  </si>
  <si>
    <t>Open (05.12.1990)/26</t>
  </si>
  <si>
    <t>104,00</t>
  </si>
  <si>
    <t>450,0</t>
  </si>
  <si>
    <t>Open (09.10.1973)/43</t>
  </si>
  <si>
    <t>111,50</t>
  </si>
  <si>
    <t>355,0</t>
  </si>
  <si>
    <t>Kaspars Andis</t>
  </si>
  <si>
    <t>Masters 40-44 (27.02.1976)/40</t>
  </si>
  <si>
    <t>120,30</t>
  </si>
  <si>
    <t>350,0</t>
  </si>
  <si>
    <t>Zhabin Vladimir</t>
  </si>
  <si>
    <t>359,3150</t>
  </si>
  <si>
    <t>Kashirin Aleksey</t>
  </si>
  <si>
    <t>321,4920</t>
  </si>
  <si>
    <t>Muratkin Aleksandr</t>
  </si>
  <si>
    <t>312,6675</t>
  </si>
  <si>
    <t>Samardin Aleksey</t>
  </si>
  <si>
    <t xml:space="preserve">Fedulova Alena </t>
  </si>
  <si>
    <t xml:space="preserve">Zernov Aleksey </t>
  </si>
  <si>
    <t xml:space="preserve">Doronin Anton  </t>
  </si>
  <si>
    <t xml:space="preserve">Zhabin Vladimir  </t>
  </si>
  <si>
    <t xml:space="preserve">Pisarev Sergey  </t>
  </si>
  <si>
    <t xml:space="preserve">Samardin Aleksey  </t>
  </si>
  <si>
    <t xml:space="preserve">Tsikolenko Roman  </t>
  </si>
  <si>
    <t xml:space="preserve">Koryakin Sergey  </t>
  </si>
  <si>
    <t xml:space="preserve">Mishchenko Sergey  </t>
  </si>
  <si>
    <t xml:space="preserve">Samko Petr </t>
  </si>
  <si>
    <t xml:space="preserve">Gorelikov Dmitriy  </t>
  </si>
  <si>
    <t xml:space="preserve">Muratkin Aleksandr  </t>
  </si>
  <si>
    <t xml:space="preserve">Kovalchuk Sergey </t>
  </si>
  <si>
    <t xml:space="preserve">Grigoryev Andrey  </t>
  </si>
  <si>
    <t xml:space="preserve">Kashirin Aleksey  </t>
  </si>
  <si>
    <t>Latvia</t>
  </si>
  <si>
    <t>Bannikov D.</t>
  </si>
  <si>
    <t>Bariyev D</t>
  </si>
  <si>
    <t>Merzon Yeva</t>
  </si>
  <si>
    <t>Open (10.10.1991)/25</t>
  </si>
  <si>
    <t>Open (16.02.1983)/33</t>
  </si>
  <si>
    <t>62,00</t>
  </si>
  <si>
    <t>Masters 45-49 (11.02.1970)/46</t>
  </si>
  <si>
    <t>63,10</t>
  </si>
  <si>
    <t>Belikova Svetlana</t>
  </si>
  <si>
    <t>Masters 45-49 (10.02.1968)/48</t>
  </si>
  <si>
    <t>27,5</t>
  </si>
  <si>
    <t>30,0</t>
  </si>
  <si>
    <t>32,5</t>
  </si>
  <si>
    <t>Open (20.04.1981)/35</t>
  </si>
  <si>
    <t>56,20</t>
  </si>
  <si>
    <t>Avershin Yegor</t>
  </si>
  <si>
    <t>Open (22.07.1990)/26</t>
  </si>
  <si>
    <t>Andreyev Aleksandr</t>
  </si>
  <si>
    <t>Teen 13-15 (09.12.2002)/14</t>
  </si>
  <si>
    <t>63,00</t>
  </si>
  <si>
    <t>Juniors 20-23 (04.09.1993)/23</t>
  </si>
  <si>
    <t>64,30</t>
  </si>
  <si>
    <t>Open (11.07.1982)/34</t>
  </si>
  <si>
    <t>Open (05.05.1991)/25</t>
  </si>
  <si>
    <t>65,10</t>
  </si>
  <si>
    <t>Kosarev Yevgeniy</t>
  </si>
  <si>
    <t>Masters 55-59 (29.03.1961)/55</t>
  </si>
  <si>
    <t>Teen 13-15 (23.01.2001)/15</t>
  </si>
  <si>
    <t>68,10</t>
  </si>
  <si>
    <t>Teen 18-19 (14.12.1996)/19</t>
  </si>
  <si>
    <t>70,70</t>
  </si>
  <si>
    <t>Open (28.02.1989)/27</t>
  </si>
  <si>
    <t>Pachin Aleksey</t>
  </si>
  <si>
    <t>Open (02.03.1979)/37</t>
  </si>
  <si>
    <t>68,60</t>
  </si>
  <si>
    <t>Masters 55-59 (26.04.1959)/57</t>
  </si>
  <si>
    <t>75,00</t>
  </si>
  <si>
    <t>Juniors 20-23 (07.06.1995)/21</t>
  </si>
  <si>
    <t>83,70</t>
  </si>
  <si>
    <t>Veselov Aleksandr</t>
  </si>
  <si>
    <t>Open (05.10.1990)/26</t>
  </si>
  <si>
    <t>Zakharov Georgiy</t>
  </si>
  <si>
    <t>Open (20.10.1990)/26</t>
  </si>
  <si>
    <t>Lednev Aleksandr</t>
  </si>
  <si>
    <t>Masters 40-44 (02.05.1973)/43</t>
  </si>
  <si>
    <t>Kolosov Sergey</t>
  </si>
  <si>
    <t>Open (23.07.1988)/28</t>
  </si>
  <si>
    <t>95,80</t>
  </si>
  <si>
    <t>Kovalev Sergey</t>
  </si>
  <si>
    <t>Masters 45-49 (22.05.1969)/47</t>
  </si>
  <si>
    <t>Kuznetsov Vladimir</t>
  </si>
  <si>
    <t>Masters 70-74 (04.03.1945)/71</t>
  </si>
  <si>
    <t>99,00</t>
  </si>
  <si>
    <t>Open (23.09.1985)/31</t>
  </si>
  <si>
    <t>Open (05.06.1975)/41</t>
  </si>
  <si>
    <t>127,90</t>
  </si>
  <si>
    <t>Sokulskiy Sergey</t>
  </si>
  <si>
    <t>180,6000</t>
  </si>
  <si>
    <t>Goryachev Stanislav</t>
  </si>
  <si>
    <t>162,2600</t>
  </si>
  <si>
    <t>Dmitriyev Kirill</t>
  </si>
  <si>
    <t>150,3470</t>
  </si>
  <si>
    <t xml:space="preserve">Gorikova Marina  </t>
  </si>
  <si>
    <t xml:space="preserve">Bakhmatova Natalya  </t>
  </si>
  <si>
    <t xml:space="preserve">Dmitriyev Kirill  </t>
  </si>
  <si>
    <t xml:space="preserve">Bezborodov Vasiliy  </t>
  </si>
  <si>
    <t xml:space="preserve">Varavin Pavel  </t>
  </si>
  <si>
    <t xml:space="preserve">Loshchinin Grigoriy  </t>
  </si>
  <si>
    <t xml:space="preserve">Shalayev Aleksandr  </t>
  </si>
  <si>
    <t xml:space="preserve">Konstantinov Nikita </t>
  </si>
  <si>
    <t xml:space="preserve">Abdalov Dmitriy </t>
  </si>
  <si>
    <t xml:space="preserve">Gvozdev Georgiy  </t>
  </si>
  <si>
    <t xml:space="preserve">Vostrikov Anton  </t>
  </si>
  <si>
    <t xml:space="preserve">Sokulskiy Sergey  </t>
  </si>
  <si>
    <t xml:space="preserve">Goryachev Stanislav </t>
  </si>
  <si>
    <t>Apinov K.</t>
  </si>
  <si>
    <t>Kogadeyeva D.</t>
  </si>
  <si>
    <t>Bogdanov K.</t>
  </si>
  <si>
    <t>Krylov M.</t>
  </si>
  <si>
    <t>Silushin P.</t>
  </si>
  <si>
    <t>Yushin A.</t>
  </si>
  <si>
    <t>Balashov N.</t>
  </si>
  <si>
    <t>Sarafanov N.</t>
  </si>
  <si>
    <t>Smagin D.</t>
  </si>
  <si>
    <t>Russia/Ivanovskaya</t>
  </si>
  <si>
    <t>Teen 13-15 (09.06.2005)/11</t>
  </si>
  <si>
    <t>42,20</t>
  </si>
  <si>
    <t>Open (10.03.1991)/25</t>
  </si>
  <si>
    <t>43,70</t>
  </si>
  <si>
    <t>Teen 13-15 (18.05.2001)/15</t>
  </si>
  <si>
    <t>46,00</t>
  </si>
  <si>
    <t>Masters 40-44 (15.10.1974)/42</t>
  </si>
  <si>
    <t>47,00</t>
  </si>
  <si>
    <t>Juniors 20-23 (17.03.1996)/20</t>
  </si>
  <si>
    <t>Kharchikov Andrey</t>
  </si>
  <si>
    <t>Open (27.04.1990)/26</t>
  </si>
  <si>
    <t>51,70</t>
  </si>
  <si>
    <t>Open (07.02.1989)/27</t>
  </si>
  <si>
    <t>50,00</t>
  </si>
  <si>
    <t>Yegorova Yelena</t>
  </si>
  <si>
    <t>Open (13.01.1974)/42</t>
  </si>
  <si>
    <t>50,60</t>
  </si>
  <si>
    <t>Open (03.07.1984)/32</t>
  </si>
  <si>
    <t>51,80</t>
  </si>
  <si>
    <t>Open (19.09.1983)/33</t>
  </si>
  <si>
    <t>51,10</t>
  </si>
  <si>
    <t>Masters 40-44 (13.01.1974)/42</t>
  </si>
  <si>
    <t>Teen 13-15 (13.03.2003)/13</t>
  </si>
  <si>
    <t>55,60</t>
  </si>
  <si>
    <t>Open (25.02.1985)/31</t>
  </si>
  <si>
    <t>Open (01.11.1980)/36</t>
  </si>
  <si>
    <t>55,00</t>
  </si>
  <si>
    <t>Open (16.01.1983)/33</t>
  </si>
  <si>
    <t>Teen 16-17 (10.06.2000)/16</t>
  </si>
  <si>
    <t>59,80</t>
  </si>
  <si>
    <t>109,0</t>
  </si>
  <si>
    <t>111,0</t>
  </si>
  <si>
    <t>Juniors 20-23 (08.11.1993)/23</t>
  </si>
  <si>
    <t>Dluzhnevskaya Vladislava</t>
  </si>
  <si>
    <t>Open (21.06.1991)/25</t>
  </si>
  <si>
    <t>58,20</t>
  </si>
  <si>
    <t>Open (03.06.1983)/33</t>
  </si>
  <si>
    <t>Naumlyuk Sergey</t>
  </si>
  <si>
    <t>Open (04.06.1992)/24</t>
  </si>
  <si>
    <t>56,90</t>
  </si>
  <si>
    <t>Masters 40-44 (17.07.1975)/41</t>
  </si>
  <si>
    <t>58,90</t>
  </si>
  <si>
    <t>Masters 45-49 (16.07.1970)/46</t>
  </si>
  <si>
    <t>57,20</t>
  </si>
  <si>
    <t>Teen 16-17 (14.05.2000)/16</t>
  </si>
  <si>
    <t>61,70</t>
  </si>
  <si>
    <t>Juniors 20-23 (05.09.1995)/21</t>
  </si>
  <si>
    <t>61,10</t>
  </si>
  <si>
    <t>Open (15.05.1973)/43</t>
  </si>
  <si>
    <t>Open (16.03.1981)/35</t>
  </si>
  <si>
    <t>Zakhovayeva Anastasiya</t>
  </si>
  <si>
    <t>Open (22.03.1995)/21</t>
  </si>
  <si>
    <t>Open (12.02.1988)/28</t>
  </si>
  <si>
    <t>66,90</t>
  </si>
  <si>
    <t>Open (23.08.1989)/27</t>
  </si>
  <si>
    <t>Open (27.10.1985)/31</t>
  </si>
  <si>
    <t>Open (05.05.1983)/33</t>
  </si>
  <si>
    <t>Poletayeva Svetlana</t>
  </si>
  <si>
    <t>Open (30.04.1977)/39</t>
  </si>
  <si>
    <t>105,50</t>
  </si>
  <si>
    <t>81,0</t>
  </si>
  <si>
    <t>Belykh Daniil</t>
  </si>
  <si>
    <t>Teen 13-15 (02.09.2007)/9</t>
  </si>
  <si>
    <t>31,00</t>
  </si>
  <si>
    <t>Belykh Pavel</t>
  </si>
  <si>
    <t>Open (03.09.1986)/30</t>
  </si>
  <si>
    <t>Teen 16-17 (11.11.1999)/17</t>
  </si>
  <si>
    <t>Teen 16-17 (10.08.2000)/16</t>
  </si>
  <si>
    <t>52,50</t>
  </si>
  <si>
    <t>Teen 18-19 (01.06.1998)/18</t>
  </si>
  <si>
    <t>Kondakov Aleksey</t>
  </si>
  <si>
    <t>Teen 16-17 (27.12.1999)/16</t>
  </si>
  <si>
    <t>Juniors 20-23 (11.12.1992)/23</t>
  </si>
  <si>
    <t>58,40</t>
  </si>
  <si>
    <t>Open (24.02.1989)/27</t>
  </si>
  <si>
    <t>Teen 16-17 (16.11.1999)/17</t>
  </si>
  <si>
    <t>Teen 18-19 (07.02.1997)/19</t>
  </si>
  <si>
    <t>66,20</t>
  </si>
  <si>
    <t>Teen 16-17 (04.06.1999)/17</t>
  </si>
  <si>
    <t>70,10</t>
  </si>
  <si>
    <t>Teen 18-19 (16.07.1997)/19</t>
  </si>
  <si>
    <t>73,50</t>
  </si>
  <si>
    <t>Juniors 20-23 (29.10.1993)/23</t>
  </si>
  <si>
    <t>Juniors 20-23 (22.06.1993)/23</t>
  </si>
  <si>
    <t>Juniors 20-23 (17.10.1995)/21</t>
  </si>
  <si>
    <t>72,50</t>
  </si>
  <si>
    <t>Open (12.10.1992)/24</t>
  </si>
  <si>
    <t>Open (06.12.1985)/31</t>
  </si>
  <si>
    <t>Open (08.10.1985)/31</t>
  </si>
  <si>
    <t>Solyan Nazar</t>
  </si>
  <si>
    <t>Open (29.10.1993)/23</t>
  </si>
  <si>
    <t>Open (28.06.1982)/34</t>
  </si>
  <si>
    <t>73,60</t>
  </si>
  <si>
    <t>Inyutin Andrey</t>
  </si>
  <si>
    <t>Open (03.10.1992)/24</t>
  </si>
  <si>
    <t>74,20</t>
  </si>
  <si>
    <t>Open (09.02.1988)/28</t>
  </si>
  <si>
    <t>Open (29.09.1992)/24</t>
  </si>
  <si>
    <t>Masters 40-44 (28.01.1973)/43</t>
  </si>
  <si>
    <t>71,80</t>
  </si>
  <si>
    <t>Masters 45-49 (12.05.1971)/45</t>
  </si>
  <si>
    <t>Teen 18-19 (12.11.1997)/19</t>
  </si>
  <si>
    <t>78,50</t>
  </si>
  <si>
    <t>Teen 18-19 (16.03.1998)/18</t>
  </si>
  <si>
    <t>80,40</t>
  </si>
  <si>
    <t>Open (18.11.1987)/29</t>
  </si>
  <si>
    <t>Open (18.03.1983)/33</t>
  </si>
  <si>
    <t>Open (20.08.1983)/33</t>
  </si>
  <si>
    <t>79,00</t>
  </si>
  <si>
    <t>Open (21.06.1983)/33</t>
  </si>
  <si>
    <t>Open (16.10.1992)/24</t>
  </si>
  <si>
    <t>79,60</t>
  </si>
  <si>
    <t>Open (26.03.1985)/31</t>
  </si>
  <si>
    <t>Silionov Sergey</t>
  </si>
  <si>
    <t>Open (04.12.1965)/51</t>
  </si>
  <si>
    <t>Open (14.01.1984)/32</t>
  </si>
  <si>
    <t>Mereshkov Akhmed</t>
  </si>
  <si>
    <t>Open (09.04.1989)/27</t>
  </si>
  <si>
    <t>Masters 40-44 (06.08.1975)/41</t>
  </si>
  <si>
    <t>Masters 45-49 (14.10.1971)/45</t>
  </si>
  <si>
    <t>80,50</t>
  </si>
  <si>
    <t>Masters 50-54 (04.12.1965)/51</t>
  </si>
  <si>
    <t>Masters 55-59 (10.05.1960)/56</t>
  </si>
  <si>
    <t>Masters 55-59 (08.04.1957)/59</t>
  </si>
  <si>
    <t>76,60</t>
  </si>
  <si>
    <t>Teen 18-19 (28.04.1997)/19</t>
  </si>
  <si>
    <t>83,80</t>
  </si>
  <si>
    <t>Teen 18-19 (02.10.1998)/18</t>
  </si>
  <si>
    <t>Juniors 20-23 (15.09.1994)/22</t>
  </si>
  <si>
    <t>Juniors 20-23 (16.01.1993)/23</t>
  </si>
  <si>
    <t>Pivovarov</t>
  </si>
  <si>
    <t>Open (21.09.1980)/36</t>
  </si>
  <si>
    <t>89,60</t>
  </si>
  <si>
    <t>Georgiy Paradiz</t>
  </si>
  <si>
    <t>Yermakov Ilya</t>
  </si>
  <si>
    <t>Open (28.04.1997)/19</t>
  </si>
  <si>
    <t>Open (06.08.1980)/36</t>
  </si>
  <si>
    <t>Open (01.05.1987)/29</t>
  </si>
  <si>
    <t>Kotin</t>
  </si>
  <si>
    <t>Open (25.09.1981)/35</t>
  </si>
  <si>
    <t>Open (27.06.1983)/33</t>
  </si>
  <si>
    <t>Open (01.05.1979)/37</t>
  </si>
  <si>
    <t>Vedeneyeva A.</t>
  </si>
  <si>
    <t>Open (01.03.1982)/34</t>
  </si>
  <si>
    <t>Open (25.08.1987)/29</t>
  </si>
  <si>
    <t>Open (24.06.1988)/28</t>
  </si>
  <si>
    <t>Open (06.01.1985)/31</t>
  </si>
  <si>
    <t>Open (21.04.1986)/30</t>
  </si>
  <si>
    <t>Fedoryuk Maksim</t>
  </si>
  <si>
    <t>Open (15.06.1984)/32</t>
  </si>
  <si>
    <t>87,10</t>
  </si>
  <si>
    <t>Kuznetsov Aleksey</t>
  </si>
  <si>
    <t>Open (26.09.1988)/28</t>
  </si>
  <si>
    <t>Zharkov Aleksandr</t>
  </si>
  <si>
    <t>Sukharev Kirill</t>
  </si>
  <si>
    <t>Open (21.12.1993)/22</t>
  </si>
  <si>
    <t>Makarenko Yevgeniy</t>
  </si>
  <si>
    <t>Sub Masters 33-39 (21.09.1980)/36</t>
  </si>
  <si>
    <t>Nelayev Sergey</t>
  </si>
  <si>
    <t>Sub Masters 33-39 (01.03.1982)/34</t>
  </si>
  <si>
    <t>Masters 40-44 (05.04.1972)/44</t>
  </si>
  <si>
    <t>87,60</t>
  </si>
  <si>
    <t>Masters 40-44 (21.08.1973)/43</t>
  </si>
  <si>
    <t>90,00</t>
  </si>
  <si>
    <t>Masters 40-44 (20.09.1976)/40</t>
  </si>
  <si>
    <t>Masters 45-49 (26.08.1968)/48</t>
  </si>
  <si>
    <t>Masters 55-59 (17.07.1960)/56</t>
  </si>
  <si>
    <t>Masters 55-59 (02.09.1957)/59</t>
  </si>
  <si>
    <t>Masters 65-69 (26.05.1951)/65</t>
  </si>
  <si>
    <t>Rannila Tommi</t>
  </si>
  <si>
    <t>Juniors 20-23 (29.06.1993)/23</t>
  </si>
  <si>
    <t>94,90</t>
  </si>
  <si>
    <t>Juniors 20-23 (19.01.1994)/22</t>
  </si>
  <si>
    <t>Brynza Andrey</t>
  </si>
  <si>
    <t>Juniors 20-23 (21.07.1993)/23</t>
  </si>
  <si>
    <t>97,20</t>
  </si>
  <si>
    <t>Khabayev Bogdan</t>
  </si>
  <si>
    <t>Juniors 20-23 (14.07.1994)/22</t>
  </si>
  <si>
    <t>97,60</t>
  </si>
  <si>
    <t>Orlov Ilya</t>
  </si>
  <si>
    <t>Open (23.06.1982)/34</t>
  </si>
  <si>
    <t>Open (29.06.1993)/23</t>
  </si>
  <si>
    <t>Cheremisin Artur</t>
  </si>
  <si>
    <t>Open (29.11.1989)/27</t>
  </si>
  <si>
    <t>Volkov Maksim</t>
  </si>
  <si>
    <t>Stekolshchikov Aleksey</t>
  </si>
  <si>
    <t>Open (21.11.1988)/28</t>
  </si>
  <si>
    <t>Rublev Mikhail</t>
  </si>
  <si>
    <t>Open (07.06.1979)/37</t>
  </si>
  <si>
    <t>Pirogov Andrey</t>
  </si>
  <si>
    <t>Open (22.10.1986)/30</t>
  </si>
  <si>
    <t>Borodulin Aleksandr</t>
  </si>
  <si>
    <t>Monakhov Andrey</t>
  </si>
  <si>
    <t>Open (14.03.1987)/29</t>
  </si>
  <si>
    <t>99,80</t>
  </si>
  <si>
    <t>Maksimov Kirill</t>
  </si>
  <si>
    <t>Open (17.05.1985)/31</t>
  </si>
  <si>
    <t>Komandrovskiy Denis</t>
  </si>
  <si>
    <t>Open (11.08.1984)/32</t>
  </si>
  <si>
    <t>93,00</t>
  </si>
  <si>
    <t>Masters 40-44 (05.03.1975)/41</t>
  </si>
  <si>
    <t>192,0</t>
  </si>
  <si>
    <t>Volkov Sergey</t>
  </si>
  <si>
    <t>Masters 40-44 (01.06.1973)/43</t>
  </si>
  <si>
    <t>Ladchenko Sergey</t>
  </si>
  <si>
    <t>Masters 40-44 (22.12.1972)/43</t>
  </si>
  <si>
    <t>94,50</t>
  </si>
  <si>
    <t>Masters 45-49 (22.07.1970)/46</t>
  </si>
  <si>
    <t>90,30</t>
  </si>
  <si>
    <t>Chernyshov Igor</t>
  </si>
  <si>
    <t>Masters 45-49 (14.07.1969)/47</t>
  </si>
  <si>
    <t>93,20</t>
  </si>
  <si>
    <t>Marov Alim</t>
  </si>
  <si>
    <t>Masters 50-54 (28.11.1966)/50</t>
  </si>
  <si>
    <t>93,50</t>
  </si>
  <si>
    <t>Chelyshev Andrey</t>
  </si>
  <si>
    <t>Masters 50-54 (29.11.1963)/53</t>
  </si>
  <si>
    <t>98,90</t>
  </si>
  <si>
    <t>Lyakhov Vasiliy</t>
  </si>
  <si>
    <t>Masters 65-69 (30.05.1948)/68</t>
  </si>
  <si>
    <t>95,00</t>
  </si>
  <si>
    <t>Teen 13-15 (03.11.2002)/14</t>
  </si>
  <si>
    <t>108,60</t>
  </si>
  <si>
    <t>Juniors 20-23 (24.01.1993)/23</t>
  </si>
  <si>
    <t>Juniors 20-23 (07.11.1995)/21</t>
  </si>
  <si>
    <t>Open (12.06.1980)/36</t>
  </si>
  <si>
    <t>107,10</t>
  </si>
  <si>
    <t>Open (12.11.1981)/35</t>
  </si>
  <si>
    <t>Open (13.01.1984)/32</t>
  </si>
  <si>
    <t>106,10</t>
  </si>
  <si>
    <t>Open (20.02.1980)/36</t>
  </si>
  <si>
    <t>Open (24.12.1988)/27</t>
  </si>
  <si>
    <t>102,50</t>
  </si>
  <si>
    <t>Open (24.07.1985)/31</t>
  </si>
  <si>
    <t>104,70</t>
  </si>
  <si>
    <t>Open (06.12.1979)/37</t>
  </si>
  <si>
    <t>Bogdanov Maksim</t>
  </si>
  <si>
    <t>Masters 45-49 (09.03.1968)/48</t>
  </si>
  <si>
    <t>Masters 45-49 (02.08.1969)/47</t>
  </si>
  <si>
    <t>107,00</t>
  </si>
  <si>
    <t>Masters 45-49 (06.12.1969)/47</t>
  </si>
  <si>
    <t>Masters 45-49 (29.01.1969)/47</t>
  </si>
  <si>
    <t>105,60</t>
  </si>
  <si>
    <t>Masters 50-54 (20.03.1962)/54</t>
  </si>
  <si>
    <t>Masters 50-54 (23.01.1962)/54</t>
  </si>
  <si>
    <t>Logunov Anatoliy</t>
  </si>
  <si>
    <t>114,60</t>
  </si>
  <si>
    <t>Open (04.11.1983)/33</t>
  </si>
  <si>
    <t>114,80</t>
  </si>
  <si>
    <t>Open (31.12.1983)/32</t>
  </si>
  <si>
    <t>122,60</t>
  </si>
  <si>
    <t>Zverev Oleg</t>
  </si>
  <si>
    <t>Open (20.05.1974)/42</t>
  </si>
  <si>
    <t>111,30</t>
  </si>
  <si>
    <t>Open (18.03.1979)/37</t>
  </si>
  <si>
    <t>Open (28.04.1988)/28</t>
  </si>
  <si>
    <t>111,80</t>
  </si>
  <si>
    <t>Avdulov Yevgeniy</t>
  </si>
  <si>
    <t>Sub Masters 33-39 (04.11.1983)/33</t>
  </si>
  <si>
    <t>Sub Masters 33-39 (21.01.1982)/34</t>
  </si>
  <si>
    <t>121,90</t>
  </si>
  <si>
    <t>Estakhr Mohsen</t>
  </si>
  <si>
    <t>Masters 40-44 (20.05.1974)/42</t>
  </si>
  <si>
    <t>Masters 60-64 (08.01.1953)/63</t>
  </si>
  <si>
    <t>110,50</t>
  </si>
  <si>
    <t>Open (24.01.1989)/27</t>
  </si>
  <si>
    <t>126,40</t>
  </si>
  <si>
    <t>Masters 40-44 (14.05.1976)/40</t>
  </si>
  <si>
    <t>134,30</t>
  </si>
  <si>
    <t>Masters 60-64 (26.02.1956)/60</t>
  </si>
  <si>
    <t>126,10</t>
  </si>
  <si>
    <t>Open (20.06.1983)/33</t>
  </si>
  <si>
    <t>159,00</t>
  </si>
  <si>
    <t>Masters 55-59 (04.04.1960)/56</t>
  </si>
  <si>
    <t>149,00</t>
  </si>
  <si>
    <t>194,8702</t>
  </si>
  <si>
    <t>Voronova Yelizaveta</t>
  </si>
  <si>
    <t>Martynova Yelizaveta</t>
  </si>
  <si>
    <t>Burtseva Mariya</t>
  </si>
  <si>
    <t>Travkina Anna</t>
  </si>
  <si>
    <t>Dovzhenko Oksana</t>
  </si>
  <si>
    <t>Davydova Kseniya</t>
  </si>
  <si>
    <t>Kuznetsova Yuliya</t>
  </si>
  <si>
    <t>171,1800</t>
  </si>
  <si>
    <t>Goleneva Anna</t>
  </si>
  <si>
    <t>151,6700</t>
  </si>
  <si>
    <t>Zhilina Olga</t>
  </si>
  <si>
    <t>Starikova Kristina</t>
  </si>
  <si>
    <t>Puzyreva Yekaterina</t>
  </si>
  <si>
    <t>Yaremaka Tatyana</t>
  </si>
  <si>
    <t>Yurchenko Anastasiya</t>
  </si>
  <si>
    <t>Pukhova Anna</t>
  </si>
  <si>
    <t>Lyashenko Kristina</t>
  </si>
  <si>
    <t>Pavlova Tatyana</t>
  </si>
  <si>
    <t>Vedeneyeva Aleksandra</t>
  </si>
  <si>
    <t>Yefimtseva Lyubov</t>
  </si>
  <si>
    <t>Pekhtereva Kseniya</t>
  </si>
  <si>
    <t>Sergeyeva Natalya</t>
  </si>
  <si>
    <t>Subbotina Yelena</t>
  </si>
  <si>
    <t>Unashkhotleva Ella</t>
  </si>
  <si>
    <t>Farrafutdinova Tatyana</t>
  </si>
  <si>
    <t>Pavlichenko Alla</t>
  </si>
  <si>
    <t>Ivanova Svetlana</t>
  </si>
  <si>
    <t>Knyazeva Natalya</t>
  </si>
  <si>
    <t>177,9050</t>
  </si>
  <si>
    <t>Balandin Andrey</t>
  </si>
  <si>
    <t>170,8675</t>
  </si>
  <si>
    <t>Dubrovin Georgiy</t>
  </si>
  <si>
    <t>166,1600</t>
  </si>
  <si>
    <t>Zukhayriyev Bogdan</t>
  </si>
  <si>
    <t>Zolotarev Aleksandr</t>
  </si>
  <si>
    <t>Shabin Viktor</t>
  </si>
  <si>
    <t>Lukyanov Bogdan</t>
  </si>
  <si>
    <t>Bukhantsev Valentin</t>
  </si>
  <si>
    <t>Sergeyev Nikolay</t>
  </si>
  <si>
    <t>Tomilov Nikita</t>
  </si>
  <si>
    <t>Nedilko Maksim</t>
  </si>
  <si>
    <t>Lyubarskiy Mikhail</t>
  </si>
  <si>
    <t>Chernyayev Dmitriy</t>
  </si>
  <si>
    <t>184,7010</t>
  </si>
  <si>
    <t>Chugurov Sergey</t>
  </si>
  <si>
    <t>178,2900</t>
  </si>
  <si>
    <t>178,1060</t>
  </si>
  <si>
    <t>Zheleznov Dmitriy</t>
  </si>
  <si>
    <t>Ilin Boris</t>
  </si>
  <si>
    <t>Zaytsev Alesandr</t>
  </si>
  <si>
    <t>Kuzichev Yegor</t>
  </si>
  <si>
    <t>Litovskiy Mikhail</t>
  </si>
  <si>
    <t>Suzdaltseva Mariya</t>
  </si>
  <si>
    <t>Khamkhoyev Ibragim</t>
  </si>
  <si>
    <t>220,3530</t>
  </si>
  <si>
    <t>214,9700</t>
  </si>
  <si>
    <t>214,3780</t>
  </si>
  <si>
    <t>Voloskiy Yevgeniy</t>
  </si>
  <si>
    <t>Malchikov Denis</t>
  </si>
  <si>
    <t>Sokov Denis</t>
  </si>
  <si>
    <t>Borkin Semen</t>
  </si>
  <si>
    <t>Grisheyev Pavel</t>
  </si>
  <si>
    <t>Makarkin Andrey</t>
  </si>
  <si>
    <t>Semenov Nikolay</t>
  </si>
  <si>
    <t>Rahimi Hesam</t>
  </si>
  <si>
    <t>217,0986</t>
  </si>
  <si>
    <t>Petrov Aleksandr</t>
  </si>
  <si>
    <t>209,8744</t>
  </si>
  <si>
    <t>204,4366</t>
  </si>
  <si>
    <t>Kovalev Igor</t>
  </si>
  <si>
    <t>Popov Vladimir</t>
  </si>
  <si>
    <t>Yefremov Yuriy</t>
  </si>
  <si>
    <t>Troshinskiy Vyacheslav</t>
  </si>
  <si>
    <t>Veles Yevgeniy</t>
  </si>
  <si>
    <t>Tokman Mikhail</t>
  </si>
  <si>
    <t>Tyulenev Aleksandr</t>
  </si>
  <si>
    <t>Tarasov Vadim</t>
  </si>
  <si>
    <t>Kurotchenko Igor</t>
  </si>
  <si>
    <t>Bukhantsev Pavel</t>
  </si>
  <si>
    <t>Pavlenko Anatoliy</t>
  </si>
  <si>
    <t>Chernov Valeriy</t>
  </si>
  <si>
    <t>Shamov Sergey</t>
  </si>
  <si>
    <t>Bogdanov Konstantin</t>
  </si>
  <si>
    <t>Dulin Aleksey</t>
  </si>
  <si>
    <t>Surkov Dmitriy</t>
  </si>
  <si>
    <t>Semenov Grigoriy</t>
  </si>
  <si>
    <t>Minasyan Artur</t>
  </si>
  <si>
    <t>Shevchuk Yevgeniy</t>
  </si>
  <si>
    <t>Lysenkov Nikolay</t>
  </si>
  <si>
    <t>Sidorovskiy Sergey</t>
  </si>
  <si>
    <t>Nechayev Dmitriy</t>
  </si>
  <si>
    <t>Kobyakov Artem</t>
  </si>
  <si>
    <t>Zavertkin Aleksey</t>
  </si>
  <si>
    <t>Skoryatin Andrey</t>
  </si>
  <si>
    <t>Dobrosotskiy Yevgeniy</t>
  </si>
  <si>
    <t>Gorkovenko Yaroslav</t>
  </si>
  <si>
    <t>Fadeyev Viktor</t>
  </si>
  <si>
    <t>Opichenok Yegor</t>
  </si>
  <si>
    <t>Gorinov Dmitriy</t>
  </si>
  <si>
    <t>Zharkov Vasiliy</t>
  </si>
  <si>
    <t>Novoselov Stanislav</t>
  </si>
  <si>
    <t>Tokhtibakiyev Farrukh</t>
  </si>
  <si>
    <t>Shamilov Timur</t>
  </si>
  <si>
    <t>Zkriyev Albert</t>
  </si>
  <si>
    <t>Chantsev Viktor</t>
  </si>
  <si>
    <t>Nadrov Dmitriy</t>
  </si>
  <si>
    <t>Povstanyuk Sergey</t>
  </si>
  <si>
    <t>Yakovlev Artem</t>
  </si>
  <si>
    <t>Lukyanov Andrey</t>
  </si>
  <si>
    <t>Potapov Semen</t>
  </si>
  <si>
    <t>Yefimov Aleksandr</t>
  </si>
  <si>
    <t>Levin Anton</t>
  </si>
  <si>
    <t>Avetisyan Karen</t>
  </si>
  <si>
    <t>Gurhan Gurler</t>
  </si>
  <si>
    <t>Lazarev Sergey</t>
  </si>
  <si>
    <t>Volodarskiy S.</t>
  </si>
  <si>
    <t>Vorotnikova G.</t>
  </si>
  <si>
    <t>Grishanov A.</t>
  </si>
  <si>
    <t>Avetisyan B.</t>
  </si>
  <si>
    <t>Kharchikov A.</t>
  </si>
  <si>
    <t>Shelestov S.</t>
  </si>
  <si>
    <t>Zolotarenok A.</t>
  </si>
  <si>
    <t>Spirin I.</t>
  </si>
  <si>
    <t>Novoselov S.</t>
  </si>
  <si>
    <t xml:space="preserve">Ukolova </t>
  </si>
  <si>
    <t>Andryukhin A.</t>
  </si>
  <si>
    <t>Naumlyuk S.</t>
  </si>
  <si>
    <t>Yefimenkov P. Sharabayko A.</t>
  </si>
  <si>
    <t>Urvanov V.</t>
  </si>
  <si>
    <t>Ponomarev V.</t>
  </si>
  <si>
    <t>Semin V.</t>
  </si>
  <si>
    <t>Ortega A.</t>
  </si>
  <si>
    <t>Fotin A.</t>
  </si>
  <si>
    <t>Burets Y.</t>
  </si>
  <si>
    <t>Poletayev V.</t>
  </si>
  <si>
    <t>Belykh P.</t>
  </si>
  <si>
    <t>Zotov S.</t>
  </si>
  <si>
    <t>Skvortsov M.</t>
  </si>
  <si>
    <t>Churzin A.</t>
  </si>
  <si>
    <t>Inyutin A.</t>
  </si>
  <si>
    <t>Kuritsin M.</t>
  </si>
  <si>
    <t>Kobelev V.</t>
  </si>
  <si>
    <t>Ukolova</t>
  </si>
  <si>
    <t>Yakovlev D.</t>
  </si>
  <si>
    <t>Mereshkov M.</t>
  </si>
  <si>
    <t>Dolgikh V.</t>
  </si>
  <si>
    <t>Lukyanov A.</t>
  </si>
  <si>
    <t>Martyanov A.</t>
  </si>
  <si>
    <t>Smolnikov V.</t>
  </si>
  <si>
    <t>Sukharev A.</t>
  </si>
  <si>
    <t>Tyulenev A.</t>
  </si>
  <si>
    <t>Parshevskiy A.</t>
  </si>
  <si>
    <t>Krasnov N.</t>
  </si>
  <si>
    <t>Grigoryeva T.</t>
  </si>
  <si>
    <t>Yemelyanov A.</t>
  </si>
  <si>
    <t xml:space="preserve">Chikin S. </t>
  </si>
  <si>
    <t>Kurenkov V.</t>
  </si>
  <si>
    <t>Fursov R.</t>
  </si>
  <si>
    <t>Kucher Y.</t>
  </si>
  <si>
    <t>Panteleyev Y.</t>
  </si>
  <si>
    <t>Bogdanov M.</t>
  </si>
  <si>
    <t>Logunov A.</t>
  </si>
  <si>
    <t>Kachan S.</t>
  </si>
  <si>
    <t>Ponomarev A.</t>
  </si>
  <si>
    <t>Russia/Lyubertsy</t>
  </si>
  <si>
    <t>Kirgiziya</t>
  </si>
  <si>
    <t>Germany</t>
  </si>
  <si>
    <t>Uzbekistan</t>
  </si>
  <si>
    <t>Kazakhstan</t>
  </si>
  <si>
    <t>370,0</t>
  </si>
  <si>
    <t>Zaytsev Vadim</t>
  </si>
  <si>
    <t>Ukolova Veronika</t>
  </si>
  <si>
    <t>Kotelnikov Georgiy</t>
  </si>
  <si>
    <t>Open (04.10.1989)/27</t>
  </si>
  <si>
    <t>108,20</t>
  </si>
  <si>
    <t>Juniors 20-23 (30.11.1995)/21</t>
  </si>
  <si>
    <t>66,60</t>
  </si>
  <si>
    <t>Juniors 20-23 (17.06.1994)/22</t>
  </si>
  <si>
    <t>Ukrainskiy Stanislav</t>
  </si>
  <si>
    <t>Open (22.10.1988)/28</t>
  </si>
  <si>
    <t>Kozlov Aleksandr</t>
  </si>
  <si>
    <t>Juniors 20-23 (28.08.1994)/22</t>
  </si>
  <si>
    <t>91,00</t>
  </si>
  <si>
    <t>Poryadin Ivan</t>
  </si>
  <si>
    <t>Open (06.06.1982)/34</t>
  </si>
  <si>
    <t>Open (28.08.1994)/22</t>
  </si>
  <si>
    <t>Akhmetov Timur</t>
  </si>
  <si>
    <t>Open (17.11.1986)/30</t>
  </si>
  <si>
    <t>Chuykin Yevgeniy</t>
  </si>
  <si>
    <t>Open (05.03.1992)/24</t>
  </si>
  <si>
    <t>Arutyunov Stanislav</t>
  </si>
  <si>
    <t>Open (11.11.1980)/36</t>
  </si>
  <si>
    <t>Magomadov Ruslan</t>
  </si>
  <si>
    <t>Masters 50-54 (01.01.1964)/52</t>
  </si>
  <si>
    <t>95,40</t>
  </si>
  <si>
    <t>Shabalin Dmitriy</t>
  </si>
  <si>
    <t>Open (15.05.1988)/28</t>
  </si>
  <si>
    <t>377,5</t>
  </si>
  <si>
    <t>Masters 40-44 (29.03.1976)/40</t>
  </si>
  <si>
    <t>106,30</t>
  </si>
  <si>
    <t>Masters 45-49 (23.05.1967)/49</t>
  </si>
  <si>
    <t>103,30</t>
  </si>
  <si>
    <t>Open (01.11.1992)/24</t>
  </si>
  <si>
    <t>123,20</t>
  </si>
  <si>
    <t>390,0</t>
  </si>
  <si>
    <t>Open (08.02.1984)/32</t>
  </si>
  <si>
    <t>126,80</t>
  </si>
  <si>
    <t>405,0</t>
  </si>
  <si>
    <t>Open (14.02.1992)/24</t>
  </si>
  <si>
    <t>142,60</t>
  </si>
  <si>
    <t>410,0</t>
  </si>
  <si>
    <t>425,0</t>
  </si>
  <si>
    <t>382,5</t>
  </si>
  <si>
    <t>Divakov Denis</t>
  </si>
  <si>
    <t>Open (27.03.1983)/33</t>
  </si>
  <si>
    <t>150,30</t>
  </si>
  <si>
    <t>Babak Ghosiani</t>
  </si>
  <si>
    <t>1070,0</t>
  </si>
  <si>
    <t>920,2000</t>
  </si>
  <si>
    <t>Malashkin Vasiliy</t>
  </si>
  <si>
    <t>1082,5</t>
  </si>
  <si>
    <t>907,1350</t>
  </si>
  <si>
    <t>Halimimamaghani Bahman</t>
  </si>
  <si>
    <t>1045,0</t>
  </si>
  <si>
    <t>894,3110</t>
  </si>
  <si>
    <t xml:space="preserve">Savelyev Yegor  </t>
  </si>
  <si>
    <t xml:space="preserve">Tsvetkov Vasiliy  </t>
  </si>
  <si>
    <t xml:space="preserve">Mironov Mikhail  </t>
  </si>
  <si>
    <t xml:space="preserve">Zverev Roman </t>
  </si>
  <si>
    <t xml:space="preserve">Yemtsev Nikolay  </t>
  </si>
  <si>
    <t xml:space="preserve">Kurkov Aleksey </t>
  </si>
  <si>
    <t xml:space="preserve">Lugovoy Aleksandr </t>
  </si>
  <si>
    <t xml:space="preserve">Divakov Denis  </t>
  </si>
  <si>
    <t xml:space="preserve">Halimimamaghani Bahman  </t>
  </si>
  <si>
    <t xml:space="preserve">Malashkin Vasiliy  </t>
  </si>
  <si>
    <t xml:space="preserve">Tavakoli Amir  </t>
  </si>
  <si>
    <t>Rumyantsev S.</t>
  </si>
  <si>
    <t>Shabalin D.</t>
  </si>
  <si>
    <t>Bariyev D.</t>
  </si>
  <si>
    <t>Materikin O.</t>
  </si>
  <si>
    <t>Divakov D.</t>
  </si>
  <si>
    <t>Open (07.07.1990)/26</t>
  </si>
  <si>
    <t>Baymuratov Rustam</t>
  </si>
  <si>
    <t>Open (29.04.1984)/32</t>
  </si>
  <si>
    <t>Open (10.04.1987)/29</t>
  </si>
  <si>
    <t>125,50</t>
  </si>
  <si>
    <t xml:space="preserve">Serik Aleksey </t>
  </si>
  <si>
    <t xml:space="preserve">Kashirin Aleksey </t>
  </si>
  <si>
    <t xml:space="preserve">Kuznetsova Oksana </t>
  </si>
  <si>
    <t xml:space="preserve">Postnov D. </t>
  </si>
  <si>
    <t>Masters 60-64 (02.01.1954)/62</t>
  </si>
  <si>
    <t>Lb Baker</t>
  </si>
  <si>
    <t>Teen 18-19 (16.04.1997)/19</t>
  </si>
  <si>
    <t>65,50</t>
  </si>
  <si>
    <t>Open (25.05.1978)/38</t>
  </si>
  <si>
    <t>215,5</t>
  </si>
  <si>
    <t>Masters 55-59 (22.07.1957)/59</t>
  </si>
  <si>
    <t>72,30</t>
  </si>
  <si>
    <t>Anna Kurajarow</t>
  </si>
  <si>
    <t>Open (24.08.1983)/33</t>
  </si>
  <si>
    <t>Clotario Portugal</t>
  </si>
  <si>
    <t>Open (04.06.1976)/40</t>
  </si>
  <si>
    <t>Masters 60-64 (24.07.1954)/62</t>
  </si>
  <si>
    <t>73,30</t>
  </si>
  <si>
    <t>Inge Kaule</t>
  </si>
  <si>
    <t>Open (15.04.1985)/31</t>
  </si>
  <si>
    <t>Katsoulas Argyris</t>
  </si>
  <si>
    <t>Masters 40-44 (31.10.1973)/43</t>
  </si>
  <si>
    <t>150,5</t>
  </si>
  <si>
    <t>Khomov Yevgeniy</t>
  </si>
  <si>
    <t>Open (15.07.1982)/34</t>
  </si>
  <si>
    <t>Masters 45-49 (19.01.1968)/48</t>
  </si>
  <si>
    <t>99,10</t>
  </si>
  <si>
    <t>Churzin Valeriy</t>
  </si>
  <si>
    <t>Masters 40-44 (20.12.1973)/42</t>
  </si>
  <si>
    <t>Kendall Dean</t>
  </si>
  <si>
    <t>Masters 50-54 (30.06.1965)/51</t>
  </si>
  <si>
    <t>94,80</t>
  </si>
  <si>
    <t>Teen 18-19 (09.03.1997)/19</t>
  </si>
  <si>
    <t>104,90</t>
  </si>
  <si>
    <t>Open (02.11.1981)/35</t>
  </si>
  <si>
    <t>317,5</t>
  </si>
  <si>
    <t>Open (10.01.1992)/24</t>
  </si>
  <si>
    <t>Masters 45-49 (28.02.1970)/46</t>
  </si>
  <si>
    <t>109,40</t>
  </si>
  <si>
    <t>Masters 50-54 (13.06.1965)/51</t>
  </si>
  <si>
    <t>109,60</t>
  </si>
  <si>
    <t>169,0</t>
  </si>
  <si>
    <t>LB Baker</t>
  </si>
  <si>
    <t>211,0</t>
  </si>
  <si>
    <t>Masters 55-59 (28.03.1957)/59</t>
  </si>
  <si>
    <t>112,00</t>
  </si>
  <si>
    <t>Palm Harbor/Florida</t>
  </si>
  <si>
    <t>Open (24.05.1977)/39</t>
  </si>
  <si>
    <t>125,60</t>
  </si>
  <si>
    <t>Open (16.12.1991)/24</t>
  </si>
  <si>
    <t>158,60</t>
  </si>
  <si>
    <t>Pekka Anttila</t>
  </si>
  <si>
    <t>Dzhaborov Ruslan</t>
  </si>
  <si>
    <t>497,8560</t>
  </si>
  <si>
    <t>Linnikov Ilya</t>
  </si>
  <si>
    <t>545,0</t>
  </si>
  <si>
    <t>484,6140</t>
  </si>
  <si>
    <t>Kobanov Artem</t>
  </si>
  <si>
    <t>479,8440</t>
  </si>
  <si>
    <t>327,5</t>
  </si>
  <si>
    <t>Kaule Hans-Jurgen</t>
  </si>
  <si>
    <t>538,6615</t>
  </si>
  <si>
    <t>457,6092</t>
  </si>
  <si>
    <t>Taranukhin Georgiy</t>
  </si>
  <si>
    <t>446,9658</t>
  </si>
  <si>
    <t xml:space="preserve">Grigoryeva Viktoriya </t>
  </si>
  <si>
    <t xml:space="preserve">Baker Svetlana  </t>
  </si>
  <si>
    <t xml:space="preserve">Golob Marisa  </t>
  </si>
  <si>
    <t xml:space="preserve">Klyuyeva Alena  </t>
  </si>
  <si>
    <t xml:space="preserve">Nina-Maria Tiivola  </t>
  </si>
  <si>
    <t xml:space="preserve">Maiju Hilander  </t>
  </si>
  <si>
    <t xml:space="preserve">Portugal Felippe  </t>
  </si>
  <si>
    <t xml:space="preserve">Kozinets Aleksey  </t>
  </si>
  <si>
    <t xml:space="preserve">Kaule Hans-Jurgen  </t>
  </si>
  <si>
    <t xml:space="preserve">Dzhaborov Ruslan  </t>
  </si>
  <si>
    <t xml:space="preserve">Simon Stopar  </t>
  </si>
  <si>
    <t xml:space="preserve">Pekka Anttila  </t>
  </si>
  <si>
    <t xml:space="preserve">Sheykin Aleksey  </t>
  </si>
  <si>
    <t xml:space="preserve">Taranukhin Georgiy  </t>
  </si>
  <si>
    <t xml:space="preserve">Oliver Miklos  </t>
  </si>
  <si>
    <t xml:space="preserve">Majoros Robert  </t>
  </si>
  <si>
    <t xml:space="preserve">Linnikov Ilya  </t>
  </si>
  <si>
    <t xml:space="preserve">Kobanov Artem  </t>
  </si>
  <si>
    <t xml:space="preserve">Sytnikov Valeriy  </t>
  </si>
  <si>
    <t xml:space="preserve">Kaspars Andis  </t>
  </si>
  <si>
    <t xml:space="preserve">Uwe Thormann  </t>
  </si>
  <si>
    <t xml:space="preserve">Luchenkov Sergey  </t>
  </si>
  <si>
    <t xml:space="preserve">Anttila Rami  </t>
  </si>
  <si>
    <t xml:space="preserve">Pryakhin S. </t>
  </si>
  <si>
    <t>Lukyanov S.</t>
  </si>
  <si>
    <t>Tarasov E.</t>
  </si>
  <si>
    <t>Fisun Olesya</t>
  </si>
  <si>
    <t>Teen 13-15 (31.05.2001)/15</t>
  </si>
  <si>
    <t>Juniors 20-23 (22.12.1992)/23</t>
  </si>
  <si>
    <t>Akimov Denis</t>
  </si>
  <si>
    <t>Open (26.10.1977)/39</t>
  </si>
  <si>
    <t>Open (10.10.1988)/28</t>
  </si>
  <si>
    <t>58,30</t>
  </si>
  <si>
    <t>Masters 50-54 (29.04.1966)/50</t>
  </si>
  <si>
    <t>Open (08.05.1983)/33</t>
  </si>
  <si>
    <t>Masters 80up (12.03.1936)/80</t>
  </si>
  <si>
    <t>Elista/Kalmykiya</t>
  </si>
  <si>
    <t>Juniors 20-23 (28.12.1995)/20</t>
  </si>
  <si>
    <t>251,0</t>
  </si>
  <si>
    <t>280,5</t>
  </si>
  <si>
    <t>Trondyuk Aleksandr</t>
  </si>
  <si>
    <t>Open (28.12.1995)/20</t>
  </si>
  <si>
    <t>Open (08.06.1983)/33</t>
  </si>
  <si>
    <t>Open (29.08.1992)/24</t>
  </si>
  <si>
    <t>Open (25.11.1988)/28</t>
  </si>
  <si>
    <t>Open (13.04.1989)/27</t>
  </si>
  <si>
    <t>Open (30.09.1984)/32</t>
  </si>
  <si>
    <t>83,50</t>
  </si>
  <si>
    <t>Masters 50-54 (29.09.1965)/51</t>
  </si>
  <si>
    <t>Masters 55-59 (26.08.1960)/56</t>
  </si>
  <si>
    <t>88,30</t>
  </si>
  <si>
    <t>Baker Lb</t>
  </si>
  <si>
    <t>Masters 75-79 (05.01.1937)/79</t>
  </si>
  <si>
    <t>86,60</t>
  </si>
  <si>
    <t>Konstantinov Roman</t>
  </si>
  <si>
    <t>Open (26.03.1984)/32</t>
  </si>
  <si>
    <t>96,80</t>
  </si>
  <si>
    <t>Grakhov Yuliy</t>
  </si>
  <si>
    <t>Masters 50-54 (17.08.1963)/53</t>
  </si>
  <si>
    <t>Teen 18-19 (05.09.1997)/19</t>
  </si>
  <si>
    <t>Juniors 20-23 (14.12.1994)/21</t>
  </si>
  <si>
    <t>105,90</t>
  </si>
  <si>
    <t>Juniors 20-23 (16.07.1996)/20</t>
  </si>
  <si>
    <t>263,0</t>
  </si>
  <si>
    <t>Open (23.10.1984)/32</t>
  </si>
  <si>
    <t>108,80</t>
  </si>
  <si>
    <t>Open (10.02.1986)/30</t>
  </si>
  <si>
    <t>332,5</t>
  </si>
  <si>
    <t>Open (25.01.1990)/26</t>
  </si>
  <si>
    <t>Shekhovtsev Dmitriy</t>
  </si>
  <si>
    <t>Open (05.09.1997)/19</t>
  </si>
  <si>
    <t>Masters 40-44 (25.06.1973)/43</t>
  </si>
  <si>
    <t>107,30</t>
  </si>
  <si>
    <t>Teen 18-19 (29.12.1997)/18</t>
  </si>
  <si>
    <t>113,50</t>
  </si>
  <si>
    <t>Juniors 20-23 (21.08.1993)/23</t>
  </si>
  <si>
    <t>115,00</t>
  </si>
  <si>
    <t>335,0</t>
  </si>
  <si>
    <t>Open (12.11.1978)/38</t>
  </si>
  <si>
    <t>116,90</t>
  </si>
  <si>
    <t>Open (08.08.1990)/26</t>
  </si>
  <si>
    <t>118,00</t>
  </si>
  <si>
    <t>Open (22.04.1978)/38</t>
  </si>
  <si>
    <t>120,70</t>
  </si>
  <si>
    <t>Open (11.07.1985)/31</t>
  </si>
  <si>
    <t>114,20</t>
  </si>
  <si>
    <t>Masters 45-49 (22.03.1970)/46</t>
  </si>
  <si>
    <t>115,90</t>
  </si>
  <si>
    <t>Open (20.05.1985)/31</t>
  </si>
  <si>
    <t>132,00</t>
  </si>
  <si>
    <t>Open (12.08.1986)/30</t>
  </si>
  <si>
    <t>138,60</t>
  </si>
  <si>
    <t>Masters 40-44 (19.09.1974)/42</t>
  </si>
  <si>
    <t>140,10</t>
  </si>
  <si>
    <t>Borisov Artur</t>
  </si>
  <si>
    <t>Bernetskiy Vladislav</t>
  </si>
  <si>
    <t>Morozov Konstantin</t>
  </si>
  <si>
    <t>346,2420</t>
  </si>
  <si>
    <t>338,1950</t>
  </si>
  <si>
    <t>Fedorov Ilya</t>
  </si>
  <si>
    <t>323,3340</t>
  </si>
  <si>
    <t>462,6719</t>
  </si>
  <si>
    <t>Dambinov Aleksandr</t>
  </si>
  <si>
    <t>Masters 80up</t>
  </si>
  <si>
    <t>406,3500</t>
  </si>
  <si>
    <t>324,5590</t>
  </si>
  <si>
    <t xml:space="preserve">Yefimova Anna </t>
  </si>
  <si>
    <t xml:space="preserve">Burnashova Svetlana  </t>
  </si>
  <si>
    <t xml:space="preserve">Sazonova Alina  </t>
  </si>
  <si>
    <t xml:space="preserve">Sidorova Olga  </t>
  </si>
  <si>
    <t xml:space="preserve">Ablayeva Viktoriya  </t>
  </si>
  <si>
    <t xml:space="preserve">Khudayarova Anna </t>
  </si>
  <si>
    <t xml:space="preserve">Ruzin Ernst  </t>
  </si>
  <si>
    <t xml:space="preserve">Dambinov Aleksandr  </t>
  </si>
  <si>
    <t xml:space="preserve">Trondyuk Aleksandr </t>
  </si>
  <si>
    <t xml:space="preserve">Kulikov Dmitriy  </t>
  </si>
  <si>
    <t xml:space="preserve">Vorobey Bogdan  </t>
  </si>
  <si>
    <t xml:space="preserve">Udalov Andrey  </t>
  </si>
  <si>
    <t xml:space="preserve">Fedorov Ilya  </t>
  </si>
  <si>
    <t xml:space="preserve">Ilyasov Anton  </t>
  </si>
  <si>
    <t xml:space="preserve">Kochenyuk Artem  </t>
  </si>
  <si>
    <t xml:space="preserve">Tsaparov Kirill  </t>
  </si>
  <si>
    <t xml:space="preserve">Khomov Yevgeniy  </t>
  </si>
  <si>
    <t xml:space="preserve">Fokin Vladimir  </t>
  </si>
  <si>
    <t xml:space="preserve">Zerpa-Garcia Luis  </t>
  </si>
  <si>
    <t xml:space="preserve">Zaytsev Vadim  </t>
  </si>
  <si>
    <t xml:space="preserve">Shekhovtsev Dmitriy  </t>
  </si>
  <si>
    <t xml:space="preserve">Noskov Ruslan </t>
  </si>
  <si>
    <t xml:space="preserve">Maden Ulas </t>
  </si>
  <si>
    <t xml:space="preserve">Morozov Konstantin  </t>
  </si>
  <si>
    <t xml:space="preserve">Tarakin Aleksandr  </t>
  </si>
  <si>
    <t xml:space="preserve">Sotov Aleksey  </t>
  </si>
  <si>
    <t xml:space="preserve">Dovgoborets Vasiliy  </t>
  </si>
  <si>
    <t xml:space="preserve">Mukarrum Mohammed-Azamathulla </t>
  </si>
  <si>
    <t xml:space="preserve">Stepovoy Valeriy  </t>
  </si>
  <si>
    <t xml:space="preserve">Borisov Artur  </t>
  </si>
  <si>
    <t xml:space="preserve">Daragan Sergey </t>
  </si>
  <si>
    <t xml:space="preserve">Chesnokov Ivan  </t>
  </si>
  <si>
    <t xml:space="preserve">Marchenko Vladimir </t>
  </si>
  <si>
    <t xml:space="preserve">Sapounakis Pantelis  </t>
  </si>
  <si>
    <t xml:space="preserve">Yushchenko Yevgeniy  </t>
  </si>
  <si>
    <t xml:space="preserve">Palshin Leonid  </t>
  </si>
  <si>
    <t xml:space="preserve">Krylov Viktor </t>
  </si>
  <si>
    <t xml:space="preserve">Filippov Anton </t>
  </si>
  <si>
    <t xml:space="preserve">Farahi Morteza </t>
  </si>
  <si>
    <t>Akimov D.</t>
  </si>
  <si>
    <t>Buntov D.</t>
  </si>
  <si>
    <t xml:space="preserve">Shumskiy </t>
  </si>
  <si>
    <t>Romanov Yu.</t>
  </si>
  <si>
    <t>Bryakhin S.</t>
  </si>
  <si>
    <t>Senkin V.</t>
  </si>
  <si>
    <t>Tarakina N.</t>
  </si>
  <si>
    <t>Kazantsev.S.</t>
  </si>
  <si>
    <t>Nastynov I.</t>
  </si>
  <si>
    <t>Juniors 20-23 (16.09.1996)/20</t>
  </si>
  <si>
    <t>38,60</t>
  </si>
  <si>
    <t>Open (27.07.1987)/29</t>
  </si>
  <si>
    <t>50,80</t>
  </si>
  <si>
    <t>Masters 40-44 (30.05.1972)/44</t>
  </si>
  <si>
    <t>51,50</t>
  </si>
  <si>
    <t>Tripp Russ</t>
  </si>
  <si>
    <t>Masters 60-64 (06.12.1952)/64</t>
  </si>
  <si>
    <t>49,60</t>
  </si>
  <si>
    <t>54,0</t>
  </si>
  <si>
    <t>56,0</t>
  </si>
  <si>
    <t>Open (17.02.1988)/28</t>
  </si>
  <si>
    <t>55,10</t>
  </si>
  <si>
    <t>Open (15.02.1988)/28</t>
  </si>
  <si>
    <t>61,30</t>
  </si>
  <si>
    <t>Galich Inga</t>
  </si>
  <si>
    <t>Open (18.01.1970)/46</t>
  </si>
  <si>
    <t>Masters 45-49 (18.01.1970)/46</t>
  </si>
  <si>
    <t>Teen 16-17 (06.01.1999)/17</t>
  </si>
  <si>
    <t>Arzhakov Daniil</t>
  </si>
  <si>
    <t>Open (29.04.1977)/39</t>
  </si>
  <si>
    <t>71,10</t>
  </si>
  <si>
    <t>Yastrebov Aleksandr</t>
  </si>
  <si>
    <t>Teen 13-15 (21.12.2002)/13</t>
  </si>
  <si>
    <t>Open (19.10.1991)/25</t>
  </si>
  <si>
    <t>Salosalov Sergey</t>
  </si>
  <si>
    <t>Teen 13-15 (11.09.2004)/12</t>
  </si>
  <si>
    <t>Open (01.12.1989)/27</t>
  </si>
  <si>
    <t>58,10</t>
  </si>
  <si>
    <t>Open (30.11.1987)/29</t>
  </si>
  <si>
    <t>Open (11.06.1967)/49</t>
  </si>
  <si>
    <t>Open (23.04.1985)/31</t>
  </si>
  <si>
    <t>74,10</t>
  </si>
  <si>
    <t>Open (05.03.1987)/29</t>
  </si>
  <si>
    <t>Masters 45-49 (16.08.1967)/49</t>
  </si>
  <si>
    <t>Masters 60-64 (11.02.1953)/63</t>
  </si>
  <si>
    <t>Portugal Clotario</t>
  </si>
  <si>
    <t>Juniors 20-23 (08.08.1995)/21</t>
  </si>
  <si>
    <t>82,20</t>
  </si>
  <si>
    <t>Juniors 20-23 (27.08.1994)/22</t>
  </si>
  <si>
    <t>Open (27.06.1989)/27</t>
  </si>
  <si>
    <t>Open (03.05.1985)/31</t>
  </si>
  <si>
    <t>81,20</t>
  </si>
  <si>
    <t>Open (01.04.1989)/27</t>
  </si>
  <si>
    <t>Open (12.07.1988)/28</t>
  </si>
  <si>
    <t>Isayev Andrey</t>
  </si>
  <si>
    <t>Open (15.12.1991)/24</t>
  </si>
  <si>
    <t>Masters 40-44 (12.03.1972)/44</t>
  </si>
  <si>
    <t>79,80</t>
  </si>
  <si>
    <t>Masters 50-54 (17.11.1963)/53</t>
  </si>
  <si>
    <t>79,50</t>
  </si>
  <si>
    <t>Teen 18-19 (24.07.1997)/19</t>
  </si>
  <si>
    <t>Open (29.04.1986)/30</t>
  </si>
  <si>
    <t>Open (16.10.1987)/29</t>
  </si>
  <si>
    <t>Open (20.11.1981)/35</t>
  </si>
  <si>
    <t>Open (21.03.1992)/24</t>
  </si>
  <si>
    <t>Open (03.06.1992)/24</t>
  </si>
  <si>
    <t>Open (22.05.1992)/24</t>
  </si>
  <si>
    <t>Open (27.08.1989)/27</t>
  </si>
  <si>
    <t>Sidorenko Vladimir</t>
  </si>
  <si>
    <t>Open (27.10.1961)/55</t>
  </si>
  <si>
    <t>84,20</t>
  </si>
  <si>
    <t>Masters 40-44 (31.12.1975)/40</t>
  </si>
  <si>
    <t>Masters 50-54 (06.05.1965)/51</t>
  </si>
  <si>
    <t>Masters 55-59 (08.11.1961)/55</t>
  </si>
  <si>
    <t>Masters 55-59 (27.10.1961)/55</t>
  </si>
  <si>
    <t>Masters 60-64 (15.06.1954)/62</t>
  </si>
  <si>
    <t>Masters 60-64 (13.06.1954)/62</t>
  </si>
  <si>
    <t>Martirosov Eduard</t>
  </si>
  <si>
    <t>Juniors 20-23 (22.06.1995)/21</t>
  </si>
  <si>
    <t>Korobov Ilya</t>
  </si>
  <si>
    <t>Juniors 20-23 (31.05.1993)/23</t>
  </si>
  <si>
    <t>Riznik Artem</t>
  </si>
  <si>
    <t>Juniors 20-23 (04.05.1994)/22</t>
  </si>
  <si>
    <t>Kakhuta Vadim</t>
  </si>
  <si>
    <t>Open (15.08.1981)/35</t>
  </si>
  <si>
    <t>272,0</t>
  </si>
  <si>
    <t>Zhachenkov Aleksand</t>
  </si>
  <si>
    <t>Shishimin Aleksey</t>
  </si>
  <si>
    <t>Open (21.03.1989)/27</t>
  </si>
  <si>
    <t>Sieppi Ville</t>
  </si>
  <si>
    <t>Open (17.11.1987)/29</t>
  </si>
  <si>
    <t>91,30</t>
  </si>
  <si>
    <t>Markov Artem</t>
  </si>
  <si>
    <t>Open (03.08.1986)/30</t>
  </si>
  <si>
    <t>Chmirevskiy Mikhail</t>
  </si>
  <si>
    <t>Open (18.01.1978)/38</t>
  </si>
  <si>
    <t>Zhegulin Andrey</t>
  </si>
  <si>
    <t>Open (26.06.1980)/36</t>
  </si>
  <si>
    <t>Chakalov Denis</t>
  </si>
  <si>
    <t>Open (19.06.1987)/29</t>
  </si>
  <si>
    <t>Lipachev Igor</t>
  </si>
  <si>
    <t>Open (13.08.1968)/48</t>
  </si>
  <si>
    <t>99,90</t>
  </si>
  <si>
    <t>Grigoryev Yuriy</t>
  </si>
  <si>
    <t>Sub Masters 33-39 (09.02.1982)/34</t>
  </si>
  <si>
    <t>Galkin Vladimir</t>
  </si>
  <si>
    <t>Masters 40-44 (19.11.1975)/41</t>
  </si>
  <si>
    <t>92,30</t>
  </si>
  <si>
    <t>Savelyev Sergey</t>
  </si>
  <si>
    <t>Masters 40-44 (15.03.1975)/41</t>
  </si>
  <si>
    <t>Karasev Boris</t>
  </si>
  <si>
    <t>Masters 40-44 (26.08.1972)/44</t>
  </si>
  <si>
    <t>Masters 45-49 (13.08.1968)/48</t>
  </si>
  <si>
    <t>Nikulin Andrey</t>
  </si>
  <si>
    <t>Masters 45-49 (01.12.1967)/49</t>
  </si>
  <si>
    <t>Aliyev Natig</t>
  </si>
  <si>
    <t>Masters 50-54 (07.02.1964)/52</t>
  </si>
  <si>
    <t>Molchanov Yuriy</t>
  </si>
  <si>
    <t>Masters 65-69 (08.12.1951)/65</t>
  </si>
  <si>
    <t>Juniors 20-23 (09.10.1993)/23</t>
  </si>
  <si>
    <t>Open (15.10.1981)/35</t>
  </si>
  <si>
    <t>Sagdiyev Rustem</t>
  </si>
  <si>
    <t>Open (21.10.1971)/45</t>
  </si>
  <si>
    <t>Open (15.08.1977)/39</t>
  </si>
  <si>
    <t>102,70</t>
  </si>
  <si>
    <t>Puzyrev Denis</t>
  </si>
  <si>
    <t>Open (31.03.1974)/42</t>
  </si>
  <si>
    <t>Open (20.07.1978)/38</t>
  </si>
  <si>
    <t>Mutsayev Khamzat</t>
  </si>
  <si>
    <t>Open (28.08.1979)/37</t>
  </si>
  <si>
    <t>Masters 40-44 (26.05.1972)/44</t>
  </si>
  <si>
    <t>108,40</t>
  </si>
  <si>
    <t>Masters 40-44 (18.08.1975)/41</t>
  </si>
  <si>
    <t>Masters 40-44 (28.12.1974)/41</t>
  </si>
  <si>
    <t>Masters 40-44 (31.03.1974)/42</t>
  </si>
  <si>
    <t>Masters 40-44 (18.08.1976)/40</t>
  </si>
  <si>
    <t>Masters 45-49 (21.10.1971)/45</t>
  </si>
  <si>
    <t>Masters 45-49 (13.08.1971)/45</t>
  </si>
  <si>
    <t>Masters 45-49 (12.07.1971)/45</t>
  </si>
  <si>
    <t>107,80</t>
  </si>
  <si>
    <t>Latviya</t>
  </si>
  <si>
    <t>Juniors 20-23 (20.05.1993)/23</t>
  </si>
  <si>
    <t>116,60</t>
  </si>
  <si>
    <t>Open (09.12.1980)/36</t>
  </si>
  <si>
    <t>125,00</t>
  </si>
  <si>
    <t>Pedchenko Aleksandr</t>
  </si>
  <si>
    <t>Open (20.05.1993)/23</t>
  </si>
  <si>
    <t>Open (12.04.1985)/31</t>
  </si>
  <si>
    <t>114,30</t>
  </si>
  <si>
    <t>Sub Masters 33-39 (09.12.1980)/36</t>
  </si>
  <si>
    <t>Masters 40-44 (15.03.1973)/43</t>
  </si>
  <si>
    <t>113,30</t>
  </si>
  <si>
    <t>Masters 40-44 (03.08.1975)/41</t>
  </si>
  <si>
    <t>114,50</t>
  </si>
  <si>
    <t>Masters 45-49 (07.06.1968)/48</t>
  </si>
  <si>
    <t>119,00</t>
  </si>
  <si>
    <t>Buntov</t>
  </si>
  <si>
    <t>Masters 50-54 (01.01.1962)/54</t>
  </si>
  <si>
    <t>118,60</t>
  </si>
  <si>
    <t>Masters 50-54 (26.05.1963)/53</t>
  </si>
  <si>
    <t>110,80</t>
  </si>
  <si>
    <t>Masters 55-59 (17.05.1960)/56</t>
  </si>
  <si>
    <t>113,60</t>
  </si>
  <si>
    <t>Open (09.03.1991)/25</t>
  </si>
  <si>
    <t>125,70</t>
  </si>
  <si>
    <t>Abramov Aleksandr</t>
  </si>
  <si>
    <t>Open (09.08.1977)/39</t>
  </si>
  <si>
    <t>131,90</t>
  </si>
  <si>
    <t>Masters 45-49 (07.04.1971)/45</t>
  </si>
  <si>
    <t>154,30</t>
  </si>
  <si>
    <t>229,3440</t>
  </si>
  <si>
    <t>Zubritskaya Lina</t>
  </si>
  <si>
    <t>218,7250</t>
  </si>
  <si>
    <t>186,1680</t>
  </si>
  <si>
    <t>210,8780</t>
  </si>
  <si>
    <t>188,8110</t>
  </si>
  <si>
    <t>185,6880</t>
  </si>
  <si>
    <t>Belousov Roman</t>
  </si>
  <si>
    <t>270,8875</t>
  </si>
  <si>
    <t>250,2944</t>
  </si>
  <si>
    <t>Belous Artur</t>
  </si>
  <si>
    <t>237,3840</t>
  </si>
  <si>
    <t>Filatov Yevgeniy</t>
  </si>
  <si>
    <t>Kozlov Vladimir</t>
  </si>
  <si>
    <t>232,9906</t>
  </si>
  <si>
    <t>225,3162</t>
  </si>
  <si>
    <t>224,3462</t>
  </si>
  <si>
    <t>Molchanov Sergey</t>
  </si>
  <si>
    <t xml:space="preserve">Lvova Olga  </t>
  </si>
  <si>
    <t xml:space="preserve">Burnashova Svetlana </t>
  </si>
  <si>
    <t xml:space="preserve">Lokhmotkina Yuliya  </t>
  </si>
  <si>
    <t xml:space="preserve">Tripp Dana  </t>
  </si>
  <si>
    <t xml:space="preserve">Kaule Inga  </t>
  </si>
  <si>
    <t xml:space="preserve">Potekhina Yekaterina  </t>
  </si>
  <si>
    <t xml:space="preserve">Zubritskaya Lina  </t>
  </si>
  <si>
    <t xml:space="preserve">Galich Inga  </t>
  </si>
  <si>
    <t xml:space="preserve">Blinova Anastasiya  </t>
  </si>
  <si>
    <t xml:space="preserve">Ryndya Yelena  </t>
  </si>
  <si>
    <t xml:space="preserve">Knysh Viktoriya  </t>
  </si>
  <si>
    <t xml:space="preserve">Belousov Roman  </t>
  </si>
  <si>
    <t xml:space="preserve">Yusupov Rishat </t>
  </si>
  <si>
    <t xml:space="preserve">Karaziya Sergey  </t>
  </si>
  <si>
    <t xml:space="preserve">Kuchin Igor </t>
  </si>
  <si>
    <t xml:space="preserve">Belous Artur </t>
  </si>
  <si>
    <t xml:space="preserve">Alimov Mikhail  </t>
  </si>
  <si>
    <t xml:space="preserve">Russell Eric  </t>
  </si>
  <si>
    <t xml:space="preserve">Portugal Clotario  </t>
  </si>
  <si>
    <t xml:space="preserve">Arzhakov Daniil  </t>
  </si>
  <si>
    <t xml:space="preserve">Shturmin Artem </t>
  </si>
  <si>
    <t xml:space="preserve">Makhonin Aleksandr  </t>
  </si>
  <si>
    <t xml:space="preserve">Volkov Aleksey </t>
  </si>
  <si>
    <t xml:space="preserve">Askerov Shamil  </t>
  </si>
  <si>
    <t xml:space="preserve">Ksenofontov Roman  </t>
  </si>
  <si>
    <t xml:space="preserve">Skvortsov Aleksandr  </t>
  </si>
  <si>
    <t xml:space="preserve">Karandashev Vladimir  </t>
  </si>
  <si>
    <t xml:space="preserve">Katsoulas Argyris  </t>
  </si>
  <si>
    <t xml:space="preserve">Tenishev Valerian  </t>
  </si>
  <si>
    <t xml:space="preserve">Tumanov Ivan  </t>
  </si>
  <si>
    <t xml:space="preserve">Akinshin Pavel  </t>
  </si>
  <si>
    <t xml:space="preserve">Nikolayenko Aleksey  </t>
  </si>
  <si>
    <t xml:space="preserve">Karpukhin Pavel  </t>
  </si>
  <si>
    <t xml:space="preserve">Shalashov Igor  </t>
  </si>
  <si>
    <t xml:space="preserve">Kachan Sergey  </t>
  </si>
  <si>
    <t xml:space="preserve">Bertram Valeriy  </t>
  </si>
  <si>
    <t xml:space="preserve">Zhuravlev Andrey </t>
  </si>
  <si>
    <t xml:space="preserve">Shchekleyev Roman  </t>
  </si>
  <si>
    <t xml:space="preserve">Zotin Kirill  </t>
  </si>
  <si>
    <t xml:space="preserve">Bugakov Sergey  </t>
  </si>
  <si>
    <t xml:space="preserve">Gavrikov Igor  </t>
  </si>
  <si>
    <t xml:space="preserve">Vasilyev Sergey  </t>
  </si>
  <si>
    <t xml:space="preserve">Sidorenko Vladimir </t>
  </si>
  <si>
    <t xml:space="preserve">Kozlov Vladimir  </t>
  </si>
  <si>
    <t xml:space="preserve">Ryazanov Boris  </t>
  </si>
  <si>
    <t xml:space="preserve">Agarzayev Eldar  </t>
  </si>
  <si>
    <t xml:space="preserve">Filatov Yevgeniy </t>
  </si>
  <si>
    <t xml:space="preserve">Golovin Artem  </t>
  </si>
  <si>
    <t xml:space="preserve">Chernysh Aleksandr  </t>
  </si>
  <si>
    <t xml:space="preserve">Kolganov Sergey  </t>
  </si>
  <si>
    <t xml:space="preserve">Dmitriyev Eduard </t>
  </si>
  <si>
    <t xml:space="preserve">Kovrigin Aleksey  </t>
  </si>
  <si>
    <t xml:space="preserve">Aleksandrov Yevgeniy  </t>
  </si>
  <si>
    <t xml:space="preserve">Puzyrev Denis </t>
  </si>
  <si>
    <t xml:space="preserve">Sorokin Nikolay  </t>
  </si>
  <si>
    <t xml:space="preserve">Potekhin Kirill  </t>
  </si>
  <si>
    <t xml:space="preserve">Mariks Daugavets  </t>
  </si>
  <si>
    <t xml:space="preserve">Sharapov Igor  </t>
  </si>
  <si>
    <t xml:space="preserve">Pedchenko Aleksandr </t>
  </si>
  <si>
    <t xml:space="preserve">Knanna Vishal  </t>
  </si>
  <si>
    <t xml:space="preserve">Rumyantsev Mikhail  </t>
  </si>
  <si>
    <t xml:space="preserve">Molchanov Sergey </t>
  </si>
  <si>
    <t xml:space="preserve">Ryndya Vladimir  </t>
  </si>
  <si>
    <t xml:space="preserve">Silayev Maksim  </t>
  </si>
  <si>
    <t xml:space="preserve">Yepishin Yevgeniy  </t>
  </si>
  <si>
    <t xml:space="preserve">Mavsar Iztok  </t>
  </si>
  <si>
    <t xml:space="preserve">Sers Voldemars  </t>
  </si>
  <si>
    <t xml:space="preserve">Fotin Aleksandr  </t>
  </si>
  <si>
    <t xml:space="preserve">Karpov Stanislav </t>
  </si>
  <si>
    <t>Azerbaijan</t>
  </si>
  <si>
    <t>Russia/Ivanovo</t>
  </si>
  <si>
    <t>Lokhmotkin M.</t>
  </si>
  <si>
    <t>Potekhin K.</t>
  </si>
  <si>
    <t>Arzhakov D.</t>
  </si>
  <si>
    <t>Ryndya V.</t>
  </si>
  <si>
    <t>Kushin I., Odintsova S.</t>
  </si>
  <si>
    <t>Salosalov S.</t>
  </si>
  <si>
    <t>Valiullin A.</t>
  </si>
  <si>
    <t>Adysev D.</t>
  </si>
  <si>
    <t>Milostnoy S.</t>
  </si>
  <si>
    <t>Kuchin I.</t>
  </si>
  <si>
    <t>Makhonin A.</t>
  </si>
  <si>
    <t>Papushoy V.</t>
  </si>
  <si>
    <t>Lisyutin M.</t>
  </si>
  <si>
    <t>Mamedov R.</t>
  </si>
  <si>
    <t>Inyutin A.A</t>
  </si>
  <si>
    <t>Bebenin G.</t>
  </si>
  <si>
    <t>Gridnev A.</t>
  </si>
  <si>
    <t>Zheltenko Ye.</t>
  </si>
  <si>
    <t>Surovetskiy A.</t>
  </si>
  <si>
    <t>Timofeyev O., Lakhin S.</t>
  </si>
  <si>
    <t>Iztok M.</t>
  </si>
  <si>
    <t>Gloss</t>
  </si>
  <si>
    <t>54,30</t>
  </si>
  <si>
    <t>Kupriyanova Yuliya</t>
  </si>
  <si>
    <t>Juniors 20-23 (08.02.1993)/23</t>
  </si>
  <si>
    <t>Maletskaya Svetlana</t>
  </si>
  <si>
    <t>Open (04.06.1983)/33</t>
  </si>
  <si>
    <t>Open (17.06.1997)/19</t>
  </si>
  <si>
    <t>121,00</t>
  </si>
  <si>
    <t>Varshavskiy Ilya</t>
  </si>
  <si>
    <t>Open (03.11.1991)/25</t>
  </si>
  <si>
    <t>Khuzin Rinat</t>
  </si>
  <si>
    <t>Masters 40-49 (14.06.1969)/47</t>
  </si>
  <si>
    <t>73,40</t>
  </si>
  <si>
    <t>Masters 40-49 (12.05.1971)/45</t>
  </si>
  <si>
    <t>Alekseychuk Konstantin</t>
  </si>
  <si>
    <t>Open (17.11.1988)/28</t>
  </si>
  <si>
    <t>Klimanov Igor</t>
  </si>
  <si>
    <t>Masters 40-49 (30.07.1974)/42</t>
  </si>
  <si>
    <t>Skvortsov Mikhail</t>
  </si>
  <si>
    <t>Masters 40-49 (19.04.1970)/46</t>
  </si>
  <si>
    <t>Bazanov Aleksandr</t>
  </si>
  <si>
    <t>Teen 13-19 (02.05.1997)/19</t>
  </si>
  <si>
    <t>Sukharev Andrey</t>
  </si>
  <si>
    <t>Open (22.07.1974)/42</t>
  </si>
  <si>
    <t>Borodiy Vladislav</t>
  </si>
  <si>
    <t>Open (07.11.1982)/34</t>
  </si>
  <si>
    <t>Simkin Andrey</t>
  </si>
  <si>
    <t>Open (27.05.1983)/33</t>
  </si>
  <si>
    <t>Atmeneyev Vitaliy</t>
  </si>
  <si>
    <t>Open (06.11.1986)/30</t>
  </si>
  <si>
    <t>Masters 40-49 (22.07.1974)/42</t>
  </si>
  <si>
    <t>Kiselgof Maksim</t>
  </si>
  <si>
    <t>Masters 40-49 (23.06.1974)/42</t>
  </si>
  <si>
    <t>Stepyshev Aleksey</t>
  </si>
  <si>
    <t>Masters 50-59 (10.05.1963)/53</t>
  </si>
  <si>
    <t>Yurasov Roman</t>
  </si>
  <si>
    <t>Open (16.03.1976)/40</t>
  </si>
  <si>
    <t>Legchilin Roman</t>
  </si>
  <si>
    <t>Zhiltsov Aleksandr</t>
  </si>
  <si>
    <t>Open (04.04.1985)/31</t>
  </si>
  <si>
    <t>104,10</t>
  </si>
  <si>
    <t>Amelin Aleksandr</t>
  </si>
  <si>
    <t>Open (16.02.1987)/29</t>
  </si>
  <si>
    <t>Masters 40-49 (16.03.1976)/40</t>
  </si>
  <si>
    <t>Kotik Svyatoslav</t>
  </si>
  <si>
    <t>Masters 40-49 (14.01.1972)/44</t>
  </si>
  <si>
    <t>Masters 40-49 (06.12.1969)/47</t>
  </si>
  <si>
    <t>Ogloblin Denis</t>
  </si>
  <si>
    <t>Open (12.05.1967)/49</t>
  </si>
  <si>
    <t>119,90</t>
  </si>
  <si>
    <t>Masters 40-49 (20.05.1974)/42</t>
  </si>
  <si>
    <t>Masters 40-49 (12.05.1967)/49</t>
  </si>
  <si>
    <t>Marachev Roman</t>
  </si>
  <si>
    <t>Open (16.05.1978)/38</t>
  </si>
  <si>
    <t>135,90</t>
  </si>
  <si>
    <t>Sub Masters 33-39 (16.05.1978)/38</t>
  </si>
  <si>
    <t>159,9535</t>
  </si>
  <si>
    <t>155,1687</t>
  </si>
  <si>
    <t>151,1396</t>
  </si>
  <si>
    <t>Masters 40-49</t>
  </si>
  <si>
    <t>154,1624</t>
  </si>
  <si>
    <t>147,6403</t>
  </si>
  <si>
    <t>Varshavskiy I.</t>
  </si>
  <si>
    <t>Karatkov M.</t>
  </si>
  <si>
    <t>Yeremin Yu.</t>
  </si>
  <si>
    <t>Chikin S.</t>
  </si>
  <si>
    <t>Open (28.07.1988)/28</t>
  </si>
  <si>
    <t>Ilyukhin Aleksandr</t>
  </si>
  <si>
    <t>Open (22.07.1986)/30</t>
  </si>
  <si>
    <t>77,20</t>
  </si>
  <si>
    <t>Kolydanov Mikhail</t>
  </si>
  <si>
    <t>Open (30.04.1979)/37</t>
  </si>
  <si>
    <t>96,70</t>
  </si>
  <si>
    <t>Muratov Sergey</t>
  </si>
  <si>
    <t>Open (09.08.1982)/34</t>
  </si>
  <si>
    <t>Skripnik Dmitriy</t>
  </si>
  <si>
    <t>Open (17.06.1976)/40</t>
  </si>
  <si>
    <t>Titov S.</t>
  </si>
  <si>
    <t>Vasilenko Dmitriy</t>
  </si>
  <si>
    <t>Masters 40-49 (03.06.1975)/41</t>
  </si>
  <si>
    <t>Masters 40-49 (17.06.1976)/40</t>
  </si>
  <si>
    <t>Andreyev Yevgeniy</t>
  </si>
  <si>
    <t>Juniors 20-23 (03.12.1995)/21</t>
  </si>
  <si>
    <t>105,40</t>
  </si>
  <si>
    <t>Teen 13-19 (29.12.1997)/18</t>
  </si>
  <si>
    <t>Open (15.03.1973)/43</t>
  </si>
  <si>
    <t>Bunin Oleg</t>
  </si>
  <si>
    <t>Open (20.05.1979)/37</t>
  </si>
  <si>
    <t>118,30</t>
  </si>
  <si>
    <t>Rakov Sergey</t>
  </si>
  <si>
    <t>Open (16.02.1979)/37</t>
  </si>
  <si>
    <t>Pisarev Kirill</t>
  </si>
  <si>
    <t>Open (07.08.1972)/44</t>
  </si>
  <si>
    <t>122,90</t>
  </si>
  <si>
    <t>Open (29.12.1997)/18</t>
  </si>
  <si>
    <t>Masters 40-49 (15.03.1973)/43</t>
  </si>
  <si>
    <t>Masters 40-49 (07.08.1972)/44</t>
  </si>
  <si>
    <t>Open (18.05.1975)/41</t>
  </si>
  <si>
    <t>Masters 50-59 (04.04.1960)/56</t>
  </si>
  <si>
    <t>147,90</t>
  </si>
  <si>
    <t>182,7360</t>
  </si>
  <si>
    <t>173,0265</t>
  </si>
  <si>
    <t>170,4118</t>
  </si>
  <si>
    <t>2</t>
  </si>
  <si>
    <t>Khuzin R.</t>
  </si>
  <si>
    <t>Gromov S.</t>
  </si>
  <si>
    <t>Leonov Pavel</t>
  </si>
  <si>
    <t>Open (08.11.1983)/33</t>
  </si>
  <si>
    <t>96,00</t>
  </si>
  <si>
    <t>Kovazhenko Konstantin</t>
  </si>
  <si>
    <t>Open (17.04.1978)/38</t>
  </si>
  <si>
    <t>Novinskiy Aleksandr</t>
  </si>
  <si>
    <t>Open (08.08.1983)/33</t>
  </si>
  <si>
    <t>Melnikov Aleksey</t>
  </si>
  <si>
    <t>Open (22.10.1987)/29</t>
  </si>
  <si>
    <t>Open (03.06.1975)/41</t>
  </si>
  <si>
    <t>Golubev Yaroslav</t>
  </si>
  <si>
    <t>Open (02.02.1980)/36</t>
  </si>
  <si>
    <t>Radchenko Igor</t>
  </si>
  <si>
    <t>Open (28.01.1982)/34</t>
  </si>
  <si>
    <t>107,50</t>
  </si>
  <si>
    <t>Zalutskiy Roman</t>
  </si>
  <si>
    <t>Naydenov Viktor</t>
  </si>
  <si>
    <t>Open (25.01.1987)/29</t>
  </si>
  <si>
    <t>381,0</t>
  </si>
  <si>
    <t>Begalko Anton</t>
  </si>
  <si>
    <t>Lomov Igor</t>
  </si>
  <si>
    <t>Open (29.10.1970)/46</t>
  </si>
  <si>
    <t>119,40</t>
  </si>
  <si>
    <t>Fursov Viktor</t>
  </si>
  <si>
    <t>Open (09.05.1974)/42</t>
  </si>
  <si>
    <t>113,80</t>
  </si>
  <si>
    <t>Open (19.01.1969)/47</t>
  </si>
  <si>
    <t>Open (31.01.1979)/37</t>
  </si>
  <si>
    <t>132,20</t>
  </si>
  <si>
    <t>Livshits Oleg</t>
  </si>
  <si>
    <t>Open (03.10.1973)/43</t>
  </si>
  <si>
    <t>139,20</t>
  </si>
  <si>
    <t>Markov Stanislav</t>
  </si>
  <si>
    <t>Open (06.04.1994)/22</t>
  </si>
  <si>
    <t>155,00</t>
  </si>
  <si>
    <t>199,9835</t>
  </si>
  <si>
    <t>195,3435</t>
  </si>
  <si>
    <t>193,1125</t>
  </si>
  <si>
    <t>Town/Region</t>
  </si>
  <si>
    <t>ФИО</t>
  </si>
  <si>
    <t>Wilks</t>
  </si>
  <si>
    <t>Команда</t>
  </si>
  <si>
    <t>Жим</t>
  </si>
  <si>
    <t>Сумма</t>
  </si>
  <si>
    <t>Очки</t>
  </si>
  <si>
    <t>Тренер</t>
  </si>
  <si>
    <t>Рек</t>
  </si>
  <si>
    <t>ВЕСОВАЯ КАТЕГОРИЯ   60</t>
  </si>
  <si>
    <t>Торопова Ольга</t>
  </si>
  <si>
    <t>Open (14.11.1981)/35</t>
  </si>
  <si>
    <t xml:space="preserve">Бомбардир </t>
  </si>
  <si>
    <t xml:space="preserve">Раменское/Московская область </t>
  </si>
  <si>
    <t xml:space="preserve">Поздняков </t>
  </si>
  <si>
    <t xml:space="preserve">Абсолютный зачёт </t>
  </si>
  <si>
    <t xml:space="preserve">Открытая </t>
  </si>
  <si>
    <t xml:space="preserve">ФИО </t>
  </si>
  <si>
    <t xml:space="preserve">Возрастная группа </t>
  </si>
  <si>
    <t xml:space="preserve">Весовая </t>
  </si>
  <si>
    <t xml:space="preserve">Сумма </t>
  </si>
  <si>
    <t xml:space="preserve">Wilks </t>
  </si>
  <si>
    <t>Город/ область</t>
  </si>
  <si>
    <t>Место</t>
  </si>
  <si>
    <t>Весовая категория               Дата рождения/возраст</t>
  </si>
  <si>
    <t>Собств. вес</t>
  </si>
  <si>
    <t>31</t>
  </si>
  <si>
    <t>Повторы</t>
  </si>
  <si>
    <t>Вес</t>
  </si>
  <si>
    <t>Результат</t>
  </si>
  <si>
    <t>Жим мн. повт.</t>
  </si>
  <si>
    <t>ВЕСОВАЯ КАТЕГОРИЯ   70</t>
  </si>
  <si>
    <t>Савина Галина</t>
  </si>
  <si>
    <t>Masters 40-44 (03.06.1975)/41</t>
  </si>
  <si>
    <t xml:space="preserve">Лично </t>
  </si>
  <si>
    <t xml:space="preserve">Воронеж/Воронежская область </t>
  </si>
  <si>
    <t xml:space="preserve">самостоятельно </t>
  </si>
  <si>
    <t>1365,0</t>
  </si>
  <si>
    <t>39</t>
  </si>
  <si>
    <t>930,0</t>
  </si>
  <si>
    <t>Уколкина Светлана</t>
  </si>
  <si>
    <t>Open (21.01.1987)/29</t>
  </si>
  <si>
    <t>68,00</t>
  </si>
  <si>
    <t xml:space="preserve">Рязань/Рязанская область </t>
  </si>
  <si>
    <t>ВЕСОВАЯ КАТЕГОРИЯ   90</t>
  </si>
  <si>
    <t>Гущин Владислав</t>
  </si>
  <si>
    <t>Junior (25.07.1993)/23</t>
  </si>
  <si>
    <t>Каштанов Сергей</t>
  </si>
  <si>
    <t>Open (28.07.1987)/29</t>
  </si>
  <si>
    <t>83,90</t>
  </si>
  <si>
    <t>ВЕСОВАЯ КАТЕГОРИЯ   100</t>
  </si>
  <si>
    <t>Ляшенко Александр</t>
  </si>
  <si>
    <t>Open (22.01.1977)/39</t>
  </si>
  <si>
    <t>96,10</t>
  </si>
  <si>
    <t xml:space="preserve">Мурманск/Мурманская область </t>
  </si>
  <si>
    <t>25,0</t>
  </si>
  <si>
    <t>Саргсян Тигран</t>
  </si>
  <si>
    <t>Open (26.10.1991)/25</t>
  </si>
  <si>
    <t xml:space="preserve">Жуковский/Московская область </t>
  </si>
  <si>
    <t>ВЕСОВАЯ КАТЕГОРИЯ   120</t>
  </si>
  <si>
    <t>Симановский Игорь</t>
  </si>
  <si>
    <t>Open (28.03.1965)/51</t>
  </si>
  <si>
    <t>115,40</t>
  </si>
  <si>
    <t>Masters 50-54 (28.03.1965)/51</t>
  </si>
  <si>
    <t xml:space="preserve">90 </t>
  </si>
  <si>
    <t xml:space="preserve">100 </t>
  </si>
  <si>
    <t>21</t>
  </si>
  <si>
    <t>11</t>
  </si>
  <si>
    <t>23</t>
  </si>
  <si>
    <t>25</t>
  </si>
  <si>
    <t>18</t>
  </si>
  <si>
    <t>33</t>
  </si>
  <si>
    <t>ВЕСОВАЯ КАТЕГОРИЯ   80</t>
  </si>
  <si>
    <t>Байков Алексей</t>
  </si>
  <si>
    <t>Open (01.01.1983)/33</t>
  </si>
  <si>
    <t>Грошев Сергей</t>
  </si>
  <si>
    <t>Open (25.12.1987)/28</t>
  </si>
  <si>
    <t>75,90</t>
  </si>
  <si>
    <t>Кушнаренко Алексей</t>
  </si>
  <si>
    <t>Open (18.04.1983)/33</t>
  </si>
  <si>
    <t>Юрасов Евгений</t>
  </si>
  <si>
    <t>Junior (11.08.1996)/20</t>
  </si>
  <si>
    <t xml:space="preserve">NNtop </t>
  </si>
  <si>
    <t xml:space="preserve">Дзержинск/Нижегородская область </t>
  </si>
  <si>
    <t>Поздняков Александр</t>
  </si>
  <si>
    <t>Open (22.04.1982)/34</t>
  </si>
  <si>
    <t xml:space="preserve">Замесов </t>
  </si>
  <si>
    <t>ВЕСОВАЯ КАТЕГОРИЯ   110</t>
  </si>
  <si>
    <t>Кислов Павел</t>
  </si>
  <si>
    <t>Open (26.05.1983)/33</t>
  </si>
  <si>
    <t>109,30</t>
  </si>
  <si>
    <t xml:space="preserve">110 </t>
  </si>
  <si>
    <t xml:space="preserve">Москва/Московская область  </t>
  </si>
  <si>
    <t>Кислов П.</t>
  </si>
  <si>
    <t>Поляков А.</t>
  </si>
  <si>
    <t>Длужневский С.</t>
  </si>
  <si>
    <t>Степанова Светлана</t>
  </si>
  <si>
    <t>Open (17.11.1983)/33</t>
  </si>
  <si>
    <t>Добржанский Вячеслав</t>
  </si>
  <si>
    <t>Masters 60+ (21.02.1934)/82</t>
  </si>
  <si>
    <t>Муцаев Хамзат</t>
  </si>
  <si>
    <t>Таракин Алексей</t>
  </si>
  <si>
    <t>Open (14.04.1985)/31</t>
  </si>
  <si>
    <t>103,60</t>
  </si>
  <si>
    <t>Осокин Дмитрий</t>
  </si>
  <si>
    <t>Open (01.01.1985)/31</t>
  </si>
  <si>
    <t xml:space="preserve">Москва/Московская область </t>
  </si>
  <si>
    <t xml:space="preserve">Лосино-Петровский/Московская область </t>
  </si>
  <si>
    <t>Минск/Белоруссия</t>
  </si>
  <si>
    <t xml:space="preserve">Шоповал А. </t>
  </si>
  <si>
    <t xml:space="preserve">Длужневский С. </t>
  </si>
  <si>
    <t>Желтенко Е.</t>
  </si>
  <si>
    <t>ВЕСОВАЯ КАТЕГОРИЯ   130+</t>
  </si>
  <si>
    <t>Наторкин Максим</t>
  </si>
  <si>
    <t>Open (23.07.1986)/30</t>
  </si>
  <si>
    <t>120,10</t>
  </si>
  <si>
    <t>6110,0</t>
  </si>
  <si>
    <t>47</t>
  </si>
  <si>
    <t>Юшин Павел</t>
  </si>
  <si>
    <t>Open (23.01.1986)/30</t>
  </si>
  <si>
    <t>5400,0</t>
  </si>
  <si>
    <t>Тоннаж</t>
  </si>
  <si>
    <t xml:space="preserve">Маликова О. </t>
  </si>
  <si>
    <t>40</t>
  </si>
  <si>
    <t>Наркевич Александр</t>
  </si>
  <si>
    <t>Masters 45-49 (11.05.1971)/45</t>
  </si>
  <si>
    <t>69,50</t>
  </si>
  <si>
    <t xml:space="preserve">Люберцы/Московская область </t>
  </si>
  <si>
    <t>Волков Алексей</t>
  </si>
  <si>
    <t xml:space="preserve">Серпухов/Московская область </t>
  </si>
  <si>
    <t>Итунин Тарас</t>
  </si>
  <si>
    <t>Open (27.07.1978)/38</t>
  </si>
  <si>
    <t xml:space="preserve">Коломна/Московская область </t>
  </si>
  <si>
    <t>Озорнов Роман</t>
  </si>
  <si>
    <t>Open (01.07.1982)/34</t>
  </si>
  <si>
    <t>27</t>
  </si>
  <si>
    <t>53</t>
  </si>
  <si>
    <t>19</t>
  </si>
  <si>
    <t xml:space="preserve">Емельянов А. </t>
  </si>
  <si>
    <t>Итунин Л.</t>
  </si>
  <si>
    <t>Емельянов А.</t>
  </si>
  <si>
    <t>Алёхин Михаил</t>
  </si>
  <si>
    <t>Open (15.04.1987)/29</t>
  </si>
  <si>
    <t>78,70</t>
  </si>
  <si>
    <t xml:space="preserve">Орёл/Орловская область </t>
  </si>
  <si>
    <t>Шейкин Алексей</t>
  </si>
  <si>
    <t xml:space="preserve">Шумский В. </t>
  </si>
  <si>
    <t>Ковтун Евгений</t>
  </si>
  <si>
    <t>Open (21.09.1982)/34</t>
  </si>
  <si>
    <t>Корнильцев Дмитрий</t>
  </si>
  <si>
    <t>Open (27.02.1985)/31</t>
  </si>
  <si>
    <t>86,10</t>
  </si>
  <si>
    <t xml:space="preserve">Алёхин М. </t>
  </si>
  <si>
    <t>Конькова Ольга</t>
  </si>
  <si>
    <t>Junior (30.10.1994)/22</t>
  </si>
  <si>
    <t>Бизюков Артём</t>
  </si>
  <si>
    <t>Open (20.03.1992)/24</t>
  </si>
  <si>
    <t xml:space="preserve">Наторкин М. </t>
  </si>
  <si>
    <t xml:space="preserve">Наторкин  М. </t>
  </si>
  <si>
    <t>Мешков Павел</t>
  </si>
  <si>
    <t>Open (07.12.1982)/34</t>
  </si>
  <si>
    <t xml:space="preserve">Пагин А. </t>
  </si>
  <si>
    <t>Рассказов Геннадий</t>
  </si>
  <si>
    <t>Masters 50-54 (04.09.1966)/50</t>
  </si>
  <si>
    <t>Гаршин Александр</t>
  </si>
  <si>
    <t>Masters 60-64 (29.06.1954)/62</t>
  </si>
  <si>
    <t>91,10</t>
  </si>
  <si>
    <t>5350,0</t>
  </si>
  <si>
    <t>2750,0</t>
  </si>
  <si>
    <t>107</t>
  </si>
  <si>
    <t>55</t>
  </si>
  <si>
    <t>Бобруйск/Белоруссия</t>
  </si>
  <si>
    <t xml:space="preserve">Санкт-Петербург/Ленинградская область </t>
  </si>
  <si>
    <t>Калинин Кирилл</t>
  </si>
  <si>
    <t>Свеженцев Андрей</t>
  </si>
  <si>
    <t>Open (08.10.1979)/37</t>
  </si>
  <si>
    <t>100,70</t>
  </si>
  <si>
    <t>Куротченко Игорь</t>
  </si>
  <si>
    <t>Open (20.03.1962)/54</t>
  </si>
  <si>
    <t>111,70</t>
  </si>
  <si>
    <t>Волков Олег</t>
  </si>
  <si>
    <t>Open (27.06.1987)/29</t>
  </si>
  <si>
    <t xml:space="preserve">Поспелов В. </t>
  </si>
  <si>
    <t>35</t>
  </si>
  <si>
    <t>24</t>
  </si>
  <si>
    <t>Павлов Павел</t>
  </si>
  <si>
    <t>Open (07.03.1977)/39</t>
  </si>
  <si>
    <t>Пикляев Д.</t>
  </si>
  <si>
    <t>ВЕСОВАЯ КАТЕГОРИЯ   100+</t>
  </si>
  <si>
    <t>Луценко Андрей</t>
  </si>
  <si>
    <t>Open (06.09.1980)/36</t>
  </si>
  <si>
    <t>1440,0</t>
  </si>
  <si>
    <t>Гомель/ Белоруссия</t>
  </si>
  <si>
    <t>9</t>
  </si>
  <si>
    <t>Жим макс кг.</t>
  </si>
  <si>
    <t>Черных Юлия</t>
  </si>
  <si>
    <t>Open (01.12.1981)/35</t>
  </si>
  <si>
    <t>45</t>
  </si>
  <si>
    <t>Уколкина С.</t>
  </si>
  <si>
    <t>Залуцкий Роман</t>
  </si>
  <si>
    <t>130,40</t>
  </si>
  <si>
    <t>346,0</t>
  </si>
  <si>
    <t>26</t>
  </si>
  <si>
    <t>ВЕСОВАЯ КАТЕГОРИЯ   50</t>
  </si>
  <si>
    <t>Агаркова Елена</t>
  </si>
  <si>
    <t>Open (27.04.1981)/35</t>
  </si>
  <si>
    <t>49,40</t>
  </si>
  <si>
    <t>Шумкова Анастасия</t>
  </si>
  <si>
    <t>Open (09.06.1978)/38</t>
  </si>
  <si>
    <t xml:space="preserve">Курганинск/Краснодарский край </t>
  </si>
  <si>
    <t>Гончаров В.</t>
  </si>
  <si>
    <t>Малецкая Светлана</t>
  </si>
  <si>
    <t>69,20</t>
  </si>
  <si>
    <t xml:space="preserve">Ставрополь/Ставропольский край </t>
  </si>
  <si>
    <t>Булойчик Никита</t>
  </si>
  <si>
    <t>Teen 14-17 (30.12.1998)/17</t>
  </si>
  <si>
    <t>Зелепукин Вадим</t>
  </si>
  <si>
    <t>Open (25.04.1987)/29</t>
  </si>
  <si>
    <t>69,00</t>
  </si>
  <si>
    <t xml:space="preserve">Россошь/Воронежская область </t>
  </si>
  <si>
    <t>Бурнашев Александр</t>
  </si>
  <si>
    <t>Junior (12.12.1994)/21</t>
  </si>
  <si>
    <t>76,00</t>
  </si>
  <si>
    <t xml:space="preserve">Змеенков </t>
  </si>
  <si>
    <t>Гаврильченко Антон</t>
  </si>
  <si>
    <t>Junior (20.05.1997)/19</t>
  </si>
  <si>
    <t>Винокуров Олег</t>
  </si>
  <si>
    <t>Masters 50-54 (10.05.1966)/50</t>
  </si>
  <si>
    <t>75,50</t>
  </si>
  <si>
    <t xml:space="preserve">Самара/Самарская область </t>
  </si>
  <si>
    <t>Корнеев Александр</t>
  </si>
  <si>
    <t>Open (18.12.1989)/26</t>
  </si>
  <si>
    <t xml:space="preserve">Лобня/Московская область </t>
  </si>
  <si>
    <t>Шагурин Олег</t>
  </si>
  <si>
    <t>Open (09.06.1980)/36</t>
  </si>
  <si>
    <t>86,80</t>
  </si>
  <si>
    <t>Лифинский Максим</t>
  </si>
  <si>
    <t>Open (15.02.1982)/34</t>
  </si>
  <si>
    <t xml:space="preserve">Североморск/Мурманская область </t>
  </si>
  <si>
    <t>Силионов Сергей</t>
  </si>
  <si>
    <t>Милованов Евгений</t>
  </si>
  <si>
    <t>Junior (03.06.1993)/23</t>
  </si>
  <si>
    <t xml:space="preserve">Тула/Тульская область </t>
  </si>
  <si>
    <t>Кирсанов Илья</t>
  </si>
  <si>
    <t>Open (25.03.1987)/29</t>
  </si>
  <si>
    <t>96,20</t>
  </si>
  <si>
    <t>Open (03.06.1993)/23</t>
  </si>
  <si>
    <t>Борисов Кирилл</t>
  </si>
  <si>
    <t>Open (22.07.1983)/33</t>
  </si>
  <si>
    <t>103,90</t>
  </si>
  <si>
    <t xml:space="preserve">Болохово/Тульская область </t>
  </si>
  <si>
    <t>Бабаев Рафаэль</t>
  </si>
  <si>
    <t>Open (02.09.1983)/33</t>
  </si>
  <si>
    <t xml:space="preserve">Смоленск/Смоленская область </t>
  </si>
  <si>
    <t>Ураев Виталий</t>
  </si>
  <si>
    <t>Open (08.10.1983)/33</t>
  </si>
  <si>
    <t>107,40</t>
  </si>
  <si>
    <t>Шуленин Роман</t>
  </si>
  <si>
    <t>Masters 40-44 (28.03.1975)/41</t>
  </si>
  <si>
    <t>8959,8903</t>
  </si>
  <si>
    <t>171,0</t>
  </si>
  <si>
    <t>243,0</t>
  </si>
  <si>
    <t>9377,9762</t>
  </si>
  <si>
    <t>203,0</t>
  </si>
  <si>
    <t>7295,0674</t>
  </si>
  <si>
    <t>174,0</t>
  </si>
  <si>
    <t>13</t>
  </si>
  <si>
    <t>20</t>
  </si>
  <si>
    <t>28</t>
  </si>
  <si>
    <t>17</t>
  </si>
  <si>
    <t>43</t>
  </si>
  <si>
    <t>22</t>
  </si>
  <si>
    <t>15</t>
  </si>
  <si>
    <t>Милостной С.</t>
  </si>
  <si>
    <t xml:space="preserve">Головинский Д. </t>
  </si>
  <si>
    <t>Родиков Ю.</t>
  </si>
  <si>
    <t>Симановский И.</t>
  </si>
  <si>
    <t xml:space="preserve">Лосино Петровск/Московская область  </t>
  </si>
  <si>
    <t>Кучер С.</t>
  </si>
  <si>
    <t>Емельянов Андрей</t>
  </si>
  <si>
    <t>Junior (15.10.1997)/19</t>
  </si>
  <si>
    <t>Хорев Артур</t>
  </si>
  <si>
    <t>Open (14.10.1986)/30</t>
  </si>
  <si>
    <t>74,60</t>
  </si>
  <si>
    <t xml:space="preserve">Лыткарино/Московская область </t>
  </si>
  <si>
    <t>Петров Егор</t>
  </si>
  <si>
    <t>Junior (09.05.1996)/20</t>
  </si>
  <si>
    <t>Хитров Сергей</t>
  </si>
  <si>
    <t>Open (01.10.1979)/37</t>
  </si>
  <si>
    <t xml:space="preserve">лично </t>
  </si>
  <si>
    <t>Open (09.05.1996)/20</t>
  </si>
  <si>
    <t>Ковалёв Сергей</t>
  </si>
  <si>
    <t>Open (14.02.1981)/35</t>
  </si>
  <si>
    <t>Поляков Андрей</t>
  </si>
  <si>
    <t>Open (09.06.1974)/42</t>
  </si>
  <si>
    <t>92,40</t>
  </si>
  <si>
    <t>Masters 40-44 (09.06.1974)/42</t>
  </si>
  <si>
    <t>Степышев Алексей</t>
  </si>
  <si>
    <t>Masters 50-54 (10.05.1963)/53</t>
  </si>
  <si>
    <t>95,20</t>
  </si>
  <si>
    <t xml:space="preserve">Петрозаводск/Карелия </t>
  </si>
  <si>
    <t>Дзержинская/Нижегородская область</t>
  </si>
  <si>
    <t xml:space="preserve">Поляков А. </t>
  </si>
  <si>
    <t>34</t>
  </si>
  <si>
    <t>36</t>
  </si>
  <si>
    <t>30</t>
  </si>
  <si>
    <t xml:space="preserve">Athina/Greece/ </t>
  </si>
  <si>
    <t>Гадзера Кирилл</t>
  </si>
  <si>
    <t>Open (06.04.1989)/27</t>
  </si>
  <si>
    <t>Шубин Павел</t>
  </si>
  <si>
    <t>Junior (15.01.1996)/20</t>
  </si>
  <si>
    <t>95,50</t>
  </si>
  <si>
    <t>Семенов Роман</t>
  </si>
  <si>
    <t>Open (12.11.1979)/37</t>
  </si>
  <si>
    <t>Грицак Александр</t>
  </si>
  <si>
    <t>Masters 50-54 (07.04.1963)/53</t>
  </si>
  <si>
    <t xml:space="preserve">Качканар/Свердловская область </t>
  </si>
  <si>
    <t>Манцеров Сергей</t>
  </si>
  <si>
    <t>Open (27.10.1970)/46</t>
  </si>
  <si>
    <t xml:space="preserve">Ногинск/Московская область </t>
  </si>
  <si>
    <t>Филатов Василий</t>
  </si>
  <si>
    <t>Орехов Виталий</t>
  </si>
  <si>
    <t>Open (02.05.1977)/39</t>
  </si>
  <si>
    <t>103,40</t>
  </si>
  <si>
    <t>Петросян Рафаэль</t>
  </si>
  <si>
    <t>Open (14.09.1989)/27</t>
  </si>
  <si>
    <t>107,90</t>
  </si>
  <si>
    <t>Кривоконь Алексей</t>
  </si>
  <si>
    <t>Masters 45-49 (01.11.1970)/46</t>
  </si>
  <si>
    <t>101,40</t>
  </si>
  <si>
    <t xml:space="preserve">Хабаровск/Хабаровский край </t>
  </si>
  <si>
    <t>263,5</t>
  </si>
  <si>
    <t>10168,6399</t>
  </si>
  <si>
    <t>244,0</t>
  </si>
  <si>
    <t>8709,8628</t>
  </si>
  <si>
    <t>8664,6686</t>
  </si>
  <si>
    <t>16</t>
  </si>
  <si>
    <t>46</t>
  </si>
  <si>
    <t>29</t>
  </si>
  <si>
    <t>12</t>
  </si>
  <si>
    <t>Шоповал А.</t>
  </si>
  <si>
    <t>Калинин К.</t>
  </si>
  <si>
    <t>Грачев А.</t>
  </si>
  <si>
    <t xml:space="preserve">Зверев П. </t>
  </si>
  <si>
    <t>Поспелов В.</t>
  </si>
  <si>
    <t>Поспелов Владимир</t>
  </si>
  <si>
    <t>Луковников Сергей</t>
  </si>
  <si>
    <t>Open (23.07.1980)/36</t>
  </si>
  <si>
    <t xml:space="preserve">Тверь/Тверская область </t>
  </si>
  <si>
    <t>Краснов Илья</t>
  </si>
  <si>
    <t>Open (29.09.1975)/41</t>
  </si>
  <si>
    <t xml:space="preserve">Гомель/Белоруссия </t>
  </si>
  <si>
    <t xml:space="preserve">Родиков Ю. </t>
  </si>
  <si>
    <t>Каштанов С.</t>
  </si>
  <si>
    <t>Лавров Дмитрий</t>
  </si>
  <si>
    <t>Open (08.01.1979)/37</t>
  </si>
  <si>
    <t xml:space="preserve">Нижний Новгород/Нижегородская область </t>
  </si>
  <si>
    <t>189,0</t>
  </si>
  <si>
    <t>Finland/Laitila/</t>
  </si>
  <si>
    <t>Israel/Haifa/</t>
  </si>
  <si>
    <t>Israel</t>
  </si>
  <si>
    <t>Ukraine</t>
  </si>
  <si>
    <t>Belarus</t>
  </si>
  <si>
    <t>Colombia/Barranquilla/Atlantico</t>
  </si>
  <si>
    <t>Kruzhilin D.</t>
  </si>
  <si>
    <t>Russia/Sankt-Peterburg/Leningadskaya oblast</t>
  </si>
  <si>
    <t>Russia/Zelenogradsk/Kaliningradskaya oblast</t>
  </si>
  <si>
    <t>Russia/Vladimir/Vladimirskaya oblast</t>
  </si>
  <si>
    <t>Russia/Khimki/Moskovskaya oblast</t>
  </si>
  <si>
    <t>Russia/Orel/Orlovskaya oblast</t>
  </si>
  <si>
    <t>Ukraine/Makeyevka/Donetskaya oblast</t>
  </si>
  <si>
    <t>Russia/Mikhaylovka/Volgogradskaya oblast</t>
  </si>
  <si>
    <t>Russia/Kimry/Tverskaya oblast</t>
  </si>
  <si>
    <t>Belarus/Bobruysk/Gomelskaya oblast</t>
  </si>
  <si>
    <t>Russia/Fryazino/Moskovskaya oblast</t>
  </si>
  <si>
    <t>Russia/Klin/Moskovskaya oblast</t>
  </si>
  <si>
    <t>Russia/Arzamas/Nizhegorodskaya oblast</t>
  </si>
  <si>
    <t>Ukraina/Kharkov/Kharkovskaya oblast</t>
  </si>
  <si>
    <t>Russia/Zelenograd/Moskovskaya oblast</t>
  </si>
  <si>
    <t>Pervushin Y.</t>
  </si>
  <si>
    <t>Slovenija/Ljubljana</t>
  </si>
  <si>
    <t>Greece/Chania/Crete</t>
  </si>
  <si>
    <t>Russia/Shchelkovo/Moskovskaya oblast</t>
  </si>
  <si>
    <t>Russia/Katav-Ivanovsk/Chelyabinskaya oblast</t>
  </si>
  <si>
    <t>Russia/Kolchugino/Vladimirskaya oblast</t>
  </si>
  <si>
    <t>Slovenija//Sentjurje/Sentvid pri Sticni</t>
  </si>
  <si>
    <t>Slovenija//Ljubljana</t>
  </si>
  <si>
    <t>Maronikolakis Ioannis</t>
  </si>
  <si>
    <t xml:space="preserve">Ilovar Nika </t>
  </si>
  <si>
    <t>Argentina/San Salvador de Jujuy/Jujuy</t>
  </si>
  <si>
    <t>Slovenia/Ljubljana</t>
  </si>
  <si>
    <t>USA/Galveston/Texas</t>
  </si>
  <si>
    <t>Finland/Turku</t>
  </si>
  <si>
    <t>Slovenia/Sentjurje/Sentvid pri Sticni</t>
  </si>
  <si>
    <t xml:space="preserve">Moldova/Kishinev/ </t>
  </si>
  <si>
    <t>Peru/Lima</t>
  </si>
  <si>
    <t>Brasil/Porto Alegre</t>
  </si>
  <si>
    <t>India/Bangalore/Karnataka</t>
  </si>
  <si>
    <t>Russia/Gryazovets/Vologodskaya oblast</t>
  </si>
  <si>
    <t>Croatia/Zagreb/</t>
  </si>
  <si>
    <t>Russia/Syktyvkar/Komi</t>
  </si>
  <si>
    <t>Russia/Murmansk/Murmanskaya oblast</t>
  </si>
  <si>
    <t>Russia/Gelendzhik/Krasnodarskiy kray</t>
  </si>
  <si>
    <t>Slovenia/Ptuj</t>
  </si>
  <si>
    <t>Russia/Orekhovo-Zuyevo/Moskovskaya oblas</t>
  </si>
  <si>
    <t>Russia/Zheleznodorozhnyy/Moskovskaya obl</t>
  </si>
  <si>
    <t>Russia/Chelyabinsk/Chelyabinskaya oblast</t>
  </si>
  <si>
    <t>Russia/Bezhetsk/Tverskaya oblast</t>
  </si>
  <si>
    <t>Russia/Vyborg/Leningradskaya oblast</t>
  </si>
  <si>
    <t>Russia/Lyubertsy/Moskovskaya oblast</t>
  </si>
  <si>
    <t>Russia/Makhachkala/Dagestan</t>
  </si>
  <si>
    <t>Russia/Perm/Permskiy kray</t>
  </si>
  <si>
    <t>Finland/Rovaniemi/</t>
  </si>
  <si>
    <t xml:space="preserve">Khudayarov Zahir </t>
  </si>
  <si>
    <t>Mendieta Martin</t>
  </si>
  <si>
    <t>Russia/Khotkovo/Moskovskaya oblast</t>
  </si>
  <si>
    <t>Russia/Tolyatti/Samarskaya oblast</t>
  </si>
  <si>
    <t>Russia/Arkhangelsk/Arkhangelskaya oblast</t>
  </si>
  <si>
    <t>Iran/Tehran</t>
  </si>
  <si>
    <t>Dluzhnevskiy S., Smirnov O.</t>
  </si>
  <si>
    <t xml:space="preserve">Country/Town/Region           </t>
  </si>
  <si>
    <t xml:space="preserve">  </t>
  </si>
  <si>
    <t>Russia/Drezna/Moskovskaya oblast</t>
  </si>
  <si>
    <t>Russia/Vyatskiye Polyany/Kirovskaya oblas</t>
  </si>
  <si>
    <t>Russia/Kuvshinovo/Tverskaya oblast</t>
  </si>
  <si>
    <t>Russia/Kursk/Kurskaya oblast</t>
  </si>
  <si>
    <t>Russia/Kemerovo/Kemerovskaya oblast</t>
  </si>
  <si>
    <t>Russia/Balashikha/Moskovskaya oblast</t>
  </si>
  <si>
    <t>Russia/Balashov/Saratovskaya oblast</t>
  </si>
  <si>
    <t xml:space="preserve">Finland/Laitila/ </t>
  </si>
  <si>
    <t>Finland/Tampere</t>
  </si>
  <si>
    <t>USA/Bogart/Georgia</t>
  </si>
  <si>
    <t>USA/Orlando/Florida</t>
  </si>
  <si>
    <t>Brasil/Porto Alegre/Rio Grande do Sul</t>
  </si>
  <si>
    <t>USA/Jefferson/Georgia</t>
  </si>
  <si>
    <t>Latvia/Iecava</t>
  </si>
  <si>
    <t>362,9640</t>
  </si>
  <si>
    <t>Russia/Novosibirsk/Novosibirskaya oblast</t>
  </si>
  <si>
    <t>Russia/Serpukhov/Moskovskaya oblast</t>
  </si>
  <si>
    <t>Russia/Ryazan/Ryazanskaya oblast</t>
  </si>
  <si>
    <t>Russia/Astrakhan/Astrakhanskaya oblast</t>
  </si>
  <si>
    <t>Russia/Voronezh/Voronezhskaya oblast</t>
  </si>
  <si>
    <t>Russia/Yaroslavl/Yaroslavskaya oblast</t>
  </si>
  <si>
    <t>Russia/Aldan/Yakutiya</t>
  </si>
  <si>
    <t>USA/Amristar/Pinjab</t>
  </si>
  <si>
    <t>Cuba/Havana/</t>
  </si>
  <si>
    <t>USA/Estill Springs/Tennessee</t>
  </si>
  <si>
    <t>Montenegro/Cetinje</t>
  </si>
  <si>
    <t>Russia/Vichuga/Ivanovskaya oblast</t>
  </si>
  <si>
    <t>Russia/Vereya/Moskovskaya oblast</t>
  </si>
  <si>
    <t>Russia/Zvenigorod/Moskovskaya oblast</t>
  </si>
  <si>
    <t>Russia/Vozhega/Vologodskaya oblast</t>
  </si>
  <si>
    <t>Kirgiziya/Bishkek/Chuyskaya</t>
  </si>
  <si>
    <t>Iran/Sananday/</t>
  </si>
  <si>
    <t>Uzbekistan/Tashkent/Uzbekistan</t>
  </si>
  <si>
    <t xml:space="preserve">Belarus </t>
  </si>
  <si>
    <t>Belarus/Bobruysk/Belorussia</t>
  </si>
  <si>
    <t>Kazakhstan/Karaganda/Karagandinskaya oblast</t>
  </si>
  <si>
    <t>Moldova/Kishinev/Moldova</t>
  </si>
  <si>
    <t>Greece/Athina/Greece/</t>
  </si>
  <si>
    <t>Ukraina/Shepetovka/Khmelnitskaya oblast</t>
  </si>
  <si>
    <t>Russia/Novokuznetsk/Kemerovskaya oblast</t>
  </si>
  <si>
    <t>Russia/Ozersk/Chelyabinskaya oblast</t>
  </si>
  <si>
    <t>Russia/Terbuny/Lipetskaya oblast</t>
  </si>
  <si>
    <t>Russia/Sankt-Peterburg//Leningradskaya oblast</t>
  </si>
  <si>
    <t>Russia/Pushchino/Moskovskaya oblast</t>
  </si>
  <si>
    <t>Russia/Rzhev/Tverskaya oblast</t>
  </si>
  <si>
    <t>Russia/Ivanovo/Ivanovskaya oblast</t>
  </si>
  <si>
    <t>Russia/Petushki/Vladimirskaya oblast</t>
  </si>
  <si>
    <t>Russia/p.Staryy gorodok/Moskovskaya oblast</t>
  </si>
  <si>
    <t>Russia/p.Staryy Gorodok/Moskovskaya oblast</t>
  </si>
  <si>
    <t>Russia/p. Staryy gorodok/Moskovskaya oblast</t>
  </si>
  <si>
    <t>Russia/p.Glebovskiy/Moskovskaya oblast</t>
  </si>
  <si>
    <t>Russia/Kremenki/Kaluzhskaya oblast</t>
  </si>
  <si>
    <t>Russia/Nazran/Ingushetiya</t>
  </si>
  <si>
    <t>Russia/Samara/Samarskaya oblast</t>
  </si>
  <si>
    <t>Russia/Staryy Oskol/Belgorodskaya obla</t>
  </si>
  <si>
    <t>Russia/Rossosh/Voronezhskaya oblast</t>
  </si>
  <si>
    <t>Russia/Prokopyevsk/Kemerovskaya oblast</t>
  </si>
  <si>
    <t>Russia/Kaluga/Kaluzhskaya oblast</t>
  </si>
  <si>
    <t>Russia/Voskresensk/Moskovskaya oblast</t>
  </si>
  <si>
    <t>Finland/Soini/Etela-Pohjanmaa</t>
  </si>
  <si>
    <t>Russia/Odintsovo/Moskovskaya oblast</t>
  </si>
  <si>
    <t>Germany/Finsterwalde/Brandenburg</t>
  </si>
  <si>
    <t>Russia/Bronnitsy/Moskovskaya oblast</t>
  </si>
  <si>
    <t>Russia/Pgt Spirovo/Tverskaya oblast</t>
  </si>
  <si>
    <t>Russia/Protvino/Moskovskaya oblast</t>
  </si>
  <si>
    <t>Russia/Suzdal/Vladimirskaya oblast</t>
  </si>
  <si>
    <t>Russia/Yekaterinburg/Sverdlovskaya oblast</t>
  </si>
  <si>
    <t>Belarus/Bobruysk/</t>
  </si>
  <si>
    <t>Ukraine/</t>
  </si>
  <si>
    <t>Greece/Athens/</t>
  </si>
  <si>
    <t xml:space="preserve">Urazov Vladimir </t>
  </si>
  <si>
    <t>Chile/Vina del Mar/Valparaiso</t>
  </si>
  <si>
    <t xml:space="preserve"> Pogasiy Oleksandr</t>
  </si>
  <si>
    <t>Russia/Теаm A</t>
  </si>
  <si>
    <t>193,00</t>
  </si>
  <si>
    <t xml:space="preserve">0,7810 </t>
  </si>
  <si>
    <t>Russia/Dmitrov/Moskovskaya oblast</t>
  </si>
  <si>
    <t>Russia/Severodonetsk/Luganskaya oblast</t>
  </si>
  <si>
    <t>Russia/Syzran/Samarskaya oblast</t>
  </si>
  <si>
    <t>Russia/p.Kuzmolovskiy/Leningradskaya oblast</t>
  </si>
  <si>
    <t>Russia/Rasskazovo/Tambovskaya oblast</t>
  </si>
  <si>
    <t>Russia/Shenkursk/Arkhangelskaya oblast</t>
  </si>
  <si>
    <t>Russia/Staryy Oskol/Belgorodskaya oblast</t>
  </si>
  <si>
    <t>Russia/Kstovo/Nizhegorodskaya oblast</t>
  </si>
  <si>
    <t>Russia/amenskoye/Moskovskaya oblast</t>
  </si>
  <si>
    <t>Russia/Petropavlovsk-Kamchatskiy/Kamchatskiy kray</t>
  </si>
  <si>
    <t>Russia/Naberezhnye Chelny/Tatarstan</t>
  </si>
  <si>
    <t>Russia/Velikiye Luki/Pskovskaya oblast</t>
  </si>
  <si>
    <t>Russia/Shcherbinka/Moskovskaya oblast</t>
  </si>
  <si>
    <t>Russia/Severodonetsk/Leningradskaya oblast</t>
  </si>
  <si>
    <t>USA/Lawrenceville/Georgia</t>
  </si>
  <si>
    <t>USA/Decherd/Tennessee</t>
  </si>
  <si>
    <t>Azerbaijan/Baku/</t>
  </si>
  <si>
    <t>Ukraina/Lisichansk/Luganskaya oblast</t>
  </si>
  <si>
    <t>Latviya/Riga</t>
  </si>
  <si>
    <t>Slovenia/Straza</t>
  </si>
  <si>
    <t>India/Lecava</t>
  </si>
  <si>
    <t>Grakhov Y.</t>
  </si>
  <si>
    <t>Burnashov V., Dluzhnevskiy S.</t>
  </si>
  <si>
    <t>Belkin Ye.</t>
  </si>
  <si>
    <t>Russia/Dzerzhinskiy/Moskovskaya oblast</t>
  </si>
  <si>
    <t>Russia/Pskov/Pskovskaya oblast</t>
  </si>
  <si>
    <t>Russia/Monchegorsk/Murmanskaya oblast</t>
  </si>
  <si>
    <t>Russia/Elektrougli/Moskovskaya oblast</t>
  </si>
  <si>
    <t>Russia/Kotelniki/Moskovskaya oblast</t>
  </si>
  <si>
    <t>Russia/Lukhovitsy/Moskovskaya oblast</t>
  </si>
  <si>
    <t>Russia/Losino-Petrovskiy/Moskovskaya oblast</t>
  </si>
  <si>
    <t>Russia/Tomsk/Tomskaya oblast</t>
  </si>
  <si>
    <t>Russia/Troitsk/Moskovskaya oblast</t>
  </si>
  <si>
    <t>Finland/Rovaneimi/</t>
  </si>
  <si>
    <t>Russia/Rostov na Donu/Rostovskaya oblast</t>
  </si>
  <si>
    <t>Russia/Vorkuta/Komi</t>
  </si>
  <si>
    <t>Russia/Sergiyev Posad/Moskovskaya oblast</t>
  </si>
  <si>
    <t>Russia/Khabarovsk/Khabarovskiy kray</t>
  </si>
  <si>
    <t>Ukraina/Kharkov/</t>
  </si>
  <si>
    <t>Latvia/Lecava</t>
  </si>
  <si>
    <t>278,2200</t>
  </si>
  <si>
    <t>242,7618</t>
  </si>
  <si>
    <t>250,5020</t>
  </si>
  <si>
    <t>405,4500</t>
  </si>
  <si>
    <t>USA/Palm Harbor/Florida</t>
  </si>
  <si>
    <t>Ukraina/Zhitomir/Zhitomirskaya oblast</t>
  </si>
  <si>
    <t>Russia/Naro-Fominsk/Moskovskaya oblast</t>
  </si>
  <si>
    <t>Russia/Bolokhovo/Tulskaya oblast</t>
  </si>
  <si>
    <t>Russia/Ozherelye/Moskovskaya oblast</t>
  </si>
  <si>
    <t>Turkey</t>
  </si>
  <si>
    <t>Turkey/Soke/</t>
  </si>
  <si>
    <t>Guk N.</t>
  </si>
  <si>
    <t>Michka I.</t>
  </si>
  <si>
    <t>Fisun T.</t>
  </si>
  <si>
    <t xml:space="preserve">Жим </t>
  </si>
  <si>
    <t>Белоруссия/Бобруйск</t>
  </si>
  <si>
    <t>самостоятельно</t>
  </si>
  <si>
    <t>Kostyushin S,</t>
  </si>
  <si>
    <t>Pecherskiy А.</t>
  </si>
  <si>
    <t>Koletis А.</t>
  </si>
  <si>
    <t>Obukhvich A.</t>
  </si>
  <si>
    <t xml:space="preserve">Inyutin A. </t>
  </si>
  <si>
    <t>Pozdeyev K.</t>
  </si>
  <si>
    <t>Rolling Thunder</t>
  </si>
  <si>
    <t>Russia/Dolgoprudny, 08 - 11 dec 2016</t>
  </si>
  <si>
    <t>Age Class
Bith date/Age</t>
  </si>
  <si>
    <t>Weight class  60</t>
  </si>
  <si>
    <t>Barkova Anastasiya</t>
  </si>
  <si>
    <t>Open (15.05.1983)/33</t>
  </si>
  <si>
    <t>56,70</t>
  </si>
  <si>
    <t>individual</t>
  </si>
  <si>
    <t>Moskva/Moskovskay oblast</t>
  </si>
  <si>
    <t>31,5</t>
  </si>
  <si>
    <t>36,5</t>
  </si>
  <si>
    <t>none</t>
  </si>
  <si>
    <t>Lobanova Yuliya</t>
  </si>
  <si>
    <t>Open (08.03.1986)/30</t>
  </si>
  <si>
    <t>53,30</t>
  </si>
  <si>
    <t>Lobanov D.</t>
  </si>
  <si>
    <t>Weight class  75</t>
  </si>
  <si>
    <t>Podryadchik Yuliya</t>
  </si>
  <si>
    <t>Open (10.08.1988)/28</t>
  </si>
  <si>
    <t>FAPO</t>
  </si>
  <si>
    <t>41,0</t>
  </si>
  <si>
    <t>44,0</t>
  </si>
  <si>
    <t>47,0</t>
  </si>
  <si>
    <t>71,00</t>
  </si>
  <si>
    <t>41,5</t>
  </si>
  <si>
    <t>Markovich Natalya</t>
  </si>
  <si>
    <t>Masters 40-49 (06.02.1976)/40</t>
  </si>
  <si>
    <t>69,30</t>
  </si>
  <si>
    <t>31,0</t>
  </si>
  <si>
    <t>40,5</t>
  </si>
  <si>
    <t>Gorelikov D.</t>
  </si>
  <si>
    <t>Weight class  75+</t>
  </si>
  <si>
    <t>Lyubertsy/Moskovskaya oblast</t>
  </si>
  <si>
    <t>39,0</t>
  </si>
  <si>
    <t>Weight class  70</t>
  </si>
  <si>
    <t>Sharlay Aleksandr</t>
  </si>
  <si>
    <t>Open (15.02.1987)/29</t>
  </si>
  <si>
    <t>68,20</t>
  </si>
  <si>
    <t>Kerch/respublika Krym</t>
  </si>
  <si>
    <t>49,0</t>
  </si>
  <si>
    <t>56,5</t>
  </si>
  <si>
    <t>Akhmedshin Igor</t>
  </si>
  <si>
    <t>Open (15.11.1991)/25</t>
  </si>
  <si>
    <t>Sport Dom team</t>
  </si>
  <si>
    <t>46,5</t>
  </si>
  <si>
    <t>53,0</t>
  </si>
  <si>
    <t>Zharkov A.</t>
  </si>
  <si>
    <t>Weight class  80</t>
  </si>
  <si>
    <t>Sementsov Aleksandr</t>
  </si>
  <si>
    <t>Open (14.10.1987)/29</t>
  </si>
  <si>
    <t>78,00</t>
  </si>
  <si>
    <t>64,0</t>
  </si>
  <si>
    <t>68,0</t>
  </si>
  <si>
    <t>72,0</t>
  </si>
  <si>
    <t>76,5</t>
  </si>
  <si>
    <t>Weight class  90</t>
  </si>
  <si>
    <t>Kiselev Igor</t>
  </si>
  <si>
    <t>Open (22.12.1992)/23</t>
  </si>
  <si>
    <t>Zheleznodorozhnyy/Moskovskaya oblast</t>
  </si>
  <si>
    <t>78,0</t>
  </si>
  <si>
    <t>84,0</t>
  </si>
  <si>
    <t>Zhitarev Ivan</t>
  </si>
  <si>
    <t>Open (08.05.1992)/24</t>
  </si>
  <si>
    <t>87,40</t>
  </si>
  <si>
    <t>Gavrilov-Yam/Yaroslavskaya oblast</t>
  </si>
  <si>
    <t>73,0</t>
  </si>
  <si>
    <t>79,0</t>
  </si>
  <si>
    <t>81,5</t>
  </si>
  <si>
    <t>Khudyakov V.</t>
  </si>
  <si>
    <t>Ipatenkov Yevgeniy</t>
  </si>
  <si>
    <t>Open (12.06.1985)/31</t>
  </si>
  <si>
    <t>86,30</t>
  </si>
  <si>
    <t>71,5</t>
  </si>
  <si>
    <t>Khromenkov S.</t>
  </si>
  <si>
    <t>Open (09.10.1991)/25</t>
  </si>
  <si>
    <t>61,5</t>
  </si>
  <si>
    <t>66,5</t>
  </si>
  <si>
    <t>Chelnokov A.</t>
  </si>
  <si>
    <t>Dudyrev Aleksandr</t>
  </si>
  <si>
    <t>Masters 50-59 (11.03.1957)/59</t>
  </si>
  <si>
    <t>Glazov/Udmurtiya</t>
  </si>
  <si>
    <t>Mozharov Aleksandr</t>
  </si>
  <si>
    <t>Masters 50-59 (05.10.1965)/51</t>
  </si>
  <si>
    <t>Podolsk/Moskovskaya oblast</t>
  </si>
  <si>
    <t>63,0</t>
  </si>
  <si>
    <t>Matskevich S.</t>
  </si>
  <si>
    <t>Weight class  100</t>
  </si>
  <si>
    <t>Shneyder Dmitriy</t>
  </si>
  <si>
    <t>Masters 40-49 (16.02.1971)/45</t>
  </si>
  <si>
    <t>58,0</t>
  </si>
  <si>
    <t>Shcherbakov Viktor</t>
  </si>
  <si>
    <t>Masters 50-59 (25.09.1959)/57</t>
  </si>
  <si>
    <t>Masters 60+ (08.12.1951)/65</t>
  </si>
  <si>
    <t>Bryansk/Bryanskaya oblast</t>
  </si>
  <si>
    <t>Weight class  110</t>
  </si>
  <si>
    <t>Kulyasov Sergey</t>
  </si>
  <si>
    <t>Open (11.09.1982)/34</t>
  </si>
  <si>
    <t>Penza/Penzenskaya oblast</t>
  </si>
  <si>
    <t>Grushin V.</t>
  </si>
  <si>
    <t>Cholargos/Greece</t>
  </si>
  <si>
    <t>Faustov Aleksandr</t>
  </si>
  <si>
    <t>Masters 40-49 (21.02.1976)/40</t>
  </si>
  <si>
    <t>Novomoskovsk/Tulskaya oblast</t>
  </si>
  <si>
    <t>Masters 60+ (25.10.1955)/61</t>
  </si>
  <si>
    <t>107,60</t>
  </si>
  <si>
    <t>Weight class  125</t>
  </si>
  <si>
    <t>Open (19.06.1995)/21</t>
  </si>
  <si>
    <t>112,30</t>
  </si>
  <si>
    <t>86,5</t>
  </si>
  <si>
    <t>91,5</t>
  </si>
  <si>
    <t>Stolbov Andrey</t>
  </si>
  <si>
    <t>Masters 50-59 (28.05.1964)/52</t>
  </si>
  <si>
    <t>116,40</t>
  </si>
  <si>
    <t>88,0</t>
  </si>
  <si>
    <t>Chizhov A.</t>
  </si>
  <si>
    <t>Weight class  100+</t>
  </si>
  <si>
    <t>Junior (19.06.1995)/21</t>
  </si>
  <si>
    <t>Weight class  125+</t>
  </si>
  <si>
    <t>144,30</t>
  </si>
  <si>
    <t>Men</t>
  </si>
  <si>
    <t>Apollon Axle</t>
  </si>
  <si>
    <t>Shishkanova Svetlana</t>
  </si>
  <si>
    <t>Masters 40-49 (07.08.1973)/43</t>
  </si>
  <si>
    <t>57,60</t>
  </si>
  <si>
    <t>Junior (16.06.1993)/23</t>
  </si>
  <si>
    <t>63,90</t>
  </si>
  <si>
    <t>Dzerzhinsk/Nizhegorodskaya oblast</t>
  </si>
  <si>
    <t>Ilin Maksim</t>
  </si>
  <si>
    <t>Open (17.09.1999)/17</t>
  </si>
  <si>
    <t>Navashino/Nizhegorodskaya oblast</t>
  </si>
  <si>
    <t>Panfilov A.</t>
  </si>
  <si>
    <t>Zhurba Vladislav</t>
  </si>
  <si>
    <t>Open (15.02.1996)/20</t>
  </si>
  <si>
    <t>Charov Mikhail</t>
  </si>
  <si>
    <t>Open (01.02.1989)/27</t>
  </si>
  <si>
    <t>78,30</t>
  </si>
  <si>
    <t>Dobrov Savva</t>
  </si>
  <si>
    <t>Junior (25.03.1999)/17</t>
  </si>
  <si>
    <t>85,70</t>
  </si>
  <si>
    <t>Grushin Vladimir</t>
  </si>
  <si>
    <t>Open (04.12.1985)/31</t>
  </si>
  <si>
    <t>Vorobyev Ivan</t>
  </si>
  <si>
    <t>Open (07.02.1993)/23</t>
  </si>
  <si>
    <t>Open (21.02.1976)/40</t>
  </si>
  <si>
    <t>Grip block</t>
  </si>
  <si>
    <t>Telitsina Mariya</t>
  </si>
  <si>
    <t>Open (01.01.1989)/27</t>
  </si>
  <si>
    <t>Tver/Tverskaya oblast</t>
  </si>
  <si>
    <t>28,5</t>
  </si>
  <si>
    <t>33,5</t>
  </si>
  <si>
    <t>Vorobyev I.</t>
  </si>
  <si>
    <t>Sankt-Peterburg/Leningradskay oblast</t>
  </si>
  <si>
    <t xml:space="preserve">Grakhov Yu. </t>
  </si>
  <si>
    <t>49,5</t>
  </si>
  <si>
    <t>Junior (15.02.1996)/20</t>
  </si>
  <si>
    <t>58,5</t>
  </si>
  <si>
    <t>63,5</t>
  </si>
  <si>
    <t>68,5</t>
  </si>
  <si>
    <t>Khudyakov Vladimir</t>
  </si>
  <si>
    <t>Open (11.06.1984)/32</t>
  </si>
  <si>
    <t>73,5</t>
  </si>
  <si>
    <t>78,5</t>
  </si>
  <si>
    <t>Kerch/Respublika Krym</t>
  </si>
  <si>
    <t>59,0</t>
  </si>
  <si>
    <t>83,5</t>
  </si>
  <si>
    <t>Lebedev Aleksandr</t>
  </si>
  <si>
    <t>Masters 40-49 (20.12.1972)/43</t>
  </si>
  <si>
    <t>43,0</t>
  </si>
  <si>
    <t>48,0</t>
  </si>
  <si>
    <t>Zinchenko Valentin</t>
  </si>
  <si>
    <t>Open (11.11.1983)/33</t>
  </si>
  <si>
    <t>85,5</t>
  </si>
  <si>
    <t>Asinovskiy A.</t>
  </si>
  <si>
    <t>74,0</t>
  </si>
  <si>
    <t>Excalibur</t>
  </si>
  <si>
    <t>67,0</t>
  </si>
  <si>
    <t>77,0</t>
  </si>
  <si>
    <t>62,0</t>
  </si>
  <si>
    <t>Grakhov Yu.</t>
  </si>
  <si>
    <t>102,0</t>
  </si>
  <si>
    <t>Taldykin Artem</t>
  </si>
  <si>
    <t>Open (02.12.1991)/25</t>
  </si>
  <si>
    <t>Voronezh/Voronezhskaya oblast</t>
  </si>
  <si>
    <t>107,0</t>
  </si>
  <si>
    <t>Shevchenko S.</t>
  </si>
  <si>
    <t>113,0</t>
  </si>
  <si>
    <t>Khudyakov V.D.</t>
  </si>
  <si>
    <t>Fedyayev Mikhail</t>
  </si>
  <si>
    <t>Open (03.03.1987)/29</t>
  </si>
  <si>
    <t>Kazan/Tatarstan</t>
  </si>
  <si>
    <t>Khaykin A.</t>
  </si>
  <si>
    <t>Gafarov Ayrat</t>
  </si>
  <si>
    <t>Open (21.03.1970)/46</t>
  </si>
  <si>
    <t>Athina/Greece/</t>
  </si>
  <si>
    <t>106,5</t>
  </si>
  <si>
    <t>Masters 40-49 (21.03.1970)/46</t>
  </si>
  <si>
    <t>81,2</t>
  </si>
  <si>
    <t>109,5</t>
  </si>
  <si>
    <t>112,0</t>
  </si>
  <si>
    <t>144,40</t>
  </si>
  <si>
    <t>Masters 40-49 (18.05.1975)/41</t>
  </si>
  <si>
    <t>HUB</t>
  </si>
  <si>
    <t>12,5</t>
  </si>
  <si>
    <t>15,0</t>
  </si>
  <si>
    <t>16,2</t>
  </si>
  <si>
    <t>20,0</t>
  </si>
  <si>
    <t>22,5</t>
  </si>
  <si>
    <t>23,7</t>
  </si>
  <si>
    <t>28,7</t>
  </si>
  <si>
    <t>17,5</t>
  </si>
  <si>
    <t>36,0</t>
  </si>
  <si>
    <t>80</t>
  </si>
  <si>
    <t>Silver bullet</t>
  </si>
  <si>
    <t>Total</t>
  </si>
  <si>
    <t>23,82</t>
  </si>
  <si>
    <t>41,30</t>
  </si>
  <si>
    <t>Asinovskiy Aleksandr</t>
  </si>
  <si>
    <t>Open (17.06.1978)/38</t>
  </si>
  <si>
    <t>36,00</t>
  </si>
  <si>
    <t>Powersport</t>
  </si>
  <si>
    <t>Age class
Bith date/Age</t>
  </si>
  <si>
    <t>Biceps Curl</t>
  </si>
  <si>
    <t>Straight press</t>
  </si>
  <si>
    <t xml:space="preserve">Ryndya Yelena </t>
  </si>
  <si>
    <t xml:space="preserve">Buryakov Sergey </t>
  </si>
  <si>
    <t>Open (21.06.1977)/39</t>
  </si>
  <si>
    <t>57,90</t>
  </si>
  <si>
    <t>Weight class  67.5</t>
  </si>
  <si>
    <t>Tyupko Grigoriy</t>
  </si>
  <si>
    <t>Open (25.06.1990)/26</t>
  </si>
  <si>
    <t xml:space="preserve">Yemelyanov Andrey </t>
  </si>
  <si>
    <t>Teen 13-19 (15.10.1997)/19</t>
  </si>
  <si>
    <t>Maysuradze Luka</t>
  </si>
  <si>
    <t>Teen 13-19 (29.09.2000)/16</t>
  </si>
  <si>
    <t>72,40</t>
  </si>
  <si>
    <t>Arenkin A.</t>
  </si>
  <si>
    <t>Panov Petr</t>
  </si>
  <si>
    <t>Juniors 20-23 (20.12.1993)/22</t>
  </si>
  <si>
    <t>Yushin Aleksey</t>
  </si>
  <si>
    <t>Open (09.10.1982)/34</t>
  </si>
  <si>
    <t>71,90</t>
  </si>
  <si>
    <t>Ievlev Vadim</t>
  </si>
  <si>
    <t>Masters 50-59 (06.12.1962)/54</t>
  </si>
  <si>
    <t xml:space="preserve">Babichev I. </t>
  </si>
  <si>
    <t>Weight class  82.5</t>
  </si>
  <si>
    <t>Ulyanov Dmitriy</t>
  </si>
  <si>
    <t>Juniors 20-23 (27.07.1993)/23</t>
  </si>
  <si>
    <t>Sakovich Oleg</t>
  </si>
  <si>
    <t>Open (21.08.1992)/24</t>
  </si>
  <si>
    <t xml:space="preserve">Dvoretskiy Aleksey </t>
  </si>
  <si>
    <t>Open (31.03.1991)/25</t>
  </si>
  <si>
    <t>Grishanov Aleksandr</t>
  </si>
  <si>
    <t>Open (04.09.1979)/37</t>
  </si>
  <si>
    <t xml:space="preserve">Yefremov Pavel </t>
  </si>
  <si>
    <t>Open (28.01.1983)/33</t>
  </si>
  <si>
    <t>Rubtsov Aleksandr</t>
  </si>
  <si>
    <t>Kashirin Aleksandr</t>
  </si>
  <si>
    <t>Juniors 20-23 (02.03.1993)/23</t>
  </si>
  <si>
    <t>82,80</t>
  </si>
  <si>
    <t>Latinskiy Vitaliy</t>
  </si>
  <si>
    <t>Open (22.06.1976)/40</t>
  </si>
  <si>
    <t>Polyakov Andrey</t>
  </si>
  <si>
    <t xml:space="preserve">Polyakov Andrey </t>
  </si>
  <si>
    <t>Masters 40-49 (09.06.1974)/42</t>
  </si>
  <si>
    <t>Masters 60+ (30.05.1948)/68</t>
  </si>
  <si>
    <t xml:space="preserve">Tikhov Sergey </t>
  </si>
  <si>
    <t>Open (06.07.1981)/35</t>
  </si>
  <si>
    <t xml:space="preserve">Pronin Ivan </t>
  </si>
  <si>
    <t>Open (21.06.1985)/31</t>
  </si>
  <si>
    <t>Open (21.01.1982)/34</t>
  </si>
  <si>
    <t>Tikhov Sergey</t>
  </si>
  <si>
    <t>119,8050</t>
  </si>
  <si>
    <t>119,4463</t>
  </si>
  <si>
    <t>115,5294</t>
  </si>
  <si>
    <t>World Сhampionship "Union of Russian Powerlifters"</t>
  </si>
  <si>
    <t>Russia/individual</t>
  </si>
  <si>
    <t>Russia/Dzerzhinskaya/Nizhegorodskaya oblast</t>
  </si>
  <si>
    <t>Russia/Kotlas/Arkhangelskaya oblast</t>
  </si>
  <si>
    <t xml:space="preserve">Khorev Artur </t>
  </si>
  <si>
    <t xml:space="preserve">Alekhin Mikhail </t>
  </si>
  <si>
    <t xml:space="preserve">Trayber Andrey </t>
  </si>
  <si>
    <t>Masters 50-59 (20.08.1964)/52</t>
  </si>
  <si>
    <t xml:space="preserve">Lisin Eduard </t>
  </si>
  <si>
    <t>Juniors 20-23 (17.05.1994)/22</t>
  </si>
  <si>
    <t xml:space="preserve">Troshinskiy Mikhail </t>
  </si>
  <si>
    <t>Open (28.10.1984)/32</t>
  </si>
  <si>
    <t>Ayupov Arsen</t>
  </si>
  <si>
    <t>Open (20.12.1980)/35</t>
  </si>
  <si>
    <t xml:space="preserve">Ozornov Roman </t>
  </si>
  <si>
    <t>Babichev Igor</t>
  </si>
  <si>
    <t>Masters 40-49 (05.06.1974)/42</t>
  </si>
  <si>
    <t xml:space="preserve">Gorokhovskiy Igor </t>
  </si>
  <si>
    <t>Masters 50-59 (25.09.1964)/52</t>
  </si>
  <si>
    <t xml:space="preserve">Babichev I.  </t>
  </si>
  <si>
    <t xml:space="preserve">Isayev Maksim </t>
  </si>
  <si>
    <t>92,00</t>
  </si>
  <si>
    <t>Pronin Ivan</t>
  </si>
  <si>
    <t>Bogaksade Behdad</t>
  </si>
  <si>
    <t>Open (11.12.1983)/33</t>
  </si>
  <si>
    <t>Nepryakhin Aleksey</t>
  </si>
  <si>
    <t>Masters 40-49 (03.02.1975)/41</t>
  </si>
  <si>
    <t>103,10</t>
  </si>
  <si>
    <t>Denikayev K.</t>
  </si>
  <si>
    <t>Weight class  140+</t>
  </si>
  <si>
    <t>Masters 40-49 (07.10.1975)/41</t>
  </si>
  <si>
    <t>Alekhin Mikhail</t>
  </si>
  <si>
    <t>126,3880</t>
  </si>
  <si>
    <t>116,1300</t>
  </si>
  <si>
    <t>Russia/Lytkarino/Moskovskaya oblast</t>
  </si>
  <si>
    <t>Russia/Vysokovsk/Moskovskaya oblast</t>
  </si>
  <si>
    <t>Belarus/Bobruysk/Gomelskaya</t>
  </si>
  <si>
    <t>Russia/Dedovsk/Moskovskaya oblast</t>
  </si>
  <si>
    <t>Folk Bench press 1/2 bwt drug tested</t>
  </si>
  <si>
    <t>bar weight</t>
  </si>
  <si>
    <t>reps</t>
  </si>
  <si>
    <t>Weight class  52</t>
  </si>
  <si>
    <t>51,20</t>
  </si>
  <si>
    <t>33,0</t>
  </si>
  <si>
    <t xml:space="preserve">Subbotina Yelena </t>
  </si>
  <si>
    <t>Russia/Sankt-Peterburg</t>
  </si>
  <si>
    <t>18,0</t>
  </si>
  <si>
    <t xml:space="preserve">Yegorova Yelena  </t>
  </si>
  <si>
    <t>Masters 40-49 (13.01.1974)/42</t>
  </si>
  <si>
    <t xml:space="preserve">Isayeva Irina  </t>
  </si>
  <si>
    <t>Teen 13-19 (11.08.2000)/16</t>
  </si>
  <si>
    <t>Pervyshin Ye.</t>
  </si>
  <si>
    <t xml:space="preserve">Travkina Anna </t>
  </si>
  <si>
    <t>Teen 13-19 (14.05.2000)/16</t>
  </si>
  <si>
    <t>27,0</t>
  </si>
  <si>
    <t>Savina Galina</t>
  </si>
  <si>
    <t>Loyko V.</t>
  </si>
  <si>
    <t xml:space="preserve">Savina Galina  </t>
  </si>
  <si>
    <t xml:space="preserve">Makarova Yuliya  </t>
  </si>
  <si>
    <t>Masters 40-49 (30.06.1969)/47</t>
  </si>
  <si>
    <t>21,0</t>
  </si>
  <si>
    <t>Weight class  56</t>
  </si>
  <si>
    <t xml:space="preserve">Golitsyn Sergey  </t>
  </si>
  <si>
    <t>Teen 13-19 (04.09.1998)/18</t>
  </si>
  <si>
    <t>54,60</t>
  </si>
  <si>
    <t>Russia/Gavrilov-Yam/Yaroslavskaya oblast</t>
  </si>
  <si>
    <t xml:space="preserve">Ozerov Anton  </t>
  </si>
  <si>
    <t>Teen 13-19 (13.06.2001)/15</t>
  </si>
  <si>
    <t xml:space="preserve">Semenov Pavel  </t>
  </si>
  <si>
    <t>Teen 13-19 (01.10.2001)/15</t>
  </si>
  <si>
    <t xml:space="preserve">Silantyev Kirill  </t>
  </si>
  <si>
    <t>Teen 13-19 (24.08.1998)/18</t>
  </si>
  <si>
    <t xml:space="preserve">Chuvashayev Vadim  </t>
  </si>
  <si>
    <t>Teen 13-19 (01.06.2000)/16</t>
  </si>
  <si>
    <t>82,0</t>
  </si>
  <si>
    <t>Weight class  44</t>
  </si>
  <si>
    <t xml:space="preserve">Voronova Yelizaveta  </t>
  </si>
  <si>
    <t>Teen 13-19 (09.06.2005)/11</t>
  </si>
  <si>
    <t>42,10</t>
  </si>
  <si>
    <t xml:space="preserve">Makarova Yuliya </t>
  </si>
  <si>
    <t>Open (30.06.1969)/47</t>
  </si>
  <si>
    <t xml:space="preserve">Gapuzin Aleksandr  </t>
  </si>
  <si>
    <t>Open (03.01.1988)/28</t>
  </si>
  <si>
    <t xml:space="preserve">Vsevolodov Nikita  </t>
  </si>
  <si>
    <t>Open (19.08.1992)/24</t>
  </si>
  <si>
    <t>62,50</t>
  </si>
  <si>
    <t>Russia/ Krutikha/Altayskiy kray</t>
  </si>
  <si>
    <t xml:space="preserve">Kobzev Anton  </t>
  </si>
  <si>
    <t>Open (18.11.1989)/27</t>
  </si>
  <si>
    <t>60,30</t>
  </si>
  <si>
    <t xml:space="preserve">Vilchitskiy Anatoliy  </t>
  </si>
  <si>
    <t>Masters 60+ (24.08.1955)/61</t>
  </si>
  <si>
    <t xml:space="preserve">Kamalyan Artur </t>
  </si>
  <si>
    <t xml:space="preserve">Degtyarev Yegor  </t>
  </si>
  <si>
    <t>Open (04.09.1989)/27</t>
  </si>
  <si>
    <t>74,70</t>
  </si>
  <si>
    <t>Pavlov M.</t>
  </si>
  <si>
    <t xml:space="preserve">Tikhonov Stanislav  </t>
  </si>
  <si>
    <t>Open (14.07.1991)/25</t>
  </si>
  <si>
    <t>71,60</t>
  </si>
  <si>
    <t xml:space="preserve">Khristenko Valeriy  </t>
  </si>
  <si>
    <t>Open (10.12.1989)/26</t>
  </si>
  <si>
    <t>34,0</t>
  </si>
  <si>
    <t>Sorokin A., Khudyakov V.</t>
  </si>
  <si>
    <t xml:space="preserve">Vagin Stanislav  </t>
  </si>
  <si>
    <t>Open (05.02.1987)/29</t>
  </si>
  <si>
    <t xml:space="preserve">Khozyaykin Anton  </t>
  </si>
  <si>
    <t>Open (21.05.1988)/28</t>
  </si>
  <si>
    <t>32,0</t>
  </si>
  <si>
    <t xml:space="preserve">Minasyan Artur  </t>
  </si>
  <si>
    <t xml:space="preserve">Bykov Nikolay </t>
  </si>
  <si>
    <t>Masters 50-59 (08.01.1962)/54</t>
  </si>
  <si>
    <t xml:space="preserve">Zaytsev Aleksandr  </t>
  </si>
  <si>
    <t>Open (20.05.1987)/29</t>
  </si>
  <si>
    <t xml:space="preserve">Pogosov Levon  </t>
  </si>
  <si>
    <t>Open (12.06.1982)/34</t>
  </si>
  <si>
    <t>Russia/Sochi/Krasnodarskiy kray</t>
  </si>
  <si>
    <t>42,0</t>
  </si>
  <si>
    <t xml:space="preserve">Zhirkov Fedor  </t>
  </si>
  <si>
    <t>Open (19.01.1984)/32</t>
  </si>
  <si>
    <t>37,0</t>
  </si>
  <si>
    <t>Parfenov A.</t>
  </si>
  <si>
    <t xml:space="preserve">Skobkarev Roman </t>
  </si>
  <si>
    <t>Open (25.09.1986)/30</t>
  </si>
  <si>
    <t xml:space="preserve">Fadeyev Viktor  </t>
  </si>
  <si>
    <t>Masters 40-49 (06.08.1975)/41</t>
  </si>
  <si>
    <t xml:space="preserve">Troshinskiy Vyacheslav  </t>
  </si>
  <si>
    <t>Masters 50-59 (10.05.1960)/56</t>
  </si>
  <si>
    <t xml:space="preserve">Karyotis Panagiotis  </t>
  </si>
  <si>
    <t xml:space="preserve">Makarenko Yevgeniy </t>
  </si>
  <si>
    <t>Smolnikov Valeriy</t>
  </si>
  <si>
    <t>Open (31.05.1976)/40</t>
  </si>
  <si>
    <t>83,00</t>
  </si>
  <si>
    <t>Favorskiy D.</t>
  </si>
  <si>
    <t xml:space="preserve">Bakanov Artur  </t>
  </si>
  <si>
    <t>Open (17.11.1989)/27</t>
  </si>
  <si>
    <t xml:space="preserve">Polezhayev Aleksandr  </t>
  </si>
  <si>
    <t>Open (05.07.1987)/29</t>
  </si>
  <si>
    <t xml:space="preserve">Boyarovich Yevgeniy  </t>
  </si>
  <si>
    <t>Boyarovich L.</t>
  </si>
  <si>
    <t xml:space="preserve">Semenov Nikolay </t>
  </si>
  <si>
    <t>Kazahkstan</t>
  </si>
  <si>
    <t>Kazahkstan/Karaganda/Karagandinskaya oblast</t>
  </si>
  <si>
    <t xml:space="preserve">Bukalov Aleksey  </t>
  </si>
  <si>
    <t>Open (10.12.1976)/39</t>
  </si>
  <si>
    <t>29,0</t>
  </si>
  <si>
    <t>Bukalov Aleksey</t>
  </si>
  <si>
    <t>Sub Masters 33-39 (10.12.1976)/39</t>
  </si>
  <si>
    <t xml:space="preserve">Smolnikov Valeriy </t>
  </si>
  <si>
    <t>Masters 40-49 (31.05.1976)/40</t>
  </si>
  <si>
    <t xml:space="preserve">Bazanov Sergey  </t>
  </si>
  <si>
    <t>Masters 50-59 (22.06.1962)/54</t>
  </si>
  <si>
    <t>87,30</t>
  </si>
  <si>
    <t xml:space="preserve">Kotov Oleg  </t>
  </si>
  <si>
    <t>Masters 50-59 (25.04.1966)/50</t>
  </si>
  <si>
    <t>Goncharov V.</t>
  </si>
  <si>
    <t>Masters 50-59 (02.09.1957)/59</t>
  </si>
  <si>
    <t>12,0</t>
  </si>
  <si>
    <t xml:space="preserve">Yurasov Yevgeniy  </t>
  </si>
  <si>
    <t>Juniors 20-23 (11.08.1996)/20</t>
  </si>
  <si>
    <t>19,0</t>
  </si>
  <si>
    <t xml:space="preserve">Filippin Andrey </t>
  </si>
  <si>
    <t>Open (02.01.1982)/34</t>
  </si>
  <si>
    <t xml:space="preserve">Stekolshchikov Aleksey  </t>
  </si>
  <si>
    <t xml:space="preserve">Martoshenko Igor  </t>
  </si>
  <si>
    <t>Open (26.03.1986)/30</t>
  </si>
  <si>
    <t>90,50</t>
  </si>
  <si>
    <t xml:space="preserve"> Smolnikov V.</t>
  </si>
  <si>
    <t xml:space="preserve">Chernyshov Igor  </t>
  </si>
  <si>
    <t>Masters 40-49 (14.07.1969)/47</t>
  </si>
  <si>
    <t>24,0</t>
  </si>
  <si>
    <t xml:space="preserve">Avdulov Yevgeniy  </t>
  </si>
  <si>
    <t xml:space="preserve">Baranov Aleksandr  </t>
  </si>
  <si>
    <t>Open (15.01.1986)/30</t>
  </si>
  <si>
    <t>110,60</t>
  </si>
  <si>
    <t>17,0</t>
  </si>
  <si>
    <t xml:space="preserve">Logunov Anatoliy </t>
  </si>
  <si>
    <t>Masters 60+ (08.01.1953)/63</t>
  </si>
  <si>
    <t>13,0</t>
  </si>
  <si>
    <t>Weight class  140</t>
  </si>
  <si>
    <t xml:space="preserve">Savin Ruslan </t>
  </si>
  <si>
    <t>Open (26.12.1978)/37</t>
  </si>
  <si>
    <t>Nikitin S.</t>
  </si>
  <si>
    <t xml:space="preserve">Bogdanov Konstantin  </t>
  </si>
  <si>
    <t>Masters 40-49 (14.05.1976)/40</t>
  </si>
  <si>
    <t>14,0</t>
  </si>
  <si>
    <t>Filin Mikhail</t>
  </si>
  <si>
    <t>Open (17.11.1961)/55</t>
  </si>
  <si>
    <t>141,90</t>
  </si>
  <si>
    <t xml:space="preserve">Filin Mikhail </t>
  </si>
  <si>
    <t>Masters 50-59 (17.11.1961)/55</t>
  </si>
  <si>
    <t>Degtyarev Yegor</t>
  </si>
  <si>
    <t>4050,0</t>
  </si>
  <si>
    <t>2796,9299</t>
  </si>
  <si>
    <t>Gapuzin Aleksandr</t>
  </si>
  <si>
    <t>3307,5</t>
  </si>
  <si>
    <t>2510,3925</t>
  </si>
  <si>
    <t>Vsevolodov Nikita</t>
  </si>
  <si>
    <t>2937,5</t>
  </si>
  <si>
    <t>2353,6718</t>
  </si>
  <si>
    <t>Vilchitskiy Anatoliy</t>
  </si>
  <si>
    <t>Masters 60+</t>
  </si>
  <si>
    <t>2015,0</t>
  </si>
  <si>
    <t>2128,5005</t>
  </si>
  <si>
    <t>Bykov Nikolay</t>
  </si>
  <si>
    <t>Masters 50-59</t>
  </si>
  <si>
    <t>2550,0</t>
  </si>
  <si>
    <t>2122,2758</t>
  </si>
  <si>
    <t>2805,0</t>
  </si>
  <si>
    <t>1801,0904</t>
  </si>
  <si>
    <t>Stepanova S.</t>
  </si>
  <si>
    <t>Folk Bench press 1/2 bwt</t>
  </si>
  <si>
    <t xml:space="preserve">Kogadeyeva Darya </t>
  </si>
  <si>
    <t>Open (29.06.1978)/38</t>
  </si>
  <si>
    <t>80,70</t>
  </si>
  <si>
    <t>Folk Bench press</t>
  </si>
  <si>
    <t xml:space="preserve">Kostikova Kristina </t>
  </si>
  <si>
    <t>Juniors 20-23 (22.05.1993)/23</t>
  </si>
  <si>
    <t>52,40</t>
  </si>
  <si>
    <t>1575</t>
  </si>
  <si>
    <t xml:space="preserve">Khitrov Sergey </t>
  </si>
  <si>
    <t>Teen 13-19 (07.09.2004)/12</t>
  </si>
  <si>
    <t>30,70</t>
  </si>
  <si>
    <t>Khitrov S.</t>
  </si>
  <si>
    <t>Artemyev Igor</t>
  </si>
  <si>
    <t>Open (22.12.1971)/44</t>
  </si>
  <si>
    <t>54,90</t>
  </si>
  <si>
    <t>Russia/Glazov/Udmurtiya</t>
  </si>
  <si>
    <t xml:space="preserve">Artemyev Igor  </t>
  </si>
  <si>
    <t>Masters 40-49 (22.12.1971)/44</t>
  </si>
  <si>
    <t>Teen 13-19 (11.09.2004)/12</t>
  </si>
  <si>
    <t>10,0</t>
  </si>
  <si>
    <t xml:space="preserve">Artemyev Oleg  </t>
  </si>
  <si>
    <t>38,0</t>
  </si>
  <si>
    <t xml:space="preserve">Kuchin Igor  </t>
  </si>
  <si>
    <t xml:space="preserve">Abrosimov Timur </t>
  </si>
  <si>
    <t>Juniors 20-23 (13.10.1993)/23</t>
  </si>
  <si>
    <t xml:space="preserve">Pavlov Maksim  </t>
  </si>
  <si>
    <t>Open (26.04.1986)/30</t>
  </si>
  <si>
    <t>Russia/Kanash/Chuvashiya</t>
  </si>
  <si>
    <t>Dzhomiyev A.</t>
  </si>
  <si>
    <t xml:space="preserve">Ryzhov Dmitriy  </t>
  </si>
  <si>
    <t>Open (09.07.1990)/26</t>
  </si>
  <si>
    <t>Abrosimov Timur</t>
  </si>
  <si>
    <t>Open (13.10.1993)/23</t>
  </si>
  <si>
    <t xml:space="preserve">Mityashin Nikolay  </t>
  </si>
  <si>
    <t>Open (20.05.1986)/30</t>
  </si>
  <si>
    <t>68,70</t>
  </si>
  <si>
    <t>Russia/Shakhunya/Nizhegorodskaya oblast</t>
  </si>
  <si>
    <t xml:space="preserve">Novogolub Oleg </t>
  </si>
  <si>
    <t xml:space="preserve">Chebotarev Artem  </t>
  </si>
  <si>
    <t>Open (10.02.1990)/26</t>
  </si>
  <si>
    <t>Russia/Novovoronezh/Voronezhskaya oblast</t>
  </si>
  <si>
    <t xml:space="preserve">Nurgaliyev Nail </t>
  </si>
  <si>
    <t>Open (23.04.1974)/42</t>
  </si>
  <si>
    <t>Lovchikov Aleksey</t>
  </si>
  <si>
    <t>Open (25.02.1972)/44</t>
  </si>
  <si>
    <t>Nurgaliyev Nail</t>
  </si>
  <si>
    <t>Masters 40-49 (23.04.1974)/42</t>
  </si>
  <si>
    <t xml:space="preserve">Lovchikov Aleksey  </t>
  </si>
  <si>
    <t>Masters 40-49 (25.02.1972)/44</t>
  </si>
  <si>
    <t>Masters 40-49 (12.03.1972)/44</t>
  </si>
  <si>
    <t xml:space="preserve">Dadakhanov Khasylzhan  </t>
  </si>
  <si>
    <t>Open (14.02.1988)/28</t>
  </si>
  <si>
    <t>Russia/Volgodonsk/Rostovskaya oblast</t>
  </si>
  <si>
    <t>51,0</t>
  </si>
  <si>
    <t>Bezuglov P.</t>
  </si>
  <si>
    <t xml:space="preserve">Podobin Sergey  </t>
  </si>
  <si>
    <t>Open (23.07.1981)/35</t>
  </si>
  <si>
    <t>Russia/Kolomna/Moskovskaya oblast</t>
  </si>
  <si>
    <t>Zimin</t>
  </si>
  <si>
    <t xml:space="preserve">Karpukhin Pavel </t>
  </si>
  <si>
    <t xml:space="preserve">Troshinskiy Mikhail  </t>
  </si>
  <si>
    <t xml:space="preserve">Doroshenkov Anton  </t>
  </si>
  <si>
    <t>Open (22.04.1979)/37</t>
  </si>
  <si>
    <t xml:space="preserve">Kuropkin Sergey  </t>
  </si>
  <si>
    <t>Masters 40-49 (01.06.1975)/41</t>
  </si>
  <si>
    <t>Russia/Burepolom/Nizhegorodskaya oblast</t>
  </si>
  <si>
    <t>Kuropkina L.</t>
  </si>
  <si>
    <t xml:space="preserve">Klabukov Sergey  </t>
  </si>
  <si>
    <t>Masters 40-49 (26.08.1976)/40</t>
  </si>
  <si>
    <t>28,0</t>
  </si>
  <si>
    <t xml:space="preserve">Khabibullin Radik  </t>
  </si>
  <si>
    <t>Juniors 20-23 (10.08.1993)/23</t>
  </si>
  <si>
    <t>90,80</t>
  </si>
  <si>
    <t xml:space="preserve">Ignatov Vitaliy </t>
  </si>
  <si>
    <t xml:space="preserve">Bardin Vladimir  </t>
  </si>
  <si>
    <t>Open (13.01.1985)/31</t>
  </si>
  <si>
    <t>99,50</t>
  </si>
  <si>
    <t>46,0</t>
  </si>
  <si>
    <t>Volkov Andrey</t>
  </si>
  <si>
    <t xml:space="preserve">Smirnov Andrey  </t>
  </si>
  <si>
    <t>Open (24.05.1983)/33</t>
  </si>
  <si>
    <t xml:space="preserve">Korniyenko Ruslan  </t>
  </si>
  <si>
    <t>Open (09.03.1981)/35</t>
  </si>
  <si>
    <t>Khabibullin Radik</t>
  </si>
  <si>
    <t>Open (10.08.1993)/23</t>
  </si>
  <si>
    <t xml:space="preserve">Chmirevskiy Mikhail  </t>
  </si>
  <si>
    <t xml:space="preserve">Zuyev Gennadiy  </t>
  </si>
  <si>
    <t>Open (20.08.1985)/31</t>
  </si>
  <si>
    <t>Kovalenko K.</t>
  </si>
  <si>
    <t xml:space="preserve">Chumachenko Aleksandr  </t>
  </si>
  <si>
    <t>Open (07.06.1988)/28</t>
  </si>
  <si>
    <t>Russia/Karabanovo/Vladimirskaya oblast</t>
  </si>
  <si>
    <t xml:space="preserve">Kuznetsov Roman  </t>
  </si>
  <si>
    <t>Open (11.08.1981)/35</t>
  </si>
  <si>
    <t xml:space="preserve">Volkov Andrey  </t>
  </si>
  <si>
    <t>Masters 40-49 (29.09.1975)/41</t>
  </si>
  <si>
    <t xml:space="preserve">Postnov Vladimir  </t>
  </si>
  <si>
    <t>Masters 40-49 (21.04.1970)/46</t>
  </si>
  <si>
    <t>93,40</t>
  </si>
  <si>
    <t>Russia/Serdobsk/Penzenskaya oblast</t>
  </si>
  <si>
    <t xml:space="preserve">Saul Salazar  </t>
  </si>
  <si>
    <t>Masters 50-59 (03.02.1964)/52</t>
  </si>
  <si>
    <t>Columbia</t>
  </si>
  <si>
    <t>Columbia/Barranquilla/Atlantico</t>
  </si>
  <si>
    <t xml:space="preserve">Fedyukov Daniil  </t>
  </si>
  <si>
    <t>Teen 13-19 (21.01.1997)/19</t>
  </si>
  <si>
    <t>22,0</t>
  </si>
  <si>
    <t xml:space="preserve">Kryukov Aleksey  </t>
  </si>
  <si>
    <t>Open (25.02.1991)/25</t>
  </si>
  <si>
    <t xml:space="preserve">Lutsenko Andrey  </t>
  </si>
  <si>
    <t>Belarus/Gomel/</t>
  </si>
  <si>
    <t xml:space="preserve">Lavrov Sergey  </t>
  </si>
  <si>
    <t>Open (18.11.1991)/25</t>
  </si>
  <si>
    <t>Russia/Noginsk/Moskovskaya oblast</t>
  </si>
  <si>
    <t>Zanegin N.</t>
  </si>
  <si>
    <t xml:space="preserve">Arsentyev Ivan  </t>
  </si>
  <si>
    <t>Masters 40-49 (04.06.1976)/40</t>
  </si>
  <si>
    <t>115,70</t>
  </si>
  <si>
    <t>Yankovskaya A.</t>
  </si>
  <si>
    <t xml:space="preserve">Kurotchenko Igor </t>
  </si>
  <si>
    <t>Masters 50-59 (20.03.1962)/54</t>
  </si>
  <si>
    <t>138,50</t>
  </si>
  <si>
    <t xml:space="preserve">Rankin Bejerano </t>
  </si>
  <si>
    <t>Pavlov Maksim</t>
  </si>
  <si>
    <t>6887,5</t>
  </si>
  <si>
    <t>4865,3298</t>
  </si>
  <si>
    <t>Chebotarev Artem</t>
  </si>
  <si>
    <t>4867,5</t>
  </si>
  <si>
    <t>3162,6581</t>
  </si>
  <si>
    <t>4935,0</t>
  </si>
  <si>
    <t>2818,1317</t>
  </si>
  <si>
    <t>4162,5</t>
  </si>
  <si>
    <t>2539,2914</t>
  </si>
  <si>
    <t>3547,5</t>
  </si>
  <si>
    <t>2347,2885</t>
  </si>
  <si>
    <t>Arsentyev Ivan</t>
  </si>
  <si>
    <t>3760,0</t>
  </si>
  <si>
    <t>2088,4921</t>
  </si>
  <si>
    <t>Weight Class  48</t>
  </si>
  <si>
    <t>Weight Class  52</t>
  </si>
  <si>
    <t>Weight Class  60</t>
  </si>
  <si>
    <t>Weight Class  67.5</t>
  </si>
  <si>
    <t>Weight Class  75</t>
  </si>
  <si>
    <t>Weight Class  82.5</t>
  </si>
  <si>
    <t>Weight Class  90</t>
  </si>
  <si>
    <t>Weight Class  100</t>
  </si>
  <si>
    <t>Weight Class  110</t>
  </si>
  <si>
    <t>Weight Class  125</t>
  </si>
  <si>
    <t>Weight Class  56</t>
  </si>
  <si>
    <t>Weight Class  100+</t>
  </si>
  <si>
    <t>Weight Class  140</t>
  </si>
  <si>
    <t>Weight Class  140+</t>
  </si>
  <si>
    <t>Weight Class  44</t>
  </si>
  <si>
    <t>Weight Class  90+</t>
  </si>
  <si>
    <t>Russia/independent</t>
  </si>
  <si>
    <t>independent</t>
  </si>
  <si>
    <t>Best Lifters</t>
  </si>
  <si>
    <t>World Championship GPA/IPO</t>
  </si>
  <si>
    <t>Raw powerlifting</t>
  </si>
  <si>
    <t>Raw powerlifting with knee wraps</t>
  </si>
  <si>
    <t>Raw powerlifting drug-tested</t>
  </si>
  <si>
    <t>Raw powerlifting with knee wraps drug-tested</t>
  </si>
  <si>
    <t>Samosbkmz Eirjdrug-testedoyatelno</t>
  </si>
  <si>
    <t>Russia/Kronshtadrug-tested/Leningradskaya oblast</t>
  </si>
  <si>
    <t>Equipped powerlifting</t>
  </si>
  <si>
    <t>Raw Push Pull drug-tested</t>
  </si>
  <si>
    <t>Raw Push Pull</t>
  </si>
  <si>
    <t>Equipped Push Pull</t>
  </si>
  <si>
    <t>Raw squat drug-tested</t>
  </si>
  <si>
    <t>Raw squat</t>
  </si>
  <si>
    <t>Raw squat with knee wraps drug-tested</t>
  </si>
  <si>
    <t>Raw squat with knee wraps</t>
  </si>
  <si>
    <t>Equipped squat</t>
  </si>
  <si>
    <t>Raw benchpress drug-tested</t>
  </si>
  <si>
    <t>Raw benchpress</t>
  </si>
  <si>
    <t>Raw benchpress for athletes with physical features</t>
  </si>
  <si>
    <t>Equipped benchpress</t>
  </si>
  <si>
    <t>Sling-Shot drug-tested</t>
  </si>
  <si>
    <t>Sling-Shot</t>
  </si>
  <si>
    <t>Elite Sling-Shot</t>
  </si>
  <si>
    <t xml:space="preserve"> none</t>
  </si>
  <si>
    <t>Raw deadlift drug-tested</t>
  </si>
  <si>
    <t>Raw deadlift</t>
  </si>
  <si>
    <t>Equpped deadlift</t>
  </si>
  <si>
    <t>Equpped deadlift with Wrist Straps</t>
  </si>
  <si>
    <t>Folk Bench press drug tested</t>
  </si>
  <si>
    <t>Powersport drug tested</t>
  </si>
  <si>
    <t>Armlifting Russia Cup "Union of Russian Armlifters"</t>
  </si>
  <si>
    <t>Чемпионат России ФЖД "Созвездие силы"</t>
  </si>
  <si>
    <t>Любители с ДК/жимовое двоеборье 1/2 веса</t>
  </si>
  <si>
    <t>Долгопрудный, 08 - 11 декабря 2016 г.</t>
  </si>
  <si>
    <t>Любители жимовое двоеборье 1/2 веса</t>
  </si>
  <si>
    <t>Любители с ДК/жимовое двоеборье</t>
  </si>
  <si>
    <t>Любители жимовое двоеборье</t>
  </si>
  <si>
    <t>Профессионалы/жимовое двоеборье</t>
  </si>
  <si>
    <t>Военный жим/жимовое двоеборье</t>
  </si>
  <si>
    <t>Армейский жим/жимовое двоеборье</t>
  </si>
  <si>
    <t>Жим в многослойной софт экипировке/жимовое двоеборье</t>
  </si>
  <si>
    <t>Любители с ДК/многоповторный жим</t>
  </si>
  <si>
    <t>Любители с ДК/многоповторный жим 1/2 веса</t>
  </si>
  <si>
    <t>Любители/многоповторный жим</t>
  </si>
  <si>
    <t>Любители с ДК/жим на максимум</t>
  </si>
  <si>
    <t>Любители жим на максимум</t>
  </si>
  <si>
    <t>Многоповторный жим в однослойной софт экипировке</t>
  </si>
  <si>
    <t>Многоповторный жим в многослойной софт экипировке</t>
  </si>
  <si>
    <t>Жим в однослойной софт экипировке на максимум</t>
  </si>
  <si>
    <t>Жим в многослойной софт экипировке на максимум</t>
  </si>
  <si>
    <t xml:space="preserve">Многоповторный армейский жим </t>
  </si>
  <si>
    <t>Армейский жим на максимум</t>
  </si>
  <si>
    <t>Военный жим многоповторный 50 кг</t>
  </si>
  <si>
    <t>Военный жим многоповторный</t>
  </si>
  <si>
    <t>Военный жим на максимум</t>
  </si>
  <si>
    <t>Богатырский жим 160 кг</t>
  </si>
  <si>
    <t>Чемпионат России по логлифту «Союз пауэрлифтеров России»</t>
  </si>
  <si>
    <t>Весовая категория до 90 кг</t>
  </si>
  <si>
    <t>Весовая категория до 105 кг</t>
  </si>
  <si>
    <t>Весовая категория свыше 105 кг</t>
  </si>
  <si>
    <t>Дадазанов Хасыл</t>
  </si>
  <si>
    <t>89,0</t>
  </si>
  <si>
    <t>Колченогов Андрей</t>
  </si>
  <si>
    <t>88,8</t>
  </si>
  <si>
    <t>Чикин Сергей</t>
  </si>
  <si>
    <t>Валеев Кирилл</t>
  </si>
  <si>
    <t>89,8</t>
  </si>
  <si>
    <t>87,0</t>
  </si>
  <si>
    <t>88,5</t>
  </si>
  <si>
    <t>Логлифт на количество повторений</t>
  </si>
  <si>
    <t>105</t>
  </si>
  <si>
    <t>115</t>
  </si>
  <si>
    <t>8</t>
  </si>
  <si>
    <t>5</t>
  </si>
  <si>
    <t>6</t>
  </si>
  <si>
    <t>4</t>
  </si>
  <si>
    <t>3</t>
  </si>
  <si>
    <t>Петров Никита</t>
  </si>
  <si>
    <t>Банников Дмитрий</t>
  </si>
  <si>
    <t>Бочков Михаил</t>
  </si>
  <si>
    <t>Ишин Анрдрей</t>
  </si>
  <si>
    <t>Кобанов Артем</t>
  </si>
  <si>
    <t>Кузьмин Юрий</t>
  </si>
  <si>
    <t>Лысенко Александр</t>
  </si>
  <si>
    <t>Клюшев Александр</t>
  </si>
  <si>
    <t>Дерюженко Евгений</t>
  </si>
  <si>
    <t>101,0</t>
  </si>
  <si>
    <t>94,0</t>
  </si>
  <si>
    <t>97,0</t>
  </si>
  <si>
    <t>69,0</t>
  </si>
  <si>
    <t>108,7</t>
  </si>
  <si>
    <t>121,9</t>
  </si>
  <si>
    <t>160</t>
  </si>
  <si>
    <t>146,0</t>
  </si>
  <si>
    <t>Логлифт на максимум</t>
  </si>
  <si>
    <t>120</t>
  </si>
  <si>
    <t xml:space="preserve">Williamson Anthony  </t>
  </si>
  <si>
    <t>Russia/Moscow</t>
  </si>
  <si>
    <t>Folk Bench press 150 kg for repetitions</t>
  </si>
  <si>
    <t>Best teams (contries)</t>
  </si>
  <si>
    <t>Best teams</t>
  </si>
  <si>
    <t>1. Russia</t>
  </si>
  <si>
    <t>1. Artisan team</t>
  </si>
  <si>
    <t>2. Greece</t>
  </si>
  <si>
    <t>2. Victoria</t>
  </si>
  <si>
    <t>3. Iran</t>
  </si>
  <si>
    <t>6. Grad kresta</t>
  </si>
  <si>
    <t>7. Люберцы</t>
  </si>
  <si>
    <t>8. МИРЭA</t>
  </si>
  <si>
    <t>9. Олимп</t>
  </si>
  <si>
    <t>10. Комaндa A</t>
  </si>
  <si>
    <t>12. Лидер</t>
  </si>
  <si>
    <t>13. Спортив</t>
  </si>
  <si>
    <t>14. Ивaново</t>
  </si>
  <si>
    <t>15. Окские богaтыри</t>
  </si>
  <si>
    <t>Долгопрудный, 08-11.12.2016</t>
  </si>
  <si>
    <t xml:space="preserve">1. ФАПО </t>
  </si>
  <si>
    <t xml:space="preserve">2. Sport Dom team </t>
  </si>
  <si>
    <t>Командный зачет на Чемпионате России "Созвездие силы" по жимовому двоеборью по версии ФЖД</t>
  </si>
  <si>
    <t>1. Бомбардир</t>
  </si>
  <si>
    <t xml:space="preserve">2. NNtop </t>
  </si>
  <si>
    <t xml:space="preserve">Командный зачет на Чемпионате мира по пауэрлифтингу, его отдельным движениям, народному жиму и пауэрспорту по версиям GPA/GPA-D/IPO и "Союз пауэрлифтеров России", Долгопрудный, 08-11.12.2016 </t>
  </si>
  <si>
    <t>Командный зачет по странам</t>
  </si>
  <si>
    <t>Командный зачет</t>
  </si>
  <si>
    <t>1. Россия</t>
  </si>
  <si>
    <t>2. Греция</t>
  </si>
  <si>
    <t>3. Иран</t>
  </si>
  <si>
    <t>officials</t>
  </si>
  <si>
    <t>City/Country</t>
  </si>
  <si>
    <t>referree class</t>
  </si>
  <si>
    <t>Длужневская Эльвира</t>
  </si>
  <si>
    <t>Vologda</t>
  </si>
  <si>
    <t>national</t>
  </si>
  <si>
    <t>Новиков Степан</t>
  </si>
  <si>
    <t>secretary/speaker:</t>
  </si>
  <si>
    <t>Ермолаева Дарья</t>
  </si>
  <si>
    <t>Saint Petersburg</t>
  </si>
  <si>
    <t>regional</t>
  </si>
  <si>
    <t>Чугуров Сергей</t>
  </si>
  <si>
    <t>Penza</t>
  </si>
  <si>
    <t>Смирнов Олег</t>
  </si>
  <si>
    <t>Шварц Сергей</t>
  </si>
  <si>
    <t>Шамрай Александр</t>
  </si>
  <si>
    <t>Serpukhov</t>
  </si>
  <si>
    <t>Nizhny Novgorod</t>
  </si>
  <si>
    <t>Чарикова Анастасия</t>
  </si>
  <si>
    <t>Voronezh</t>
  </si>
  <si>
    <t>Трапезникова Наталья</t>
  </si>
  <si>
    <t>Moscow</t>
  </si>
  <si>
    <t>appeal jury:</t>
  </si>
  <si>
    <t>Длужневский Сергей</t>
  </si>
  <si>
    <t>judge on the platform:</t>
  </si>
  <si>
    <t>Легчилин Роман</t>
  </si>
  <si>
    <t>Kronstadt</t>
  </si>
  <si>
    <t>Кузнецова Оксана</t>
  </si>
  <si>
    <t>Якушевич Алексей</t>
  </si>
  <si>
    <t>Волжский Алексей</t>
  </si>
  <si>
    <t>Ольховский Александр</t>
  </si>
  <si>
    <t>Туманов Александр</t>
  </si>
  <si>
    <t>Зубрицкая Лина</t>
  </si>
  <si>
    <t>Печерский Анатолий</t>
  </si>
  <si>
    <t>Медведева Юлия</t>
  </si>
  <si>
    <t>Novosibirsk</t>
  </si>
  <si>
    <t>Чарикова Ольга</t>
  </si>
  <si>
    <t>Мусаев Аслан</t>
  </si>
  <si>
    <t>Панфилов Алексей</t>
  </si>
  <si>
    <t>Navashino</t>
  </si>
  <si>
    <t>Murmansk</t>
  </si>
  <si>
    <t xml:space="preserve">Williamson Anthony </t>
  </si>
  <si>
    <t>Kolettis Andreas</t>
  </si>
  <si>
    <t>Позиция</t>
  </si>
  <si>
    <t>город/страна</t>
  </si>
  <si>
    <t>категория</t>
  </si>
  <si>
    <t>Главный судья соревнований:</t>
  </si>
  <si>
    <t>Вологда</t>
  </si>
  <si>
    <t>МК</t>
  </si>
  <si>
    <t>Главный секретарь соревнований:</t>
  </si>
  <si>
    <t>Секретарь/спикер:</t>
  </si>
  <si>
    <t>Санкт Петербург</t>
  </si>
  <si>
    <t>РК</t>
  </si>
  <si>
    <t>Пенза</t>
  </si>
  <si>
    <t>НК</t>
  </si>
  <si>
    <t>Серпухов</t>
  </si>
  <si>
    <t>Нижний Новгород</t>
  </si>
  <si>
    <t>Воронеж</t>
  </si>
  <si>
    <t>Москва</t>
  </si>
  <si>
    <t>Аппеляционное жюри:</t>
  </si>
  <si>
    <t>Судья на помосте:</t>
  </si>
  <si>
    <t xml:space="preserve">Кронштадт </t>
  </si>
  <si>
    <t>Молдова</t>
  </si>
  <si>
    <t>Новосибирск</t>
  </si>
  <si>
    <t>Навашино</t>
  </si>
  <si>
    <t>Мурманск</t>
  </si>
  <si>
    <t>Бейкер Светлана</t>
  </si>
  <si>
    <t>США</t>
  </si>
  <si>
    <t>Бейкер ЛБ</t>
  </si>
  <si>
    <t>Трипп Дана</t>
  </si>
  <si>
    <t>Кендал Дин</t>
  </si>
  <si>
    <t>Вильямсон Энтони</t>
  </si>
  <si>
    <t>Трифинопулос Константинос</t>
  </si>
  <si>
    <t>Греция</t>
  </si>
  <si>
    <t>Колеттис Андреас</t>
  </si>
  <si>
    <t>chief secretary  of the competition:</t>
  </si>
  <si>
    <t>сhief judge of the competition:</t>
  </si>
  <si>
    <t>Best teams in Armlifting Russia Cup "Union of Russian Armlifters"</t>
  </si>
  <si>
    <t>Best teams in World Championship in powerlifting, single lifts, folk bench press and powersport GPA / GPA-D / IPO and "Union of Russian Powerlifters", Dolgoprudny 08-11 December 2016</t>
  </si>
  <si>
    <t>Dolgoprudny 08-11 December 2016</t>
  </si>
  <si>
    <t>Best teamsRussia Cup "Constellation of forces" in combined bench press CFF</t>
  </si>
  <si>
    <t>Лично</t>
  </si>
  <si>
    <t>Логлифт</t>
  </si>
  <si>
    <t>На максимум</t>
  </si>
  <si>
    <t>Длужневская Владислава</t>
  </si>
  <si>
    <t>Москва/Московская область</t>
  </si>
  <si>
    <t>Малаховка/Московская область</t>
  </si>
  <si>
    <t>Дзержинск/Нижегородская область</t>
  </si>
  <si>
    <t>Домодедово/Московская область</t>
  </si>
  <si>
    <t>Железнодорожный/Московская область</t>
  </si>
  <si>
    <t>Нижний Новгород/Нижегородская область</t>
  </si>
  <si>
    <t>Владимир/Владимирская область</t>
  </si>
  <si>
    <t>Ковров/Московская область</t>
  </si>
  <si>
    <t>Подольск/Московская область</t>
  </si>
  <si>
    <t>Балашиха/Московская область</t>
  </si>
  <si>
    <t>Волгодонск/Ростовская область</t>
  </si>
  <si>
    <r>
      <t>5. 100 pudo</t>
    </r>
    <r>
      <rPr>
        <sz val="10"/>
        <rFont val="Arial Cyr"/>
        <charset val="204"/>
      </rPr>
      <t>f</t>
    </r>
  </si>
  <si>
    <t xml:space="preserve">Командный зачет на Кубке России по армлифтингу по версии федерации "Союз армлифтеров России" </t>
  </si>
  <si>
    <t xml:space="preserve">Чемпионат мира по пауэрлифтингу, его отдельным движениям, народному жиму и пауэрспорту по версиям GPA/GPA-D/IPO и "Союз пауэрлифтеров России", Чемпионат России "Созвездие силы" по жимовому двоеборью по версии ФЖД, Чемпионат России по логлифту СПР, Кубок России по армлифтингу САР и турнир "Soft Elite Devision", Россия/Долгопрудный, 08-11.12.2016 </t>
  </si>
  <si>
    <t>World Championship in powerlifting, single lifts, folk bench press and powersport GPA / GPA-D / IPO and "Union of Russian Powerlifters", Russia Championship "Constellation of forces" in combined bench press CFF, Russia Championship in loglift "Union of Russian Powerlifters", Russia Cup in armlifting "Union of Russian Armlifters" and tournament "Soft Elite Devision", Dolgoprudny 08-11 December 2016</t>
  </si>
  <si>
    <t>international</t>
  </si>
  <si>
    <t xml:space="preserve">Туманов Александр </t>
  </si>
  <si>
    <t>Кокорев Илья</t>
  </si>
  <si>
    <t>Yaroslavl</t>
  </si>
  <si>
    <t>Ярославль</t>
  </si>
  <si>
    <t>Воробей Богдан</t>
  </si>
  <si>
    <t>Украина</t>
  </si>
  <si>
    <t>Литвинов Дмитрий</t>
  </si>
  <si>
    <t>Литвинова Ксения</t>
  </si>
  <si>
    <t>Костюшин Сергей</t>
  </si>
  <si>
    <t>Трухтанов Павел</t>
  </si>
  <si>
    <t>Самара</t>
  </si>
  <si>
    <t>Samara</t>
  </si>
  <si>
    <t>Сагдиев Рустем</t>
  </si>
  <si>
    <t>Tatarstan</t>
  </si>
  <si>
    <t>Татарстан</t>
  </si>
  <si>
    <t>Барягин Леонид</t>
  </si>
  <si>
    <t>Количество участников</t>
  </si>
  <si>
    <t>GPA/IPO</t>
  </si>
  <si>
    <t>Армлифтинг</t>
  </si>
  <si>
    <t>Пауэрспорт</t>
  </si>
  <si>
    <t>Софт жим</t>
  </si>
  <si>
    <t>ФЖД</t>
  </si>
  <si>
    <t>Народный жим</t>
  </si>
  <si>
    <t>Дивизион/дисциплины</t>
  </si>
  <si>
    <t>Number of participants</t>
  </si>
  <si>
    <t>Division/discipline</t>
  </si>
  <si>
    <t>CFF</t>
  </si>
  <si>
    <t>Armlifting</t>
  </si>
  <si>
    <t>Folk bench press</t>
  </si>
  <si>
    <t>Soft bench press</t>
  </si>
  <si>
    <t>Loglift</t>
  </si>
  <si>
    <t>Russia/MIREa</t>
  </si>
  <si>
    <t>Ukraina/Severodonetsk/Luganskaya oblast</t>
  </si>
  <si>
    <r>
      <t xml:space="preserve">3. </t>
    </r>
    <r>
      <rPr>
        <sz val="10"/>
        <rFont val="Arial Cyr"/>
        <charset val="204"/>
      </rPr>
      <t>NNtop</t>
    </r>
  </si>
  <si>
    <r>
      <t xml:space="preserve">10. </t>
    </r>
    <r>
      <rPr>
        <sz val="10"/>
        <rFont val="Arial Cyr"/>
        <charset val="204"/>
      </rPr>
      <t>Team</t>
    </r>
    <r>
      <rPr>
        <sz val="10"/>
        <rFont val="Arial Cyr"/>
        <charset val="204"/>
      </rPr>
      <t xml:space="preserve"> A</t>
    </r>
  </si>
  <si>
    <r>
      <t xml:space="preserve">13. </t>
    </r>
    <r>
      <rPr>
        <sz val="10"/>
        <rFont val="Arial Cyr"/>
        <charset val="204"/>
      </rPr>
      <t>Sportiv</t>
    </r>
  </si>
  <si>
    <r>
      <t xml:space="preserve">9. </t>
    </r>
    <r>
      <rPr>
        <sz val="10"/>
        <rFont val="Arial Cyr"/>
        <charset val="204"/>
      </rPr>
      <t>Olimp</t>
    </r>
  </si>
  <si>
    <r>
      <t xml:space="preserve">8. </t>
    </r>
    <r>
      <rPr>
        <sz val="10"/>
        <rFont val="Arial Cyr"/>
        <charset val="204"/>
      </rPr>
      <t>MIREa</t>
    </r>
  </si>
  <si>
    <r>
      <t xml:space="preserve">15. </t>
    </r>
    <r>
      <rPr>
        <sz val="10"/>
        <rFont val="Arial Cyr"/>
        <charset val="204"/>
      </rPr>
      <t>Okskiye bogateri</t>
    </r>
  </si>
  <si>
    <r>
      <t xml:space="preserve">14. </t>
    </r>
    <r>
      <rPr>
        <sz val="10"/>
        <rFont val="Arial Cyr"/>
        <charset val="204"/>
      </rPr>
      <t>Ivanovo</t>
    </r>
  </si>
  <si>
    <r>
      <t xml:space="preserve">12. </t>
    </r>
    <r>
      <rPr>
        <sz val="10"/>
        <rFont val="Arial Cyr"/>
        <charset val="204"/>
      </rPr>
      <t>Lider</t>
    </r>
  </si>
  <si>
    <r>
      <t xml:space="preserve">7. </t>
    </r>
    <r>
      <rPr>
        <sz val="10"/>
        <rFont val="Arial Cyr"/>
        <charset val="204"/>
      </rPr>
      <t>Lyubertsy</t>
    </r>
  </si>
  <si>
    <r>
      <t xml:space="preserve">4. </t>
    </r>
    <r>
      <rPr>
        <sz val="10"/>
        <rFont val="Arial Cyr"/>
        <charset val="204"/>
      </rPr>
      <t>Bogoroditsk-strong</t>
    </r>
  </si>
  <si>
    <r>
      <t>4. Богородицк</t>
    </r>
    <r>
      <rPr>
        <sz val="10"/>
        <rFont val="Arial Cyr"/>
        <charset val="204"/>
      </rPr>
      <t>-стронг</t>
    </r>
  </si>
  <si>
    <r>
      <t xml:space="preserve">6. </t>
    </r>
    <r>
      <rPr>
        <sz val="10"/>
        <rFont val="Arial Cyr"/>
        <charset val="204"/>
      </rPr>
      <t>Град Креста</t>
    </r>
  </si>
  <si>
    <t>Погасий Александр</t>
  </si>
  <si>
    <t>Tajikistan</t>
  </si>
  <si>
    <t>Russia/Vorsha/Voronezhskaya oblast</t>
  </si>
  <si>
    <t>Open (01.03.1989)/27</t>
  </si>
  <si>
    <t>Щ</t>
  </si>
  <si>
    <t>Ortega 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</si>
</sst>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0"/>
      <name val="Arial Cyr"/>
      <charset val="204"/>
    </font>
    <font>
      <sz val="24"/>
      <name val="Arial Cyr"/>
      <family val="2"/>
      <charset val="204"/>
    </font>
    <font>
      <b/>
      <sz val="10"/>
      <name val="Arial Cyr"/>
      <charset val="204"/>
    </font>
    <font>
      <b/>
      <sz val="11"/>
      <name val="Arial Cyr"/>
      <charset val="204"/>
    </font>
    <font>
      <sz val="11"/>
      <name val="Arial Cyr"/>
      <charset val="204"/>
    </font>
    <font>
      <i/>
      <sz val="12"/>
      <name val="Arial Cyr"/>
      <charset val="204"/>
    </font>
    <font>
      <sz val="14"/>
      <name val="Arial Cyr"/>
      <charset val="204"/>
    </font>
    <font>
      <i/>
      <sz val="11"/>
      <name val="Arial Cyr"/>
      <charset val="204"/>
    </font>
    <font>
      <b/>
      <strike/>
      <sz val="10"/>
      <name val="Arial Cyr"/>
      <charset val="204"/>
    </font>
    <font>
      <b/>
      <strike/>
      <sz val="10"/>
      <color rgb="FFFF0000"/>
      <name val="Arial Cyr"/>
      <charset val="204"/>
    </font>
    <font>
      <b/>
      <sz val="10"/>
      <color rgb="FFFF0000"/>
      <name val="Arial Cyr"/>
      <charset val="204"/>
    </font>
    <font>
      <sz val="10"/>
      <color rgb="FF000000"/>
      <name val="Arial"/>
      <family val="2"/>
      <charset val="204"/>
    </font>
    <font>
      <u/>
      <sz val="10"/>
      <color theme="10"/>
      <name val="Arial Cyr"/>
      <charset val="204"/>
    </font>
    <font>
      <u/>
      <sz val="10"/>
      <color theme="11"/>
      <name val="Arial Cyr"/>
      <charset val="204"/>
    </font>
    <font>
      <sz val="10"/>
      <color rgb="FF444444"/>
      <name val="Arial"/>
      <family val="2"/>
      <charset val="204"/>
    </font>
    <font>
      <sz val="24"/>
      <name val="Arial Cyr"/>
      <charset val="204"/>
    </font>
    <font>
      <b/>
      <i/>
      <sz val="12"/>
      <name val="Arial Cyr"/>
      <charset val="204"/>
    </font>
    <font>
      <strike/>
      <sz val="10"/>
      <color rgb="FFFF0000"/>
      <name val="Arial Cyr"/>
      <charset val="204"/>
    </font>
    <font>
      <strike/>
      <sz val="10"/>
      <name val="Arial Cyr"/>
      <charset val="204"/>
    </font>
    <font>
      <sz val="10"/>
      <color rgb="FFFF0000"/>
      <name val="Arial Cyr"/>
      <charset val="204"/>
    </font>
    <font>
      <sz val="11"/>
      <name val="Arial Cyr"/>
      <family val="2"/>
      <charset val="204"/>
    </font>
    <font>
      <sz val="10"/>
      <name val="Arial Cyr"/>
      <family val="2"/>
      <charset val="204"/>
    </font>
    <font>
      <i/>
      <sz val="14"/>
      <name val="Arial Cyr"/>
      <charset val="204"/>
    </font>
    <font>
      <i/>
      <sz val="10"/>
      <name val="Arial Cyr"/>
      <charset val="204"/>
    </font>
    <font>
      <sz val="10"/>
      <name val="Arial Cyr"/>
      <charset val="204"/>
    </font>
    <font>
      <sz val="20"/>
      <name val="Arial Cyr"/>
      <family val="2"/>
      <charset val="204"/>
    </font>
    <font>
      <sz val="22"/>
      <name val="Arial Cyr"/>
      <family val="2"/>
      <charset val="204"/>
    </font>
    <font>
      <i/>
      <u/>
      <sz val="11"/>
      <color theme="1"/>
      <name val="Calibri"/>
      <family val="2"/>
      <charset val="204"/>
      <scheme val="minor"/>
    </font>
    <font>
      <sz val="12"/>
      <name val="Arial Cyr"/>
      <charset val="204"/>
    </font>
    <font>
      <b/>
      <sz val="11"/>
      <color theme="1"/>
      <name val="Calibri"/>
      <family val="2"/>
      <charset val="204"/>
      <scheme val="minor"/>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92D050"/>
        <bgColor rgb="FF000000"/>
      </patternFill>
    </fill>
    <fill>
      <patternFill patternType="solid">
        <fgColor theme="6" tint="0.39997558519241921"/>
        <bgColor indexed="64"/>
      </patternFill>
    </fill>
    <fill>
      <patternFill patternType="solid">
        <fgColor theme="6" tint="-0.249977111117893"/>
        <bgColor indexed="64"/>
      </patternFill>
    </fill>
  </fills>
  <borders count="49">
    <border>
      <left/>
      <right/>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right/>
      <top/>
      <bottom style="thin">
        <color auto="1"/>
      </bottom>
      <diagonal/>
    </border>
    <border>
      <left/>
      <right style="medium">
        <color auto="1"/>
      </right>
      <top/>
      <bottom/>
      <diagonal/>
    </border>
    <border>
      <left/>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style="medium">
        <color auto="1"/>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23">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4"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376">
    <xf numFmtId="0" fontId="0" fillId="0" borderId="0" xfId="0"/>
    <xf numFmtId="0" fontId="0" fillId="0" borderId="0" xfId="0" applyFill="1" applyBorder="1" applyAlignment="1">
      <alignment horizontal="center"/>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0" fillId="0" borderId="0" xfId="0" applyNumberFormat="1"/>
    <xf numFmtId="49" fontId="0" fillId="0" borderId="13" xfId="0" applyNumberFormat="1" applyBorder="1"/>
    <xf numFmtId="49" fontId="6" fillId="0" borderId="0" xfId="0" applyNumberFormat="1" applyFont="1"/>
    <xf numFmtId="49" fontId="5" fillId="0" borderId="0" xfId="0" applyNumberFormat="1" applyFont="1"/>
    <xf numFmtId="49" fontId="0" fillId="0" borderId="0" xfId="0" applyNumberFormat="1" applyAlignment="1">
      <alignment horizontal="left" indent="1"/>
    </xf>
    <xf numFmtId="49" fontId="7" fillId="0" borderId="0" xfId="0" applyNumberFormat="1" applyFont="1" applyAlignment="1">
      <alignment horizontal="left" indent="1"/>
    </xf>
    <xf numFmtId="49" fontId="7" fillId="0" borderId="0" xfId="0" applyNumberFormat="1" applyFont="1"/>
    <xf numFmtId="49" fontId="3" fillId="0" borderId="13" xfId="0" applyNumberFormat="1" applyFont="1" applyBorder="1" applyAlignment="1">
      <alignment horizontal="center" vertical="center"/>
    </xf>
    <xf numFmtId="49" fontId="2" fillId="0" borderId="0" xfId="0" applyNumberFormat="1" applyFont="1"/>
    <xf numFmtId="49" fontId="0" fillId="0" borderId="11" xfId="0" applyNumberFormat="1" applyBorder="1"/>
    <xf numFmtId="49" fontId="0" fillId="0" borderId="14" xfId="0" applyNumberFormat="1" applyBorder="1"/>
    <xf numFmtId="49" fontId="0" fillId="0" borderId="15" xfId="0" applyNumberFormat="1" applyBorder="1"/>
    <xf numFmtId="49" fontId="0" fillId="0" borderId="0" xfId="0" applyNumberFormat="1" applyAlignment="1">
      <alignment horizontal="center"/>
    </xf>
    <xf numFmtId="49" fontId="2" fillId="0" borderId="13" xfId="0" applyNumberFormat="1" applyFont="1" applyBorder="1" applyAlignment="1">
      <alignment horizontal="center"/>
    </xf>
    <xf numFmtId="49" fontId="8"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1" xfId="0" applyNumberFormat="1" applyFont="1" applyBorder="1" applyAlignment="1">
      <alignment horizontal="center"/>
    </xf>
    <xf numFmtId="49" fontId="2" fillId="0" borderId="14" xfId="0" applyNumberFormat="1" applyFont="1" applyBorder="1" applyAlignment="1">
      <alignment horizontal="center"/>
    </xf>
    <xf numFmtId="49" fontId="8" fillId="0" borderId="14" xfId="0" applyNumberFormat="1" applyFont="1" applyBorder="1" applyAlignment="1">
      <alignment horizontal="center"/>
    </xf>
    <xf numFmtId="49" fontId="2" fillId="0" borderId="15" xfId="0" applyNumberFormat="1" applyFont="1" applyBorder="1" applyAlignment="1">
      <alignment horizontal="center"/>
    </xf>
    <xf numFmtId="49" fontId="8" fillId="0" borderId="15" xfId="0" applyNumberFormat="1" applyFont="1" applyBorder="1" applyAlignment="1">
      <alignment horizontal="center"/>
    </xf>
    <xf numFmtId="49" fontId="2" fillId="0" borderId="0" xfId="0" applyNumberFormat="1" applyFont="1" applyAlignment="1">
      <alignment horizontal="center"/>
    </xf>
    <xf numFmtId="164" fontId="2" fillId="0" borderId="13" xfId="0" applyNumberFormat="1" applyFont="1" applyBorder="1" applyAlignment="1">
      <alignment horizontal="center"/>
    </xf>
    <xf numFmtId="164" fontId="2" fillId="0" borderId="11" xfId="0" applyNumberFormat="1" applyFont="1" applyBorder="1" applyAlignment="1">
      <alignment horizontal="center"/>
    </xf>
    <xf numFmtId="164" fontId="2" fillId="0" borderId="14" xfId="0" applyNumberFormat="1" applyFont="1" applyBorder="1" applyAlignment="1">
      <alignment horizontal="center"/>
    </xf>
    <xf numFmtId="164" fontId="2" fillId="0" borderId="15" xfId="0" applyNumberFormat="1" applyFont="1" applyBorder="1" applyAlignment="1">
      <alignment horizontal="center"/>
    </xf>
    <xf numFmtId="164" fontId="2" fillId="0" borderId="0" xfId="0" applyNumberFormat="1" applyFont="1" applyAlignment="1">
      <alignment horizontal="center"/>
    </xf>
    <xf numFmtId="0" fontId="2" fillId="0" borderId="15" xfId="0" applyNumberFormat="1" applyFont="1" applyBorder="1" applyAlignment="1">
      <alignment horizontal="center"/>
    </xf>
    <xf numFmtId="49" fontId="2" fillId="2" borderId="13" xfId="0" applyNumberFormat="1" applyFont="1" applyFill="1" applyBorder="1" applyAlignment="1">
      <alignment horizontal="center"/>
    </xf>
    <xf numFmtId="49" fontId="2" fillId="2" borderId="11" xfId="0" applyNumberFormat="1" applyFont="1" applyFill="1" applyBorder="1" applyAlignment="1">
      <alignment horizontal="center"/>
    </xf>
    <xf numFmtId="49" fontId="2" fillId="2" borderId="14" xfId="0" applyNumberFormat="1" applyFont="1" applyFill="1" applyBorder="1" applyAlignment="1">
      <alignment horizontal="center"/>
    </xf>
    <xf numFmtId="49" fontId="2" fillId="2" borderId="15" xfId="0" applyNumberFormat="1" applyFont="1" applyFill="1" applyBorder="1" applyAlignment="1">
      <alignment horizontal="center"/>
    </xf>
    <xf numFmtId="49" fontId="9" fillId="0" borderId="11" xfId="0" applyNumberFormat="1" applyFont="1" applyBorder="1" applyAlignment="1">
      <alignment horizontal="center"/>
    </xf>
    <xf numFmtId="49" fontId="9" fillId="0" borderId="15" xfId="0" applyNumberFormat="1" applyFont="1" applyBorder="1" applyAlignment="1">
      <alignment horizontal="center"/>
    </xf>
    <xf numFmtId="49" fontId="9" fillId="0" borderId="14" xfId="0" applyNumberFormat="1" applyFont="1" applyBorder="1" applyAlignment="1">
      <alignment horizontal="center"/>
    </xf>
    <xf numFmtId="49" fontId="9" fillId="0" borderId="13" xfId="0" applyNumberFormat="1" applyFont="1" applyBorder="1" applyAlignment="1">
      <alignment horizontal="center"/>
    </xf>
    <xf numFmtId="0" fontId="2" fillId="0" borderId="0" xfId="0" applyFont="1" applyFill="1" applyBorder="1" applyAlignment="1">
      <alignment horizontal="center"/>
    </xf>
    <xf numFmtId="0" fontId="2" fillId="0" borderId="0" xfId="0" applyFont="1" applyAlignment="1">
      <alignment horizontal="center"/>
    </xf>
    <xf numFmtId="49" fontId="8" fillId="3" borderId="14" xfId="0" applyNumberFormat="1" applyFont="1" applyFill="1" applyBorder="1" applyAlignment="1">
      <alignment horizontal="center"/>
    </xf>
    <xf numFmtId="49" fontId="8" fillId="3" borderId="13" xfId="0" applyNumberFormat="1" applyFont="1" applyFill="1" applyBorder="1" applyAlignment="1">
      <alignment horizontal="center"/>
    </xf>
    <xf numFmtId="49" fontId="10" fillId="0" borderId="0" xfId="0" applyNumberFormat="1" applyFont="1" applyAlignment="1">
      <alignment horizontal="center"/>
    </xf>
    <xf numFmtId="0" fontId="2" fillId="0" borderId="14" xfId="0" applyNumberFormat="1" applyFont="1" applyBorder="1" applyAlignment="1">
      <alignment horizontal="center"/>
    </xf>
    <xf numFmtId="49" fontId="2" fillId="3" borderId="14" xfId="0" applyNumberFormat="1" applyFont="1" applyFill="1" applyBorder="1" applyAlignment="1">
      <alignment horizontal="center"/>
    </xf>
    <xf numFmtId="49" fontId="9" fillId="3" borderId="14" xfId="0" applyNumberFormat="1" applyFont="1" applyFill="1" applyBorder="1" applyAlignment="1">
      <alignment horizontal="center"/>
    </xf>
    <xf numFmtId="49" fontId="0" fillId="0" borderId="18" xfId="0" applyNumberFormat="1" applyBorder="1"/>
    <xf numFmtId="49" fontId="2" fillId="3" borderId="0" xfId="0" applyNumberFormat="1" applyFont="1" applyFill="1" applyAlignment="1">
      <alignment horizontal="center"/>
    </xf>
    <xf numFmtId="0" fontId="2" fillId="0" borderId="13" xfId="0" applyNumberFormat="1" applyFont="1" applyBorder="1" applyAlignment="1">
      <alignment horizontal="center"/>
    </xf>
    <xf numFmtId="0" fontId="11" fillId="0" borderId="0" xfId="0" applyFont="1"/>
    <xf numFmtId="0" fontId="11" fillId="0" borderId="14" xfId="0" applyFont="1" applyBorder="1"/>
    <xf numFmtId="0" fontId="11" fillId="0" borderId="15" xfId="0" applyFont="1" applyBorder="1"/>
    <xf numFmtId="0" fontId="2" fillId="0" borderId="11" xfId="0" applyNumberFormat="1" applyFont="1" applyBorder="1" applyAlignment="1">
      <alignment horizontal="center"/>
    </xf>
    <xf numFmtId="49" fontId="0" fillId="0" borderId="20" xfId="0" applyNumberFormat="1" applyBorder="1"/>
    <xf numFmtId="49" fontId="3" fillId="0" borderId="1"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2" fillId="0" borderId="13" xfId="0" applyNumberFormat="1" applyFont="1" applyBorder="1"/>
    <xf numFmtId="49" fontId="8" fillId="2" borderId="14" xfId="0" applyNumberFormat="1" applyFont="1" applyFill="1" applyBorder="1" applyAlignment="1">
      <alignment horizontal="center"/>
    </xf>
    <xf numFmtId="0" fontId="14" fillId="0" borderId="13" xfId="0" applyFont="1" applyBorder="1"/>
    <xf numFmtId="0" fontId="2" fillId="0" borderId="0" xfId="0" applyFont="1" applyAlignment="1">
      <alignment horizontal="center" vertical="center"/>
    </xf>
    <xf numFmtId="49" fontId="0" fillId="0" borderId="0" xfId="0" applyNumberFormat="1" applyFill="1" applyBorder="1" applyAlignment="1">
      <alignment horizontal="left"/>
    </xf>
    <xf numFmtId="49" fontId="0" fillId="0" borderId="0" xfId="0" applyNumberFormat="1" applyFill="1" applyBorder="1" applyAlignment="1">
      <alignment horizontal="center"/>
    </xf>
    <xf numFmtId="49" fontId="0" fillId="0" borderId="13" xfId="0" applyNumberFormat="1" applyFill="1" applyBorder="1" applyAlignment="1">
      <alignment horizontal="center"/>
    </xf>
    <xf numFmtId="49" fontId="0" fillId="0" borderId="13" xfId="0" applyNumberFormat="1" applyFill="1" applyBorder="1" applyAlignment="1">
      <alignment horizontal="left"/>
    </xf>
    <xf numFmtId="49" fontId="2" fillId="0" borderId="0" xfId="0" applyNumberFormat="1" applyFont="1" applyFill="1" applyBorder="1" applyAlignment="1">
      <alignment horizontal="left"/>
    </xf>
    <xf numFmtId="49" fontId="0" fillId="0" borderId="11" xfId="0" applyNumberFormat="1" applyFill="1" applyBorder="1" applyAlignment="1">
      <alignment horizontal="left"/>
    </xf>
    <xf numFmtId="49" fontId="0" fillId="0" borderId="14" xfId="0" applyNumberFormat="1" applyFill="1" applyBorder="1" applyAlignment="1">
      <alignment horizontal="left"/>
    </xf>
    <xf numFmtId="49" fontId="0" fillId="0" borderId="15" xfId="0" applyNumberFormat="1" applyFill="1" applyBorder="1" applyAlignment="1">
      <alignment horizontal="left"/>
    </xf>
    <xf numFmtId="49" fontId="3" fillId="0" borderId="13" xfId="0" applyNumberFormat="1" applyFont="1" applyFill="1" applyBorder="1" applyAlignment="1">
      <alignment horizontal="center" vertical="center"/>
    </xf>
    <xf numFmtId="49" fontId="0" fillId="0" borderId="13" xfId="0" applyNumberFormat="1" applyFont="1" applyFill="1" applyBorder="1" applyAlignment="1">
      <alignment horizontal="left"/>
    </xf>
    <xf numFmtId="49" fontId="0" fillId="0" borderId="0" xfId="0" applyNumberFormat="1" applyFont="1" applyFill="1" applyBorder="1" applyAlignment="1">
      <alignment horizontal="left"/>
    </xf>
    <xf numFmtId="49" fontId="0" fillId="0" borderId="11" xfId="0" applyNumberFormat="1" applyFont="1" applyFill="1" applyBorder="1" applyAlignment="1">
      <alignment horizontal="left"/>
    </xf>
    <xf numFmtId="49" fontId="0" fillId="0" borderId="14" xfId="0" applyNumberFormat="1" applyFont="1" applyFill="1" applyBorder="1" applyAlignment="1">
      <alignment horizontal="left"/>
    </xf>
    <xf numFmtId="49" fontId="0" fillId="0" borderId="15" xfId="0" applyNumberFormat="1" applyFont="1" applyFill="1" applyBorder="1" applyAlignment="1">
      <alignment horizontal="left"/>
    </xf>
    <xf numFmtId="49" fontId="6" fillId="0" borderId="0" xfId="0" applyNumberFormat="1" applyFont="1" applyFill="1" applyBorder="1" applyAlignment="1">
      <alignment horizontal="left"/>
    </xf>
    <xf numFmtId="49" fontId="5" fillId="0" borderId="0" xfId="0" applyNumberFormat="1" applyFont="1" applyFill="1" applyBorder="1" applyAlignment="1">
      <alignment horizontal="left"/>
    </xf>
    <xf numFmtId="49" fontId="7" fillId="0" borderId="0" xfId="0" applyNumberFormat="1" applyFont="1" applyFill="1" applyBorder="1" applyAlignment="1">
      <alignment horizontal="left" indent="1"/>
    </xf>
    <xf numFmtId="49" fontId="4" fillId="0" borderId="13" xfId="0" applyNumberFormat="1" applyFont="1" applyFill="1" applyBorder="1" applyAlignment="1">
      <alignment horizontal="center" vertical="center"/>
    </xf>
    <xf numFmtId="49" fontId="0" fillId="0" borderId="0" xfId="0" applyNumberFormat="1" applyFont="1" applyFill="1" applyBorder="1" applyAlignment="1">
      <alignment horizontal="left" indent="1"/>
    </xf>
    <xf numFmtId="49" fontId="7" fillId="0" borderId="0" xfId="0" applyNumberFormat="1" applyFont="1" applyFill="1" applyBorder="1" applyAlignment="1">
      <alignment horizontal="left"/>
    </xf>
    <xf numFmtId="49" fontId="3" fillId="0" borderId="13" xfId="0" applyNumberFormat="1" applyFont="1" applyFill="1" applyBorder="1" applyAlignment="1">
      <alignment horizontal="left" vertical="center"/>
    </xf>
    <xf numFmtId="49" fontId="2" fillId="0" borderId="0" xfId="0" applyNumberFormat="1" applyFont="1" applyFill="1" applyBorder="1" applyAlignment="1">
      <alignment horizontal="center"/>
    </xf>
    <xf numFmtId="49" fontId="2" fillId="0" borderId="13" xfId="0" applyNumberFormat="1" applyFont="1" applyFill="1" applyBorder="1" applyAlignment="1">
      <alignment horizontal="center"/>
    </xf>
    <xf numFmtId="49" fontId="2" fillId="0" borderId="11" xfId="0" applyNumberFormat="1" applyFont="1" applyFill="1" applyBorder="1" applyAlignment="1">
      <alignment horizontal="center"/>
    </xf>
    <xf numFmtId="49" fontId="2" fillId="0" borderId="14" xfId="0" applyNumberFormat="1" applyFont="1" applyFill="1" applyBorder="1" applyAlignment="1">
      <alignment horizontal="center"/>
    </xf>
    <xf numFmtId="49" fontId="2" fillId="0" borderId="15" xfId="0" applyNumberFormat="1" applyFont="1" applyFill="1" applyBorder="1" applyAlignment="1">
      <alignment horizontal="center"/>
    </xf>
    <xf numFmtId="49" fontId="8" fillId="0" borderId="13" xfId="0" applyNumberFormat="1" applyFont="1" applyFill="1" applyBorder="1" applyAlignment="1">
      <alignment horizontal="center"/>
    </xf>
    <xf numFmtId="49" fontId="8" fillId="0" borderId="11" xfId="0" applyNumberFormat="1" applyFont="1" applyFill="1" applyBorder="1" applyAlignment="1">
      <alignment horizontal="center"/>
    </xf>
    <xf numFmtId="49" fontId="8" fillId="0" borderId="14" xfId="0" applyNumberFormat="1" applyFont="1" applyFill="1" applyBorder="1" applyAlignment="1">
      <alignment horizontal="center"/>
    </xf>
    <xf numFmtId="49" fontId="8" fillId="0" borderId="15" xfId="0" applyNumberFormat="1" applyFont="1" applyFill="1" applyBorder="1" applyAlignment="1">
      <alignment horizontal="center"/>
    </xf>
    <xf numFmtId="164" fontId="2" fillId="0" borderId="13" xfId="0" applyNumberFormat="1" applyFont="1" applyFill="1" applyBorder="1" applyAlignment="1">
      <alignment horizontal="center"/>
    </xf>
    <xf numFmtId="164" fontId="2" fillId="0" borderId="0" xfId="0" applyNumberFormat="1" applyFont="1" applyFill="1" applyBorder="1" applyAlignment="1">
      <alignment horizontal="center"/>
    </xf>
    <xf numFmtId="164" fontId="2" fillId="0" borderId="11" xfId="0" applyNumberFormat="1" applyFont="1" applyFill="1" applyBorder="1" applyAlignment="1">
      <alignment horizontal="center"/>
    </xf>
    <xf numFmtId="164" fontId="2" fillId="0" borderId="14" xfId="0" applyNumberFormat="1" applyFont="1" applyFill="1" applyBorder="1" applyAlignment="1">
      <alignment horizontal="center"/>
    </xf>
    <xf numFmtId="164" fontId="2" fillId="0" borderId="15" xfId="0" applyNumberFormat="1" applyFont="1" applyFill="1" applyBorder="1" applyAlignment="1">
      <alignment horizontal="center"/>
    </xf>
    <xf numFmtId="49" fontId="9" fillId="0" borderId="11" xfId="0" applyNumberFormat="1" applyFont="1" applyFill="1" applyBorder="1" applyAlignment="1">
      <alignment horizontal="center"/>
    </xf>
    <xf numFmtId="49" fontId="9" fillId="0" borderId="15" xfId="0" applyNumberFormat="1" applyFont="1" applyFill="1" applyBorder="1" applyAlignment="1">
      <alignment horizontal="center"/>
    </xf>
    <xf numFmtId="49" fontId="9" fillId="0" borderId="13" xfId="0" applyNumberFormat="1" applyFont="1" applyFill="1" applyBorder="1" applyAlignment="1">
      <alignment horizontal="center"/>
    </xf>
    <xf numFmtId="49" fontId="9" fillId="0" borderId="14" xfId="0" applyNumberFormat="1" applyFont="1" applyFill="1" applyBorder="1" applyAlignment="1">
      <alignment horizontal="center"/>
    </xf>
    <xf numFmtId="0" fontId="2" fillId="0" borderId="14" xfId="0" applyNumberFormat="1" applyFont="1" applyFill="1" applyBorder="1" applyAlignment="1">
      <alignment horizontal="center"/>
    </xf>
    <xf numFmtId="0" fontId="2" fillId="0" borderId="15" xfId="0" applyNumberFormat="1" applyFont="1" applyFill="1" applyBorder="1" applyAlignment="1">
      <alignment horizontal="center"/>
    </xf>
    <xf numFmtId="49" fontId="2" fillId="3" borderId="15" xfId="0" applyNumberFormat="1" applyFont="1" applyFill="1" applyBorder="1" applyAlignment="1">
      <alignment horizontal="center"/>
    </xf>
    <xf numFmtId="0" fontId="2" fillId="0" borderId="11" xfId="0" applyNumberFormat="1" applyFont="1" applyFill="1" applyBorder="1" applyAlignment="1">
      <alignment horizontal="center"/>
    </xf>
    <xf numFmtId="49" fontId="0" fillId="0" borderId="11" xfId="0" applyNumberFormat="1" applyFill="1" applyBorder="1"/>
    <xf numFmtId="49" fontId="2" fillId="0" borderId="30" xfId="0" applyNumberFormat="1" applyFont="1" applyBorder="1" applyAlignment="1">
      <alignment horizontal="center"/>
    </xf>
    <xf numFmtId="49" fontId="2" fillId="0" borderId="31" xfId="0" applyNumberFormat="1" applyFont="1" applyBorder="1" applyAlignment="1">
      <alignment horizontal="center"/>
    </xf>
    <xf numFmtId="49" fontId="2" fillId="0" borderId="32" xfId="0" applyNumberFormat="1" applyFont="1" applyBorder="1" applyAlignment="1">
      <alignment horizontal="center"/>
    </xf>
    <xf numFmtId="0" fontId="14" fillId="0" borderId="14" xfId="0" applyFont="1" applyBorder="1"/>
    <xf numFmtId="0" fontId="11" fillId="0" borderId="11" xfId="0" applyFont="1" applyBorder="1"/>
    <xf numFmtId="49" fontId="0" fillId="0" borderId="30" xfId="0" applyNumberFormat="1" applyBorder="1"/>
    <xf numFmtId="49" fontId="0" fillId="0" borderId="31" xfId="0" applyNumberFormat="1" applyBorder="1"/>
    <xf numFmtId="49" fontId="0" fillId="0" borderId="32" xfId="0" applyNumberFormat="1" applyBorder="1"/>
    <xf numFmtId="49" fontId="8" fillId="0" borderId="33" xfId="0" applyNumberFormat="1" applyFont="1" applyBorder="1" applyAlignment="1">
      <alignment horizontal="center"/>
    </xf>
    <xf numFmtId="49" fontId="8" fillId="0" borderId="34" xfId="0" applyNumberFormat="1" applyFont="1" applyBorder="1" applyAlignment="1">
      <alignment horizontal="center"/>
    </xf>
    <xf numFmtId="49" fontId="8" fillId="0" borderId="35" xfId="0" applyNumberFormat="1" applyFont="1" applyBorder="1" applyAlignment="1">
      <alignment horizontal="center"/>
    </xf>
    <xf numFmtId="49" fontId="2" fillId="2" borderId="30" xfId="0" applyNumberFormat="1" applyFont="1" applyFill="1" applyBorder="1" applyAlignment="1">
      <alignment horizontal="center"/>
    </xf>
    <xf numFmtId="49" fontId="9" fillId="0" borderId="36" xfId="0" applyNumberFormat="1" applyFont="1" applyBorder="1" applyAlignment="1">
      <alignment horizontal="center"/>
    </xf>
    <xf numFmtId="49" fontId="9" fillId="0" borderId="33" xfId="0" applyNumberFormat="1" applyFont="1" applyBorder="1" applyAlignment="1">
      <alignment horizontal="center"/>
    </xf>
    <xf numFmtId="49" fontId="2" fillId="2" borderId="31" xfId="0" applyNumberFormat="1" applyFont="1" applyFill="1" applyBorder="1" applyAlignment="1">
      <alignment horizontal="center"/>
    </xf>
    <xf numFmtId="49" fontId="9" fillId="0" borderId="34" xfId="0" applyNumberFormat="1" applyFont="1" applyBorder="1" applyAlignment="1">
      <alignment horizontal="center"/>
    </xf>
    <xf numFmtId="49" fontId="2" fillId="2" borderId="34" xfId="0" applyNumberFormat="1" applyFont="1" applyFill="1" applyBorder="1" applyAlignment="1">
      <alignment horizontal="center"/>
    </xf>
    <xf numFmtId="49" fontId="9" fillId="0" borderId="31" xfId="0" applyNumberFormat="1" applyFont="1" applyBorder="1" applyAlignment="1">
      <alignment horizontal="center"/>
    </xf>
    <xf numFmtId="49" fontId="2" fillId="2" borderId="32" xfId="0" applyNumberFormat="1" applyFont="1" applyFill="1" applyBorder="1" applyAlignment="1">
      <alignment horizontal="center"/>
    </xf>
    <xf numFmtId="49" fontId="2" fillId="2" borderId="35" xfId="0" applyNumberFormat="1" applyFont="1" applyFill="1" applyBorder="1" applyAlignment="1">
      <alignment horizontal="center"/>
    </xf>
    <xf numFmtId="49" fontId="2" fillId="4" borderId="14" xfId="0" applyNumberFormat="1" applyFont="1" applyFill="1" applyBorder="1" applyAlignment="1">
      <alignment horizontal="center"/>
    </xf>
    <xf numFmtId="49" fontId="2" fillId="4" borderId="34" xfId="0" applyNumberFormat="1" applyFont="1" applyFill="1" applyBorder="1" applyAlignment="1">
      <alignment horizontal="center"/>
    </xf>
    <xf numFmtId="49" fontId="2" fillId="2" borderId="36" xfId="0" applyNumberFormat="1" applyFont="1" applyFill="1" applyBorder="1" applyAlignment="1">
      <alignment horizontal="center"/>
    </xf>
    <xf numFmtId="49" fontId="2" fillId="2" borderId="33" xfId="0" applyNumberFormat="1" applyFont="1" applyFill="1" applyBorder="1" applyAlignment="1">
      <alignment horizontal="center"/>
    </xf>
    <xf numFmtId="49" fontId="3" fillId="0" borderId="1"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2" fillId="0" borderId="28" xfId="0" applyNumberFormat="1" applyFont="1" applyBorder="1" applyAlignment="1">
      <alignment horizontal="center"/>
    </xf>
    <xf numFmtId="49" fontId="2" fillId="2" borderId="0" xfId="0" applyNumberFormat="1" applyFont="1" applyFill="1" applyBorder="1" applyAlignment="1">
      <alignment horizontal="center"/>
    </xf>
    <xf numFmtId="49" fontId="9" fillId="0" borderId="0" xfId="0" applyNumberFormat="1" applyFont="1" applyBorder="1" applyAlignment="1">
      <alignment horizontal="center"/>
    </xf>
    <xf numFmtId="49" fontId="2" fillId="2" borderId="18" xfId="0" applyNumberFormat="1" applyFont="1" applyFill="1" applyBorder="1" applyAlignment="1">
      <alignment horizontal="center"/>
    </xf>
    <xf numFmtId="49" fontId="8" fillId="0" borderId="18" xfId="0" applyNumberFormat="1" applyFont="1" applyBorder="1" applyAlignment="1">
      <alignment horizontal="center"/>
    </xf>
    <xf numFmtId="49" fontId="0" fillId="0" borderId="34" xfId="0" applyNumberFormat="1" applyBorder="1"/>
    <xf numFmtId="49" fontId="0" fillId="0" borderId="35" xfId="0" applyNumberFormat="1" applyBorder="1"/>
    <xf numFmtId="49" fontId="0" fillId="0" borderId="0" xfId="0" applyNumberFormat="1" applyBorder="1"/>
    <xf numFmtId="0" fontId="0" fillId="0" borderId="0" xfId="5" applyFont="1"/>
    <xf numFmtId="49" fontId="0" fillId="0" borderId="14" xfId="0" applyNumberFormat="1" applyFill="1" applyBorder="1"/>
    <xf numFmtId="49" fontId="9" fillId="0" borderId="35" xfId="0" applyNumberFormat="1" applyFont="1" applyBorder="1" applyAlignment="1">
      <alignment horizontal="center"/>
    </xf>
    <xf numFmtId="49" fontId="0" fillId="0" borderId="33" xfId="0" applyNumberFormat="1" applyBorder="1"/>
    <xf numFmtId="49" fontId="2" fillId="0" borderId="30" xfId="0" applyNumberFormat="1" applyFont="1" applyFill="1" applyBorder="1" applyAlignment="1">
      <alignment horizontal="center"/>
    </xf>
    <xf numFmtId="49" fontId="2" fillId="0" borderId="31" xfId="0" applyNumberFormat="1" applyFont="1" applyFill="1" applyBorder="1" applyAlignment="1">
      <alignment horizontal="center"/>
    </xf>
    <xf numFmtId="49" fontId="2" fillId="0" borderId="32" xfId="0" applyNumberFormat="1" applyFont="1" applyFill="1" applyBorder="1" applyAlignment="1">
      <alignment horizontal="center"/>
    </xf>
    <xf numFmtId="49" fontId="0" fillId="0" borderId="36" xfId="0" applyNumberFormat="1" applyBorder="1"/>
    <xf numFmtId="164" fontId="2" fillId="0" borderId="33" xfId="0" applyNumberFormat="1" applyFont="1" applyBorder="1" applyAlignment="1">
      <alignment horizontal="center"/>
    </xf>
    <xf numFmtId="164" fontId="2" fillId="0" borderId="34" xfId="0" applyNumberFormat="1" applyFont="1" applyBorder="1" applyAlignment="1">
      <alignment horizontal="center"/>
    </xf>
    <xf numFmtId="164" fontId="2" fillId="0" borderId="35" xfId="0" applyNumberFormat="1" applyFont="1" applyBorder="1" applyAlignment="1">
      <alignment horizontal="center"/>
    </xf>
    <xf numFmtId="0" fontId="2" fillId="0" borderId="28" xfId="0" applyFont="1" applyFill="1" applyBorder="1" applyAlignment="1">
      <alignment horizontal="center"/>
    </xf>
    <xf numFmtId="49" fontId="0" fillId="0" borderId="13" xfId="0" applyNumberFormat="1" applyFill="1" applyBorder="1"/>
    <xf numFmtId="49" fontId="0" fillId="0" borderId="28" xfId="0" applyNumberFormat="1" applyFill="1" applyBorder="1"/>
    <xf numFmtId="49" fontId="0" fillId="0" borderId="29" xfId="0" applyNumberFormat="1" applyFill="1" applyBorder="1"/>
    <xf numFmtId="0" fontId="2" fillId="0" borderId="13" xfId="0" applyNumberFormat="1" applyFont="1" applyFill="1" applyBorder="1" applyAlignment="1">
      <alignment horizontal="center"/>
    </xf>
    <xf numFmtId="49" fontId="9" fillId="0" borderId="32" xfId="0" applyNumberFormat="1" applyFont="1" applyBorder="1" applyAlignment="1">
      <alignment horizontal="center"/>
    </xf>
    <xf numFmtId="49" fontId="9" fillId="3" borderId="31" xfId="0" applyNumberFormat="1" applyFont="1" applyFill="1" applyBorder="1" applyAlignment="1">
      <alignment horizontal="center"/>
    </xf>
    <xf numFmtId="49" fontId="9" fillId="3" borderId="32"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0" xfId="0" applyNumberFormat="1" applyFont="1" applyFill="1" applyBorder="1" applyAlignment="1">
      <alignment horizontal="center"/>
    </xf>
    <xf numFmtId="49" fontId="4" fillId="0" borderId="40" xfId="0" applyNumberFormat="1" applyFont="1" applyFill="1" applyBorder="1" applyAlignment="1">
      <alignment horizontal="center" vertical="center"/>
    </xf>
    <xf numFmtId="49" fontId="0" fillId="0" borderId="11" xfId="0" applyNumberFormat="1" applyFill="1" applyBorder="1" applyAlignment="1">
      <alignment horizontal="center"/>
    </xf>
    <xf numFmtId="49" fontId="0" fillId="5" borderId="11" xfId="0" applyNumberFormat="1" applyFill="1" applyBorder="1" applyAlignment="1">
      <alignment horizontal="center"/>
    </xf>
    <xf numFmtId="49" fontId="17" fillId="0" borderId="11" xfId="0" applyNumberFormat="1" applyFont="1" applyFill="1" applyBorder="1" applyAlignment="1">
      <alignment horizontal="center"/>
    </xf>
    <xf numFmtId="49" fontId="18" fillId="0" borderId="11" xfId="0" applyNumberFormat="1" applyFont="1" applyFill="1" applyBorder="1" applyAlignment="1">
      <alignment horizontal="center"/>
    </xf>
    <xf numFmtId="49" fontId="0" fillId="0" borderId="15" xfId="0" applyNumberFormat="1" applyFill="1" applyBorder="1" applyAlignment="1">
      <alignment horizontal="center"/>
    </xf>
    <xf numFmtId="49" fontId="0" fillId="5" borderId="15" xfId="0" applyNumberFormat="1" applyFill="1" applyBorder="1" applyAlignment="1">
      <alignment horizontal="center"/>
    </xf>
    <xf numFmtId="49" fontId="17" fillId="0" borderId="15" xfId="0" applyNumberFormat="1" applyFont="1" applyFill="1" applyBorder="1" applyAlignment="1">
      <alignment horizontal="center"/>
    </xf>
    <xf numFmtId="49" fontId="18" fillId="0" borderId="15" xfId="0" applyNumberFormat="1" applyFont="1" applyFill="1" applyBorder="1" applyAlignment="1">
      <alignment horizontal="center"/>
    </xf>
    <xf numFmtId="49" fontId="0" fillId="0" borderId="14" xfId="0" applyNumberFormat="1" applyFill="1" applyBorder="1" applyAlignment="1">
      <alignment horizontal="center"/>
    </xf>
    <xf numFmtId="49" fontId="0" fillId="5" borderId="14" xfId="0" applyNumberFormat="1" applyFill="1" applyBorder="1" applyAlignment="1">
      <alignment horizontal="center"/>
    </xf>
    <xf numFmtId="49" fontId="17" fillId="0" borderId="14" xfId="0" applyNumberFormat="1" applyFont="1" applyFill="1" applyBorder="1" applyAlignment="1">
      <alignment horizontal="center"/>
    </xf>
    <xf numFmtId="49" fontId="18" fillId="0" borderId="14" xfId="0" applyNumberFormat="1" applyFont="1" applyFill="1" applyBorder="1" applyAlignment="1">
      <alignment horizontal="center"/>
    </xf>
    <xf numFmtId="49" fontId="0" fillId="5" borderId="13" xfId="0" applyNumberFormat="1" applyFill="1" applyBorder="1" applyAlignment="1">
      <alignment horizontal="center"/>
    </xf>
    <xf numFmtId="49" fontId="17" fillId="0" borderId="13" xfId="0" applyNumberFormat="1" applyFont="1" applyFill="1" applyBorder="1" applyAlignment="1">
      <alignment horizontal="center"/>
    </xf>
    <xf numFmtId="49" fontId="18" fillId="0" borderId="13" xfId="0" applyNumberFormat="1" applyFont="1" applyFill="1" applyBorder="1" applyAlignment="1">
      <alignment horizontal="center"/>
    </xf>
    <xf numFmtId="49" fontId="0" fillId="0" borderId="30" xfId="0" applyNumberFormat="1" applyFont="1" applyFill="1" applyBorder="1" applyAlignment="1"/>
    <xf numFmtId="49" fontId="0" fillId="0" borderId="31" xfId="0" applyNumberFormat="1" applyFill="1" applyBorder="1" applyAlignment="1"/>
    <xf numFmtId="49" fontId="0" fillId="0" borderId="32" xfId="0" applyNumberFormat="1" applyFill="1" applyBorder="1" applyAlignment="1"/>
    <xf numFmtId="49" fontId="0" fillId="0" borderId="11" xfId="0" applyNumberFormat="1" applyFont="1" applyFill="1" applyBorder="1" applyAlignment="1"/>
    <xf numFmtId="49" fontId="0" fillId="0" borderId="15" xfId="0" applyNumberFormat="1" applyFill="1" applyBorder="1" applyAlignment="1"/>
    <xf numFmtId="0" fontId="0" fillId="0" borderId="0" xfId="0" applyFont="1" applyFill="1" applyBorder="1" applyAlignment="1">
      <alignment horizontal="center"/>
    </xf>
    <xf numFmtId="49" fontId="0" fillId="0" borderId="0" xfId="0" applyNumberFormat="1" applyFont="1" applyFill="1" applyBorder="1" applyAlignment="1">
      <alignment horizontal="center"/>
    </xf>
    <xf numFmtId="49" fontId="0" fillId="5" borderId="11" xfId="0" applyNumberFormat="1" applyFill="1" applyBorder="1"/>
    <xf numFmtId="49" fontId="18" fillId="0" borderId="11" xfId="0" applyNumberFormat="1" applyFont="1" applyBorder="1"/>
    <xf numFmtId="49" fontId="0" fillId="5" borderId="15" xfId="0" applyNumberFormat="1" applyFill="1" applyBorder="1"/>
    <xf numFmtId="49" fontId="17" fillId="0" borderId="15" xfId="0" applyNumberFormat="1" applyFont="1" applyBorder="1"/>
    <xf numFmtId="49" fontId="18" fillId="0" borderId="15" xfId="0" applyNumberFormat="1" applyFont="1" applyBorder="1"/>
    <xf numFmtId="49" fontId="17" fillId="0" borderId="11" xfId="0" applyNumberFormat="1" applyFont="1" applyBorder="1"/>
    <xf numFmtId="49" fontId="0" fillId="5" borderId="14" xfId="0" applyNumberFormat="1" applyFill="1" applyBorder="1"/>
    <xf numFmtId="49" fontId="18" fillId="0" borderId="14" xfId="0" applyNumberFormat="1" applyFont="1" applyBorder="1"/>
    <xf numFmtId="49" fontId="0" fillId="5" borderId="13" xfId="0" applyNumberFormat="1" applyFill="1" applyBorder="1"/>
    <xf numFmtId="49" fontId="18" fillId="0" borderId="13" xfId="0" applyNumberFormat="1" applyFont="1" applyBorder="1"/>
    <xf numFmtId="49" fontId="17" fillId="0" borderId="14" xfId="0" applyNumberFormat="1" applyFont="1" applyBorder="1"/>
    <xf numFmtId="49" fontId="17" fillId="0" borderId="13" xfId="0" applyNumberFormat="1" applyFont="1" applyBorder="1"/>
    <xf numFmtId="49" fontId="0" fillId="5" borderId="33" xfId="0" applyNumberFormat="1" applyFill="1" applyBorder="1"/>
    <xf numFmtId="49" fontId="0" fillId="5" borderId="35" xfId="0" applyNumberFormat="1" applyFill="1" applyBorder="1"/>
    <xf numFmtId="49" fontId="18" fillId="0" borderId="0" xfId="0" applyNumberFormat="1" applyFont="1" applyBorder="1"/>
    <xf numFmtId="49" fontId="0" fillId="0" borderId="13" xfId="0" applyNumberFormat="1" applyBorder="1" applyAlignment="1">
      <alignment horizontal="left"/>
    </xf>
    <xf numFmtId="49" fontId="5" fillId="0" borderId="0" xfId="0" applyNumberFormat="1" applyFont="1" applyAlignment="1">
      <alignment horizontal="center"/>
    </xf>
    <xf numFmtId="49" fontId="0" fillId="6" borderId="13" xfId="0" applyNumberFormat="1" applyFill="1" applyBorder="1"/>
    <xf numFmtId="49" fontId="0" fillId="6" borderId="11" xfId="0" applyNumberFormat="1" applyFill="1" applyBorder="1"/>
    <xf numFmtId="49" fontId="0" fillId="6" borderId="14" xfId="0" applyNumberFormat="1" applyFill="1" applyBorder="1"/>
    <xf numFmtId="49" fontId="19" fillId="0" borderId="14" xfId="0" applyNumberFormat="1" applyFont="1" applyBorder="1"/>
    <xf numFmtId="49" fontId="0" fillId="6" borderId="15" xfId="0" applyNumberFormat="1" applyFill="1" applyBorder="1"/>
    <xf numFmtId="49" fontId="0" fillId="6" borderId="13" xfId="0" applyNumberFormat="1" applyFill="1" applyBorder="1" applyAlignment="1">
      <alignment horizontal="center"/>
    </xf>
    <xf numFmtId="49" fontId="0" fillId="6" borderId="11" xfId="0" applyNumberFormat="1" applyFill="1" applyBorder="1" applyAlignment="1">
      <alignment horizontal="center"/>
    </xf>
    <xf numFmtId="49" fontId="0" fillId="6" borderId="14" xfId="0" applyNumberFormat="1" applyFill="1" applyBorder="1" applyAlignment="1">
      <alignment horizontal="center"/>
    </xf>
    <xf numFmtId="49" fontId="0" fillId="6" borderId="15" xfId="0" applyNumberFormat="1" applyFill="1" applyBorder="1" applyAlignment="1">
      <alignment horizontal="center"/>
    </xf>
    <xf numFmtId="49" fontId="7" fillId="0" borderId="0" xfId="0" applyNumberFormat="1" applyFont="1" applyFill="1" applyBorder="1" applyAlignment="1">
      <alignment horizontal="center"/>
    </xf>
    <xf numFmtId="49" fontId="0" fillId="0" borderId="0" xfId="0" applyNumberFormat="1" applyFont="1" applyAlignment="1">
      <alignment horizontal="center"/>
    </xf>
    <xf numFmtId="49"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49" fontId="21" fillId="0" borderId="13" xfId="0" applyNumberFormat="1" applyFont="1" applyBorder="1"/>
    <xf numFmtId="49" fontId="21" fillId="0" borderId="0" xfId="0" applyNumberFormat="1" applyFont="1"/>
    <xf numFmtId="49" fontId="21" fillId="0" borderId="11" xfId="0" applyNumberFormat="1" applyFont="1" applyBorder="1"/>
    <xf numFmtId="49" fontId="21" fillId="0" borderId="14" xfId="0" applyNumberFormat="1" applyFont="1" applyBorder="1"/>
    <xf numFmtId="49" fontId="21" fillId="0" borderId="15" xfId="0" applyNumberFormat="1" applyFont="1" applyBorder="1"/>
    <xf numFmtId="49" fontId="0" fillId="0" borderId="15" xfId="0" applyNumberFormat="1" applyFill="1" applyBorder="1"/>
    <xf numFmtId="49" fontId="21" fillId="0" borderId="13" xfId="0" applyNumberFormat="1" applyFont="1" applyFill="1" applyBorder="1" applyAlignment="1">
      <alignment horizontal="center"/>
    </xf>
    <xf numFmtId="49" fontId="2" fillId="0" borderId="13" xfId="0" applyNumberFormat="1" applyFont="1" applyFill="1" applyBorder="1" applyAlignment="1">
      <alignment horizontal="left"/>
    </xf>
    <xf numFmtId="49" fontId="21" fillId="0" borderId="0" xfId="0" applyNumberFormat="1" applyFont="1" applyFill="1" applyBorder="1" applyAlignment="1">
      <alignment horizontal="center"/>
    </xf>
    <xf numFmtId="49" fontId="21" fillId="0" borderId="11" xfId="0" applyNumberFormat="1" applyFont="1" applyFill="1" applyBorder="1" applyAlignment="1">
      <alignment horizontal="center"/>
    </xf>
    <xf numFmtId="49" fontId="2" fillId="0" borderId="11" xfId="0" applyNumberFormat="1" applyFont="1" applyFill="1" applyBorder="1" applyAlignment="1">
      <alignment horizontal="left"/>
    </xf>
    <xf numFmtId="49" fontId="21" fillId="0" borderId="15" xfId="0" applyNumberFormat="1" applyFont="1" applyFill="1" applyBorder="1" applyAlignment="1">
      <alignment horizontal="center"/>
    </xf>
    <xf numFmtId="49" fontId="2" fillId="0" borderId="15" xfId="0" applyNumberFormat="1" applyFont="1" applyFill="1" applyBorder="1" applyAlignment="1">
      <alignment horizontal="left"/>
    </xf>
    <xf numFmtId="49" fontId="21" fillId="0" borderId="14" xfId="0" applyNumberFormat="1" applyFont="1" applyFill="1" applyBorder="1" applyAlignment="1">
      <alignment horizontal="center"/>
    </xf>
    <xf numFmtId="49" fontId="2" fillId="0" borderId="14" xfId="0" applyNumberFormat="1" applyFont="1" applyFill="1" applyBorder="1" applyAlignment="1">
      <alignment horizontal="left"/>
    </xf>
    <xf numFmtId="49" fontId="0" fillId="0" borderId="11" xfId="0" applyNumberFormat="1" applyBorder="1" applyAlignment="1">
      <alignment horizontal="left"/>
    </xf>
    <xf numFmtId="49" fontId="0" fillId="0" borderId="15" xfId="0" applyNumberFormat="1" applyBorder="1" applyAlignment="1">
      <alignment horizontal="left"/>
    </xf>
    <xf numFmtId="49" fontId="0" fillId="0" borderId="14" xfId="0" applyNumberFormat="1" applyBorder="1" applyAlignment="1">
      <alignment horizontal="left"/>
    </xf>
    <xf numFmtId="49" fontId="6" fillId="0" borderId="0" xfId="0" applyNumberFormat="1" applyFont="1" applyAlignment="1">
      <alignment horizontal="left"/>
    </xf>
    <xf numFmtId="49" fontId="5" fillId="0" borderId="0" xfId="0" applyNumberFormat="1" applyFont="1" applyAlignment="1">
      <alignment horizontal="left"/>
    </xf>
    <xf numFmtId="49" fontId="7" fillId="0" borderId="0" xfId="0" applyNumberFormat="1" applyFont="1" applyAlignment="1">
      <alignment horizontal="left"/>
    </xf>
    <xf numFmtId="49" fontId="0" fillId="0" borderId="0" xfId="0" applyNumberFormat="1" applyAlignment="1">
      <alignment horizontal="left"/>
    </xf>
    <xf numFmtId="49" fontId="7" fillId="0" borderId="0" xfId="0" applyNumberFormat="1" applyFont="1" applyAlignment="1">
      <alignment horizontal="center"/>
    </xf>
    <xf numFmtId="49" fontId="1" fillId="0" borderId="0" xfId="0" applyNumberFormat="1" applyFont="1" applyFill="1" applyBorder="1" applyAlignment="1">
      <alignment vertical="center" wrapText="1"/>
    </xf>
    <xf numFmtId="49" fontId="22" fillId="0" borderId="0" xfId="0" applyNumberFormat="1" applyFont="1"/>
    <xf numFmtId="49" fontId="23" fillId="0" borderId="0" xfId="0" applyNumberFormat="1" applyFont="1"/>
    <xf numFmtId="49" fontId="22" fillId="0" borderId="0" xfId="0" applyNumberFormat="1" applyFont="1" applyFill="1" applyBorder="1" applyAlignment="1">
      <alignment horizontal="left"/>
    </xf>
    <xf numFmtId="49" fontId="2" fillId="0" borderId="0" xfId="0" applyNumberFormat="1" applyFont="1" applyFill="1" applyAlignment="1">
      <alignment horizontal="center"/>
    </xf>
    <xf numFmtId="49" fontId="2" fillId="0" borderId="36" xfId="0" applyNumberFormat="1" applyFont="1" applyFill="1" applyBorder="1" applyAlignment="1">
      <alignment horizontal="center"/>
    </xf>
    <xf numFmtId="49" fontId="2" fillId="0" borderId="18" xfId="0" applyNumberFormat="1" applyFont="1" applyFill="1" applyBorder="1" applyAlignment="1">
      <alignment horizontal="center"/>
    </xf>
    <xf numFmtId="49" fontId="3" fillId="0" borderId="44" xfId="0" applyNumberFormat="1" applyFont="1" applyFill="1" applyBorder="1" applyAlignment="1">
      <alignment horizontal="center" vertical="center"/>
    </xf>
    <xf numFmtId="49" fontId="4" fillId="0" borderId="45" xfId="0" applyNumberFormat="1" applyFont="1" applyFill="1" applyBorder="1" applyAlignment="1">
      <alignment horizontal="center" vertical="center"/>
    </xf>
    <xf numFmtId="0" fontId="24" fillId="0" borderId="0" xfId="144"/>
    <xf numFmtId="0" fontId="24" fillId="0" borderId="0" xfId="144" applyFill="1"/>
    <xf numFmtId="49" fontId="24" fillId="0" borderId="0" xfId="144" applyNumberFormat="1" applyAlignment="1">
      <alignment horizontal="left"/>
    </xf>
    <xf numFmtId="49" fontId="24" fillId="0" borderId="0" xfId="144" applyNumberFormat="1" applyBorder="1" applyAlignment="1">
      <alignment horizontal="left"/>
    </xf>
    <xf numFmtId="49" fontId="1" fillId="0" borderId="12" xfId="144" applyNumberFormat="1" applyFont="1" applyBorder="1" applyAlignment="1">
      <alignment vertical="center" wrapText="1"/>
    </xf>
    <xf numFmtId="0" fontId="0" fillId="0" borderId="0" xfId="0" applyAlignment="1">
      <alignment wrapText="1"/>
    </xf>
    <xf numFmtId="0" fontId="27" fillId="0" borderId="0" xfId="0" applyFont="1" applyAlignment="1">
      <alignment horizontal="center" wrapText="1"/>
    </xf>
    <xf numFmtId="0" fontId="28" fillId="0" borderId="0" xfId="144" applyFont="1" applyAlignment="1">
      <alignment wrapText="1"/>
    </xf>
    <xf numFmtId="49" fontId="0" fillId="0" borderId="0" xfId="0" applyNumberFormat="1" applyFont="1" applyFill="1" applyAlignment="1">
      <alignment horizontal="center"/>
    </xf>
    <xf numFmtId="49" fontId="0" fillId="0" borderId="30" xfId="0" applyNumberFormat="1" applyFill="1" applyBorder="1" applyAlignment="1">
      <alignment horizontal="center"/>
    </xf>
    <xf numFmtId="49" fontId="0" fillId="0" borderId="32" xfId="0" applyNumberFormat="1" applyFill="1" applyBorder="1" applyAlignment="1">
      <alignment horizontal="center"/>
    </xf>
    <xf numFmtId="49" fontId="0" fillId="0" borderId="33" xfId="0" applyNumberFormat="1" applyFill="1" applyBorder="1" applyAlignment="1">
      <alignment horizontal="left"/>
    </xf>
    <xf numFmtId="49" fontId="0" fillId="0" borderId="35" xfId="0" applyNumberFormat="1" applyFill="1" applyBorder="1" applyAlignment="1">
      <alignment horizontal="left"/>
    </xf>
    <xf numFmtId="0" fontId="0" fillId="0" borderId="0" xfId="144" applyFont="1" applyFill="1"/>
    <xf numFmtId="0" fontId="28" fillId="0" borderId="0" xfId="0" applyFont="1" applyAlignment="1">
      <alignment wrapText="1"/>
    </xf>
    <xf numFmtId="0" fontId="29" fillId="0" borderId="0" xfId="0" applyFont="1"/>
    <xf numFmtId="0" fontId="2" fillId="0" borderId="0" xfId="0" applyFont="1" applyAlignment="1">
      <alignment horizontal="center" vertical="center" wrapText="1"/>
    </xf>
    <xf numFmtId="49" fontId="26" fillId="0" borderId="0" xfId="144" applyNumberFormat="1" applyFont="1" applyBorder="1" applyAlignment="1">
      <alignment horizontal="center" vertical="center" wrapText="1"/>
    </xf>
    <xf numFmtId="49" fontId="0" fillId="0" borderId="31" xfId="0" applyNumberFormat="1" applyFill="1" applyBorder="1" applyAlignment="1">
      <alignment horizontal="center"/>
    </xf>
    <xf numFmtId="49" fontId="0" fillId="6" borderId="33" xfId="0" applyNumberFormat="1" applyFill="1" applyBorder="1" applyAlignment="1">
      <alignment horizontal="center"/>
    </xf>
    <xf numFmtId="49" fontId="0" fillId="6" borderId="34" xfId="0" applyNumberFormat="1" applyFill="1" applyBorder="1" applyAlignment="1">
      <alignment horizontal="center"/>
    </xf>
    <xf numFmtId="49" fontId="0" fillId="6" borderId="35" xfId="0" applyNumberFormat="1" applyFill="1" applyBorder="1" applyAlignment="1">
      <alignment horizontal="center"/>
    </xf>
    <xf numFmtId="49" fontId="0" fillId="0" borderId="30" xfId="0" applyNumberFormat="1" applyFill="1" applyBorder="1" applyAlignment="1">
      <alignment horizontal="left"/>
    </xf>
    <xf numFmtId="49" fontId="0" fillId="0" borderId="32" xfId="0" applyNumberFormat="1" applyFill="1" applyBorder="1" applyAlignment="1">
      <alignment horizontal="left"/>
    </xf>
    <xf numFmtId="49" fontId="0" fillId="0" borderId="36" xfId="0" applyNumberFormat="1" applyBorder="1" applyAlignment="1">
      <alignment horizontal="left"/>
    </xf>
    <xf numFmtId="49" fontId="0" fillId="0" borderId="0" xfId="0" applyNumberFormat="1" applyBorder="1" applyAlignment="1">
      <alignment horizontal="left"/>
    </xf>
    <xf numFmtId="49" fontId="0" fillId="0" borderId="18" xfId="0" applyNumberFormat="1" applyBorder="1" applyAlignment="1">
      <alignment horizontal="left"/>
    </xf>
    <xf numFmtId="49" fontId="0" fillId="0" borderId="30" xfId="0" applyNumberFormat="1" applyBorder="1" applyAlignment="1">
      <alignment horizontal="left"/>
    </xf>
    <xf numFmtId="49" fontId="0" fillId="0" borderId="33" xfId="0" applyNumberFormat="1" applyFont="1" applyFill="1" applyBorder="1" applyAlignment="1">
      <alignment horizontal="left"/>
    </xf>
    <xf numFmtId="49" fontId="0" fillId="0" borderId="31" xfId="0" applyNumberFormat="1" applyBorder="1" applyAlignment="1">
      <alignment horizontal="left"/>
    </xf>
    <xf numFmtId="49" fontId="0" fillId="0" borderId="34" xfId="0" applyNumberFormat="1" applyFont="1" applyFill="1" applyBorder="1" applyAlignment="1">
      <alignment horizontal="left"/>
    </xf>
    <xf numFmtId="49" fontId="0" fillId="0" borderId="32" xfId="0" applyNumberFormat="1" applyBorder="1" applyAlignment="1">
      <alignment horizontal="left"/>
    </xf>
    <xf numFmtId="49" fontId="0" fillId="0" borderId="35" xfId="0" applyNumberFormat="1" applyFont="1" applyFill="1" applyBorder="1" applyAlignment="1">
      <alignment horizontal="left"/>
    </xf>
    <xf numFmtId="49" fontId="2" fillId="0" borderId="0" xfId="0" applyNumberFormat="1" applyFont="1" applyFill="1" applyAlignment="1">
      <alignment horizontal="left"/>
    </xf>
    <xf numFmtId="49" fontId="0" fillId="0" borderId="0" xfId="0" applyNumberFormat="1" applyFont="1" applyFill="1" applyAlignment="1">
      <alignment horizontal="left"/>
    </xf>
    <xf numFmtId="0" fontId="0" fillId="0" borderId="0" xfId="144" applyFont="1"/>
    <xf numFmtId="49" fontId="9" fillId="3" borderId="0" xfId="0" applyNumberFormat="1" applyFont="1" applyFill="1" applyBorder="1" applyAlignment="1">
      <alignment horizontal="center"/>
    </xf>
    <xf numFmtId="49" fontId="9" fillId="0" borderId="18" xfId="0" applyNumberFormat="1" applyFont="1" applyBorder="1" applyAlignment="1">
      <alignment horizontal="center"/>
    </xf>
    <xf numFmtId="49" fontId="9" fillId="3" borderId="18" xfId="0" applyNumberFormat="1" applyFont="1" applyFill="1" applyBorder="1" applyAlignment="1">
      <alignment horizontal="center"/>
    </xf>
    <xf numFmtId="49" fontId="8" fillId="0" borderId="30" xfId="0" applyNumberFormat="1" applyFont="1" applyBorder="1" applyAlignment="1">
      <alignment horizontal="center"/>
    </xf>
    <xf numFmtId="49" fontId="8" fillId="0" borderId="31" xfId="0" applyNumberFormat="1" applyFont="1" applyBorder="1" applyAlignment="1">
      <alignment horizontal="center"/>
    </xf>
    <xf numFmtId="164" fontId="2" fillId="0" borderId="30" xfId="0" applyNumberFormat="1" applyFont="1" applyBorder="1" applyAlignment="1">
      <alignment horizontal="center"/>
    </xf>
    <xf numFmtId="164" fontId="2" fillId="0" borderId="31" xfId="0" applyNumberFormat="1" applyFont="1" applyBorder="1" applyAlignment="1">
      <alignment horizontal="center"/>
    </xf>
    <xf numFmtId="164" fontId="2" fillId="0" borderId="32" xfId="0" applyNumberFormat="1" applyFont="1" applyBorder="1" applyAlignment="1">
      <alignment horizontal="center"/>
    </xf>
    <xf numFmtId="49" fontId="5" fillId="0" borderId="0" xfId="0" applyNumberFormat="1" applyFont="1" applyAlignment="1">
      <alignment horizontal="center"/>
    </xf>
    <xf numFmtId="49" fontId="1" fillId="0" borderId="0"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49" fontId="5" fillId="0" borderId="12" xfId="0" applyNumberFormat="1" applyFont="1" applyBorder="1" applyAlignment="1">
      <alignment horizontal="center"/>
    </xf>
    <xf numFmtId="49" fontId="3" fillId="0" borderId="10"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164" fontId="3" fillId="0" borderId="8"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5" fillId="0" borderId="18" xfId="0" applyNumberFormat="1" applyFont="1" applyBorder="1" applyAlignment="1">
      <alignment horizontal="center"/>
    </xf>
    <xf numFmtId="49" fontId="3" fillId="0" borderId="8"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5" fillId="0" borderId="0" xfId="0" applyNumberFormat="1" applyFont="1" applyBorder="1" applyAlignment="1">
      <alignment horizontal="center"/>
    </xf>
    <xf numFmtId="49" fontId="5" fillId="0" borderId="12" xfId="0" applyNumberFormat="1" applyFont="1" applyFill="1" applyBorder="1" applyAlignment="1">
      <alignment horizontal="center"/>
    </xf>
    <xf numFmtId="49" fontId="5" fillId="0" borderId="0" xfId="0" applyNumberFormat="1" applyFont="1" applyFill="1" applyBorder="1" applyAlignment="1">
      <alignment horizontal="center"/>
    </xf>
    <xf numFmtId="49" fontId="15" fillId="0" borderId="0" xfId="0" applyNumberFormat="1" applyFont="1" applyBorder="1" applyAlignment="1">
      <alignment horizontal="center"/>
    </xf>
    <xf numFmtId="49" fontId="15" fillId="0" borderId="19" xfId="0" applyNumberFormat="1" applyFont="1" applyBorder="1" applyAlignment="1">
      <alignment horizontal="center"/>
    </xf>
    <xf numFmtId="49" fontId="15" fillId="0" borderId="26" xfId="0" applyNumberFormat="1" applyFont="1" applyBorder="1" applyAlignment="1">
      <alignment horizontal="center"/>
    </xf>
    <xf numFmtId="49" fontId="15" fillId="0" borderId="27" xfId="0" applyNumberFormat="1" applyFont="1" applyBorder="1" applyAlignment="1">
      <alignment horizontal="center"/>
    </xf>
    <xf numFmtId="49" fontId="15" fillId="0" borderId="46" xfId="0" applyNumberFormat="1" applyFont="1" applyBorder="1" applyAlignment="1">
      <alignment horizontal="center"/>
    </xf>
    <xf numFmtId="49" fontId="15" fillId="0" borderId="47" xfId="0" applyNumberFormat="1" applyFont="1" applyBorder="1" applyAlignment="1">
      <alignment horizontal="center"/>
    </xf>
    <xf numFmtId="49" fontId="15" fillId="0" borderId="48" xfId="0" applyNumberFormat="1" applyFont="1" applyBorder="1" applyAlignment="1">
      <alignment horizontal="center"/>
    </xf>
    <xf numFmtId="49" fontId="16" fillId="0" borderId="0" xfId="0" applyNumberFormat="1" applyFont="1" applyFill="1" applyBorder="1" applyAlignment="1">
      <alignment horizontal="center"/>
    </xf>
    <xf numFmtId="49" fontId="3" fillId="0" borderId="35"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0" borderId="42" xfId="0" applyNumberFormat="1" applyFont="1" applyFill="1" applyBorder="1" applyAlignment="1">
      <alignment horizontal="center" vertical="center"/>
    </xf>
    <xf numFmtId="49" fontId="16" fillId="0" borderId="12" xfId="0" applyNumberFormat="1" applyFont="1" applyFill="1" applyBorder="1" applyAlignment="1">
      <alignment horizontal="center"/>
    </xf>
    <xf numFmtId="49" fontId="3" fillId="0" borderId="41"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wrapText="1"/>
    </xf>
    <xf numFmtId="49" fontId="3" fillId="0" borderId="32" xfId="0" applyNumberFormat="1" applyFont="1" applyFill="1" applyBorder="1" applyAlignment="1">
      <alignment horizontal="center" vertical="center"/>
    </xf>
    <xf numFmtId="49" fontId="1" fillId="0" borderId="23"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49" fontId="15" fillId="0" borderId="37" xfId="0" applyNumberFormat="1" applyFont="1" applyBorder="1" applyAlignment="1">
      <alignment horizontal="center"/>
    </xf>
    <xf numFmtId="49" fontId="15" fillId="0" borderId="25" xfId="0" applyNumberFormat="1" applyFont="1" applyBorder="1" applyAlignment="1">
      <alignment horizontal="center"/>
    </xf>
    <xf numFmtId="49" fontId="3" fillId="0" borderId="43" xfId="0" applyNumberFormat="1" applyFont="1" applyFill="1" applyBorder="1" applyAlignment="1">
      <alignment horizontal="center" vertical="center"/>
    </xf>
    <xf numFmtId="49" fontId="4" fillId="0" borderId="35"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15" fillId="0" borderId="12" xfId="0" applyNumberFormat="1" applyFont="1" applyBorder="1" applyAlignment="1">
      <alignment horizontal="center"/>
    </xf>
    <xf numFmtId="49" fontId="15" fillId="0" borderId="24" xfId="0" applyNumberFormat="1" applyFont="1" applyBorder="1" applyAlignment="1">
      <alignment horizontal="center"/>
    </xf>
    <xf numFmtId="49" fontId="3" fillId="0" borderId="38"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49" fontId="3" fillId="0" borderId="39" xfId="0" applyNumberFormat="1" applyFont="1" applyFill="1" applyBorder="1" applyAlignment="1">
      <alignment horizontal="center" vertical="center"/>
    </xf>
    <xf numFmtId="49" fontId="15" fillId="0" borderId="23" xfId="0" applyNumberFormat="1" applyFont="1" applyBorder="1" applyAlignment="1">
      <alignment horizontal="center"/>
    </xf>
    <xf numFmtId="49" fontId="4" fillId="0" borderId="4"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15" fillId="0" borderId="23" xfId="0" applyFont="1" applyBorder="1" applyAlignment="1">
      <alignment horizontal="center"/>
    </xf>
    <xf numFmtId="0" fontId="15" fillId="0" borderId="12" xfId="0" applyFont="1" applyBorder="1" applyAlignment="1">
      <alignment horizontal="center"/>
    </xf>
    <xf numFmtId="0" fontId="15" fillId="0" borderId="24" xfId="0" applyFont="1" applyBorder="1" applyAlignment="1">
      <alignment horizontal="center"/>
    </xf>
    <xf numFmtId="0" fontId="15" fillId="0" borderId="37" xfId="0" applyFont="1" applyBorder="1" applyAlignment="1">
      <alignment horizontal="center"/>
    </xf>
    <xf numFmtId="0" fontId="15" fillId="0" borderId="0" xfId="0" applyFont="1" applyBorder="1" applyAlignment="1">
      <alignment horizontal="center"/>
    </xf>
    <xf numFmtId="0" fontId="15" fillId="0" borderId="19" xfId="0" applyFont="1" applyBorder="1" applyAlignment="1">
      <alignment horizontal="center"/>
    </xf>
    <xf numFmtId="0" fontId="15" fillId="0" borderId="25" xfId="0" applyFont="1" applyBorder="1" applyAlignment="1">
      <alignment horizontal="center"/>
    </xf>
    <xf numFmtId="0" fontId="15" fillId="0" borderId="26" xfId="0" applyFont="1" applyBorder="1" applyAlignment="1">
      <alignment horizontal="center"/>
    </xf>
    <xf numFmtId="0" fontId="15" fillId="0" borderId="27" xfId="0" applyFont="1" applyBorder="1" applyAlignment="1">
      <alignment horizontal="center"/>
    </xf>
    <xf numFmtId="49" fontId="3" fillId="0" borderId="21"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xf>
    <xf numFmtId="164" fontId="3" fillId="0" borderId="7"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15" fillId="0" borderId="0" xfId="0" applyFont="1" applyAlignment="1">
      <alignment horizontal="center"/>
    </xf>
    <xf numFmtId="0" fontId="15" fillId="0" borderId="37" xfId="0" applyFont="1" applyBorder="1" applyAlignment="1">
      <alignment horizontal="center" wrapText="1"/>
    </xf>
    <xf numFmtId="49" fontId="1" fillId="0" borderId="25" xfId="144" applyNumberFormat="1" applyFont="1" applyBorder="1" applyAlignment="1">
      <alignment horizontal="center" vertical="center" wrapText="1"/>
    </xf>
    <xf numFmtId="49" fontId="1" fillId="0" borderId="26" xfId="144" applyNumberFormat="1" applyFont="1" applyBorder="1" applyAlignment="1">
      <alignment horizontal="center" vertical="center" wrapText="1"/>
    </xf>
    <xf numFmtId="49" fontId="1" fillId="0" borderId="27" xfId="144" applyNumberFormat="1" applyFont="1" applyBorder="1" applyAlignment="1">
      <alignment horizontal="center" vertical="center" wrapText="1"/>
    </xf>
    <xf numFmtId="49" fontId="25" fillId="0" borderId="46" xfId="144" applyNumberFormat="1" applyFont="1" applyBorder="1" applyAlignment="1">
      <alignment horizontal="center" vertical="center" wrapText="1"/>
    </xf>
    <xf numFmtId="49" fontId="25" fillId="0" borderId="47" xfId="144" applyNumberFormat="1" applyFont="1" applyBorder="1" applyAlignment="1">
      <alignment horizontal="center" vertical="center" wrapText="1"/>
    </xf>
    <xf numFmtId="49" fontId="25" fillId="0" borderId="48" xfId="144" applyNumberFormat="1" applyFont="1" applyBorder="1" applyAlignment="1">
      <alignment horizontal="center" vertical="center" wrapText="1"/>
    </xf>
    <xf numFmtId="0" fontId="0" fillId="0" borderId="0" xfId="0" applyAlignment="1">
      <alignment horizontal="center"/>
    </xf>
    <xf numFmtId="49" fontId="1" fillId="0" borderId="23" xfId="144" applyNumberFormat="1" applyFont="1" applyBorder="1" applyAlignment="1">
      <alignment horizontal="center" vertical="center" wrapText="1"/>
    </xf>
    <xf numFmtId="49" fontId="1" fillId="0" borderId="12" xfId="144" applyNumberFormat="1" applyFont="1" applyBorder="1" applyAlignment="1">
      <alignment horizontal="center" vertical="center" wrapText="1"/>
    </xf>
    <xf numFmtId="49" fontId="1" fillId="0" borderId="24" xfId="144" applyNumberFormat="1" applyFont="1" applyBorder="1" applyAlignment="1">
      <alignment horizontal="center" vertical="center" wrapText="1"/>
    </xf>
    <xf numFmtId="49" fontId="26" fillId="0" borderId="46" xfId="144" applyNumberFormat="1" applyFont="1" applyBorder="1" applyAlignment="1">
      <alignment horizontal="center" vertical="center" wrapText="1"/>
    </xf>
    <xf numFmtId="49" fontId="26" fillId="0" borderId="47" xfId="144" applyNumberFormat="1" applyFont="1" applyBorder="1" applyAlignment="1">
      <alignment horizontal="center" vertical="center" wrapText="1"/>
    </xf>
    <xf numFmtId="49" fontId="26" fillId="0" borderId="48" xfId="144" applyNumberFormat="1" applyFont="1" applyBorder="1" applyAlignment="1">
      <alignment horizontal="center" vertical="center" wrapText="1"/>
    </xf>
  </cellXfs>
  <cellStyles count="223">
    <cellStyle name="Гиперссылка" xfId="1" builtinId="8" hidden="1"/>
    <cellStyle name="Гиперссылка" xfId="3" builtinId="8" hidden="1"/>
    <cellStyle name="Гиперссылка" xfId="5" builtinId="8"/>
    <cellStyle name="Обычный" xfId="0" builtinId="0"/>
    <cellStyle name="Обычный 2" xfId="144"/>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Открывавшаяся гиперссылка" xfId="13"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 name="Открывавшаяся гиперссылка" xfId="17" builtinId="9" hidden="1"/>
    <cellStyle name="Открывавшаяся гиперссылка" xfId="18" builtinId="9" hidden="1"/>
    <cellStyle name="Открывавшаяся гиперссылка" xfId="19" builtinId="9" hidden="1"/>
    <cellStyle name="Открывавшаяся гиперссылка" xfId="20" builtinId="9" hidden="1"/>
    <cellStyle name="Открывавшаяся гиперссылка" xfId="21" builtinId="9" hidden="1"/>
    <cellStyle name="Открывавшаяся гиперссылка" xfId="22" builtinId="9" hidden="1"/>
    <cellStyle name="Открывавшаяся гиперссылка" xfId="23" builtinId="9" hidden="1"/>
    <cellStyle name="Открывавшаяся гиперссылка" xfId="24" builtinId="9" hidden="1"/>
    <cellStyle name="Открывавшаяся гиперссылка" xfId="25" builtinId="9" hidden="1"/>
    <cellStyle name="Открывавшаяся гиперссылка" xfId="26" builtinId="9" hidden="1"/>
    <cellStyle name="Открывавшаяся гиперссылка" xfId="27" builtinId="9" hidden="1"/>
    <cellStyle name="Открывавшаяся гиперссылка" xfId="28" builtinId="9" hidden="1"/>
    <cellStyle name="Открывавшаяся гиперссылка" xfId="29" builtinId="9" hidden="1"/>
    <cellStyle name="Открывавшаяся гиперссылка" xfId="30" builtinId="9" hidden="1"/>
    <cellStyle name="Открывавшаяся гиперссылка" xfId="31" builtinId="9" hidden="1"/>
    <cellStyle name="Открывавшаяся гиперссылка" xfId="32" builtinId="9" hidden="1"/>
    <cellStyle name="Открывавшаяся гиперссылка" xfId="33" builtinId="9" hidden="1"/>
    <cellStyle name="Открывавшаяся гиперссылка" xfId="34" builtinId="9" hidden="1"/>
    <cellStyle name="Открывавшаяся гиперссылка" xfId="35" builtinId="9" hidden="1"/>
    <cellStyle name="Открывавшаяся гиперссылка" xfId="36" builtinId="9" hidden="1"/>
    <cellStyle name="Открывавшаяся гиперссылка" xfId="37" builtinId="9" hidden="1"/>
    <cellStyle name="Открывавшаяся гиперссылка" xfId="38" builtinId="9" hidden="1"/>
    <cellStyle name="Открывавшаяся гиперссылка" xfId="39" builtinId="9" hidden="1"/>
    <cellStyle name="Открывавшаяся гиперссылка" xfId="40" builtinId="9" hidden="1"/>
    <cellStyle name="Открывавшаяся гиперссылка" xfId="41" builtinId="9" hidden="1"/>
    <cellStyle name="Открывавшаяся гиперссылка" xfId="42" builtinId="9" hidden="1"/>
    <cellStyle name="Открывавшаяся гиперссылка" xfId="43" builtinId="9" hidden="1"/>
    <cellStyle name="Открывавшаяся гиперссылка" xfId="44" builtinId="9" hidden="1"/>
    <cellStyle name="Открывавшаяся гиперссылка" xfId="45" builtinId="9" hidden="1"/>
    <cellStyle name="Открывавшаяся гиперссылка" xfId="46" builtinId="9" hidden="1"/>
    <cellStyle name="Открывавшаяся гиперссылка" xfId="47" builtinId="9" hidden="1"/>
    <cellStyle name="Открывавшаяся гиперссылка" xfId="48" builtinId="9" hidden="1"/>
    <cellStyle name="Открывавшаяся гиперссылка" xfId="49" builtinId="9" hidden="1"/>
    <cellStyle name="Открывавшаяся гиперссылка" xfId="50" builtinId="9" hidden="1"/>
    <cellStyle name="Открывавшаяся гиперссылка" xfId="51" builtinId="9" hidden="1"/>
    <cellStyle name="Открывавшаяся гиперссылка" xfId="52" builtinId="9" hidden="1"/>
    <cellStyle name="Открывавшаяся гиперссылка" xfId="53" builtinId="9" hidden="1"/>
    <cellStyle name="Открывавшаяся гиперссылка" xfId="54" builtinId="9" hidden="1"/>
    <cellStyle name="Открывавшаяся гиперссылка" xfId="55" builtinId="9" hidden="1"/>
    <cellStyle name="Открывавшаяся гиперссылка" xfId="56" builtinId="9" hidden="1"/>
    <cellStyle name="Открывавшаяся гиперссылка" xfId="57" builtinId="9" hidden="1"/>
    <cellStyle name="Открывавшаяся гиперссылка" xfId="58" builtinId="9" hidden="1"/>
    <cellStyle name="Открывавшаяся гиперссылка" xfId="59" builtinId="9" hidden="1"/>
    <cellStyle name="Открывавшаяся гиперссылка" xfId="60" builtinId="9" hidden="1"/>
    <cellStyle name="Открывавшаяся гиперссылка" xfId="61" builtinId="9" hidden="1"/>
    <cellStyle name="Открывавшаяся гиперссылка" xfId="62" builtinId="9" hidden="1"/>
    <cellStyle name="Открывавшаяся гиперссылка" xfId="63" builtinId="9" hidden="1"/>
    <cellStyle name="Открывавшаяся гиперссылка" xfId="64" builtinId="9" hidden="1"/>
    <cellStyle name="Открывавшаяся гиперссылка" xfId="65" builtinId="9" hidden="1"/>
    <cellStyle name="Открывавшаяся гиперссылка" xfId="66" builtinId="9" hidden="1"/>
    <cellStyle name="Открывавшаяся гиперссылка" xfId="67" builtinId="9" hidden="1"/>
    <cellStyle name="Открывавшаяся гиперссылка" xfId="68" builtinId="9" hidden="1"/>
    <cellStyle name="Открывавшаяся гиперссылка" xfId="69" builtinId="9" hidden="1"/>
    <cellStyle name="Открывавшаяся гиперссылка" xfId="70" builtinId="9" hidden="1"/>
    <cellStyle name="Открывавшаяся гиперссылка" xfId="71" builtinId="9" hidden="1"/>
    <cellStyle name="Открывавшаяся гиперссылка" xfId="72" builtinId="9" hidden="1"/>
    <cellStyle name="Открывавшаяся гиперссылка" xfId="73" builtinId="9" hidden="1"/>
    <cellStyle name="Открывавшаяся гиперссылка" xfId="74" builtinId="9" hidden="1"/>
    <cellStyle name="Открывавшаяся гиперссылка" xfId="75" builtinId="9" hidden="1"/>
    <cellStyle name="Открывавшаяся гиперссылка" xfId="76" builtinId="9" hidden="1"/>
    <cellStyle name="Открывавшаяся гиперссылка" xfId="77" builtinId="9" hidden="1"/>
    <cellStyle name="Открывавшаяся гиперссылка" xfId="78" builtinId="9" hidden="1"/>
    <cellStyle name="Открывавшаяся гиперссылка" xfId="79" builtinId="9" hidden="1"/>
    <cellStyle name="Открывавшаяся гиперссылка" xfId="80" builtinId="9" hidden="1"/>
    <cellStyle name="Открывавшаяся гиперссылка" xfId="81" builtinId="9" hidden="1"/>
    <cellStyle name="Открывавшаяся гиперссылка" xfId="82" builtinId="9" hidden="1"/>
    <cellStyle name="Открывавшаяся гиперссылка" xfId="83" builtinId="9" hidden="1"/>
    <cellStyle name="Открывавшаяся гиперссылка" xfId="84" builtinId="9" hidden="1"/>
    <cellStyle name="Открывавшаяся гиперссылка" xfId="85" builtinId="9" hidden="1"/>
    <cellStyle name="Открывавшаяся гиперссылка" xfId="86" builtinId="9" hidden="1"/>
    <cellStyle name="Открывавшаяся гиперссылка" xfId="87" builtinId="9" hidden="1"/>
    <cellStyle name="Открывавшаяся гиперссылка" xfId="88" builtinId="9" hidden="1"/>
    <cellStyle name="Открывавшаяся гиперссылка" xfId="89" builtinId="9" hidden="1"/>
    <cellStyle name="Открывавшаяся гиперссылка" xfId="90" builtinId="9" hidden="1"/>
    <cellStyle name="Открывавшаяся гиперссылка" xfId="91" builtinId="9" hidden="1"/>
    <cellStyle name="Открывавшаяся гиперссылка" xfId="92" builtinId="9" hidden="1"/>
    <cellStyle name="Открывавшаяся гиперссылка" xfId="93" builtinId="9" hidden="1"/>
    <cellStyle name="Открывавшаяся гиперссылка" xfId="94" builtinId="9" hidden="1"/>
    <cellStyle name="Открывавшаяся гиперссылка" xfId="95" builtinId="9" hidden="1"/>
    <cellStyle name="Открывавшаяся гиперссылка" xfId="96" builtinId="9" hidden="1"/>
    <cellStyle name="Открывавшаяся гиперссылка" xfId="97" builtinId="9" hidden="1"/>
    <cellStyle name="Открывавшаяся гиперссылка" xfId="98" builtinId="9" hidden="1"/>
    <cellStyle name="Открывавшаяся гиперссылка" xfId="99" builtinId="9" hidden="1"/>
    <cellStyle name="Открывавшаяся гиперссылка" xfId="100" builtinId="9" hidden="1"/>
    <cellStyle name="Открывавшаяся гиперссылка" xfId="101" builtinId="9" hidden="1"/>
    <cellStyle name="Открывавшаяся гиперссылка" xfId="102" builtinId="9" hidden="1"/>
    <cellStyle name="Открывавшаяся гиперссылка" xfId="103" builtinId="9" hidden="1"/>
    <cellStyle name="Открывавшаяся гиперссылка" xfId="104" builtinId="9" hidden="1"/>
    <cellStyle name="Открывавшаяся гиперссылка" xfId="105" builtinId="9" hidden="1"/>
    <cellStyle name="Открывавшаяся гиперссылка" xfId="106" builtinId="9" hidden="1"/>
    <cellStyle name="Открывавшаяся гиперссылка" xfId="107" builtinId="9" hidden="1"/>
    <cellStyle name="Открывавшаяся гиперссылка" xfId="108" builtinId="9" hidden="1"/>
    <cellStyle name="Открывавшаяся гиперссылка" xfId="109" builtinId="9" hidden="1"/>
    <cellStyle name="Открывавшаяся гиперссылка" xfId="110" builtinId="9" hidden="1"/>
    <cellStyle name="Открывавшаяся гиперссылка" xfId="111" builtinId="9" hidden="1"/>
    <cellStyle name="Открывавшаяся гиперссылка" xfId="112" builtinId="9" hidden="1"/>
    <cellStyle name="Открывавшаяся гиперссылка" xfId="113" builtinId="9" hidden="1"/>
    <cellStyle name="Открывавшаяся гиперссылка" xfId="114" builtinId="9" hidden="1"/>
    <cellStyle name="Открывавшаяся гиперссылка" xfId="115" builtinId="9" hidden="1"/>
    <cellStyle name="Открывавшаяся гиперссылка" xfId="116" builtinId="9" hidden="1"/>
    <cellStyle name="Открывавшаяся гиперссылка" xfId="117" builtinId="9" hidden="1"/>
    <cellStyle name="Открывавшаяся гиперссылка" xfId="118" builtinId="9" hidden="1"/>
    <cellStyle name="Открывавшаяся гиперссылка" xfId="119" builtinId="9" hidden="1"/>
    <cellStyle name="Открывавшаяся гиперссылка" xfId="120" builtinId="9" hidden="1"/>
    <cellStyle name="Открывавшаяся гиперссылка" xfId="121" builtinId="9" hidden="1"/>
    <cellStyle name="Открывавшаяся гиперссылка" xfId="122" builtinId="9" hidden="1"/>
    <cellStyle name="Открывавшаяся гиперссылка" xfId="123" builtinId="9" hidden="1"/>
    <cellStyle name="Открывавшаяся гиперссылка" xfId="124" builtinId="9" hidden="1"/>
    <cellStyle name="Открывавшаяся гиперссылка" xfId="125" builtinId="9" hidden="1"/>
    <cellStyle name="Открывавшаяся гиперссылка" xfId="126" builtinId="9" hidden="1"/>
    <cellStyle name="Открывавшаяся гиперссылка" xfId="127" builtinId="9" hidden="1"/>
    <cellStyle name="Открывавшаяся гиперссылка" xfId="128" builtinId="9" hidden="1"/>
    <cellStyle name="Открывавшаяся гиперссылка" xfId="129" builtinId="9" hidden="1"/>
    <cellStyle name="Открывавшаяся гиперссылка" xfId="130" builtinId="9" hidden="1"/>
    <cellStyle name="Открывавшаяся гиперссылка" xfId="131" builtinId="9" hidden="1"/>
    <cellStyle name="Открывавшаяся гиперссылка" xfId="132" builtinId="9" hidden="1"/>
    <cellStyle name="Открывавшаяся гиперссылка" xfId="133" builtinId="9" hidden="1"/>
    <cellStyle name="Открывавшаяся гиперссылка" xfId="134" builtinId="9" hidden="1"/>
    <cellStyle name="Открывавшаяся гиперссылка" xfId="135" builtinId="9" hidden="1"/>
    <cellStyle name="Открывавшаяся гиперссылка" xfId="136" builtinId="9" hidden="1"/>
    <cellStyle name="Открывавшаяся гиперссылка" xfId="137" builtinId="9" hidden="1"/>
    <cellStyle name="Открывавшаяся гиперссылка" xfId="138" builtinId="9" hidden="1"/>
    <cellStyle name="Открывавшаяся гиперссылка" xfId="139" builtinId="9" hidden="1"/>
    <cellStyle name="Открывавшаяся гиперссылка" xfId="140" builtinId="9" hidden="1"/>
    <cellStyle name="Открывавшаяся гиперссылка" xfId="141" builtinId="9" hidden="1"/>
    <cellStyle name="Открывавшаяся гиперссылка" xfId="142" builtinId="9" hidden="1"/>
    <cellStyle name="Открывавшаяся гиперссылка" xfId="143" builtinId="9" hidden="1"/>
    <cellStyle name="Открывавшаяся гиперссылка" xfId="145" builtinId="9" hidden="1"/>
    <cellStyle name="Открывавшаяся гиперссылка" xfId="146" builtinId="9" hidden="1"/>
    <cellStyle name="Открывавшаяся гиперссылка" xfId="147" builtinId="9" hidden="1"/>
    <cellStyle name="Открывавшаяся гиперссылка" xfId="148" builtinId="9" hidden="1"/>
    <cellStyle name="Открывавшаяся гиперссылка" xfId="149" builtinId="9" hidden="1"/>
    <cellStyle name="Открывавшаяся гиперссылка" xfId="150" builtinId="9" hidden="1"/>
    <cellStyle name="Открывавшаяся гиперссылка" xfId="151" builtinId="9" hidden="1"/>
    <cellStyle name="Открывавшаяся гиперссылка" xfId="152" builtinId="9" hidden="1"/>
    <cellStyle name="Открывавшаяся гиперссылка" xfId="153" builtinId="9" hidden="1"/>
    <cellStyle name="Открывавшаяся гиперссылка" xfId="154" builtinId="9" hidden="1"/>
    <cellStyle name="Открывавшаяся гиперссылка" xfId="155" builtinId="9" hidden="1"/>
    <cellStyle name="Открывавшаяся гиперссылка" xfId="156" builtinId="9" hidden="1"/>
    <cellStyle name="Открывавшаяся гиперссылка" xfId="157" builtinId="9" hidden="1"/>
    <cellStyle name="Открывавшаяся гиперссылка" xfId="158" builtinId="9" hidden="1"/>
    <cellStyle name="Открывавшаяся гиперссылка" xfId="159" builtinId="9" hidden="1"/>
    <cellStyle name="Открывавшаяся гиперссылка" xfId="160" builtinId="9" hidden="1"/>
    <cellStyle name="Открывавшаяся гиперссылка" xfId="161" builtinId="9" hidden="1"/>
    <cellStyle name="Открывавшаяся гиперссылка" xfId="162" builtinId="9" hidden="1"/>
    <cellStyle name="Открывавшаяся гиперссылка" xfId="163" builtinId="9" hidden="1"/>
    <cellStyle name="Открывавшаяся гиперссылка" xfId="164" builtinId="9" hidden="1"/>
    <cellStyle name="Открывавшаяся гиперссылка" xfId="165" builtinId="9" hidden="1"/>
    <cellStyle name="Открывавшаяся гиперссылка" xfId="166" builtinId="9" hidden="1"/>
    <cellStyle name="Открывавшаяся гиперссылка" xfId="167" builtinId="9" hidden="1"/>
    <cellStyle name="Открывавшаяся гиперссылка" xfId="168" builtinId="9" hidden="1"/>
    <cellStyle name="Открывавшаяся гиперссылка" xfId="169" builtinId="9" hidden="1"/>
    <cellStyle name="Открывавшаяся гиперссылка" xfId="170" builtinId="9" hidden="1"/>
    <cellStyle name="Открывавшаяся гиперссылка" xfId="171" builtinId="9" hidden="1"/>
    <cellStyle name="Открывавшаяся гиперссылка" xfId="172" builtinId="9" hidden="1"/>
    <cellStyle name="Открывавшаяся гиперссылка" xfId="173" builtinId="9" hidden="1"/>
    <cellStyle name="Открывавшаяся гиперссылка" xfId="174" builtinId="9" hidden="1"/>
    <cellStyle name="Открывавшаяся гиперссылка" xfId="175" builtinId="9" hidden="1"/>
    <cellStyle name="Открывавшаяся гиперссылка" xfId="176" builtinId="9" hidden="1"/>
    <cellStyle name="Открывавшаяся гиперссылка" xfId="177" builtinId="9" hidden="1"/>
    <cellStyle name="Открывавшаяся гиперссылка" xfId="178" builtinId="9" hidden="1"/>
    <cellStyle name="Открывавшаяся гиперссылка" xfId="179" builtinId="9" hidden="1"/>
    <cellStyle name="Открывавшаяся гиперссылка" xfId="180" builtinId="9" hidden="1"/>
    <cellStyle name="Открывавшаяся гиперссылка" xfId="181" builtinId="9" hidden="1"/>
    <cellStyle name="Открывавшаяся гиперссылка" xfId="182" builtinId="9" hidden="1"/>
    <cellStyle name="Открывавшаяся гиперссылка" xfId="183" builtinId="9" hidden="1"/>
    <cellStyle name="Открывавшаяся гиперссылка" xfId="184" builtinId="9" hidden="1"/>
    <cellStyle name="Открывавшаяся гиперссылка" xfId="185" builtinId="9" hidden="1"/>
    <cellStyle name="Открывавшаяся гиперссылка" xfId="186" builtinId="9" hidden="1"/>
    <cellStyle name="Открывавшаяся гиперссылка" xfId="187" builtinId="9" hidden="1"/>
    <cellStyle name="Открывавшаяся гиперссылка" xfId="188" builtinId="9" hidden="1"/>
    <cellStyle name="Открывавшаяся гиперссылка" xfId="189" builtinId="9" hidden="1"/>
    <cellStyle name="Открывавшаяся гиперссылка" xfId="190" builtinId="9" hidden="1"/>
    <cellStyle name="Открывавшаяся гиперссылка" xfId="191" builtinId="9" hidden="1"/>
    <cellStyle name="Открывавшаяся гиперссылка" xfId="192" builtinId="9" hidden="1"/>
    <cellStyle name="Открывавшаяся гиперссылка" xfId="193" builtinId="9" hidden="1"/>
    <cellStyle name="Открывавшаяся гиперссылка" xfId="194" builtinId="9" hidden="1"/>
    <cellStyle name="Открывавшаяся гиперссылка" xfId="195" builtinId="9" hidden="1"/>
    <cellStyle name="Открывавшаяся гиперссылка" xfId="196" builtinId="9" hidden="1"/>
    <cellStyle name="Открывавшаяся гиперссылка" xfId="197" builtinId="9" hidden="1"/>
    <cellStyle name="Открывавшаяся гиперссылка" xfId="198" builtinId="9" hidden="1"/>
    <cellStyle name="Открывавшаяся гиперссылка" xfId="199" builtinId="9" hidden="1"/>
    <cellStyle name="Открывавшаяся гиперссылка" xfId="200" builtinId="9" hidden="1"/>
    <cellStyle name="Открывавшаяся гиперссылка" xfId="201" builtinId="9" hidden="1"/>
    <cellStyle name="Открывавшаяся гиперссылка" xfId="202" builtinId="9" hidden="1"/>
    <cellStyle name="Открывавшаяся гиперссылка" xfId="203" builtinId="9" hidden="1"/>
    <cellStyle name="Открывавшаяся гиперссылка" xfId="204" builtinId="9" hidden="1"/>
    <cellStyle name="Открывавшаяся гиперссылка" xfId="205" builtinId="9" hidden="1"/>
    <cellStyle name="Открывавшаяся гиперссылка" xfId="206" builtinId="9" hidden="1"/>
    <cellStyle name="Открывавшаяся гиперссылка" xfId="207" builtinId="9" hidden="1"/>
    <cellStyle name="Открывавшаяся гиперссылка" xfId="208" builtinId="9" hidden="1"/>
    <cellStyle name="Открывавшаяся гиперссылка" xfId="209" builtinId="9" hidden="1"/>
    <cellStyle name="Открывавшаяся гиперссылка" xfId="210" builtinId="9" hidden="1"/>
    <cellStyle name="Открывавшаяся гиперссылка" xfId="211" builtinId="9" hidden="1"/>
    <cellStyle name="Открывавшаяся гиперссылка" xfId="212" builtinId="9" hidden="1"/>
    <cellStyle name="Открывавшаяся гиперссылка" xfId="213" builtinId="9" hidden="1"/>
    <cellStyle name="Открывавшаяся гиперссылка" xfId="214" builtinId="9" hidden="1"/>
    <cellStyle name="Открывавшаяся гиперссылка" xfId="215" builtinId="9" hidden="1"/>
    <cellStyle name="Открывавшаяся гиперссылка" xfId="216" builtinId="9" hidden="1"/>
    <cellStyle name="Открывавшаяся гиперссылка" xfId="217" builtinId="9" hidden="1"/>
    <cellStyle name="Открывавшаяся гиперссылка" xfId="218" builtinId="9" hidden="1"/>
    <cellStyle name="Открывавшаяся гиперссылка" xfId="219" builtinId="9" hidden="1"/>
    <cellStyle name="Открывавшаяся гиперссылка" xfId="220" builtinId="9" hidden="1"/>
    <cellStyle name="Открывавшаяся гиперссылка" xfId="221" builtinId="9" hidden="1"/>
    <cellStyle name="Открывавшаяся гиперссылка" xfId="222"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hyperlink" Target="http://www.maplandia.com/finl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topLeftCell="K37" workbookViewId="0">
      <selection activeCell="W66" sqref="W66"/>
    </sheetView>
  </sheetViews>
  <sheetFormatPr defaultColWidth="8.7109375" defaultRowHeight="12.75" x14ac:dyDescent="0.2"/>
  <cols>
    <col min="1" max="1" width="7" style="43" bestFit="1" customWidth="1"/>
    <col min="2" max="2" width="21.42578125" style="6" bestFit="1" customWidth="1"/>
    <col min="3" max="3" width="28.7109375" style="6" bestFit="1" customWidth="1"/>
    <col min="4" max="4" width="8.7109375" style="6" customWidth="1"/>
    <col min="5" max="5" width="7.140625" style="6" bestFit="1" customWidth="1"/>
    <col min="6" max="6" width="24.5703125" style="6" bestFit="1" customWidth="1"/>
    <col min="7" max="7" width="45.5703125" style="6" bestFit="1" customWidth="1"/>
    <col min="8" max="10" width="6" style="27" bestFit="1" customWidth="1"/>
    <col min="11" max="11" width="5.140625" style="27" bestFit="1" customWidth="1"/>
    <col min="12" max="14" width="6" style="27" bestFit="1" customWidth="1"/>
    <col min="15" max="15" width="5.140625" style="27" bestFit="1" customWidth="1"/>
    <col min="16" max="19" width="6" style="27" bestFit="1" customWidth="1"/>
    <col min="20" max="20" width="6.28515625" style="32" bestFit="1" customWidth="1"/>
    <col min="21" max="21" width="9.28515625" style="27" bestFit="1" customWidth="1"/>
    <col min="22" max="22" width="15.7109375" style="6" bestFit="1" customWidth="1"/>
  </cols>
  <sheetData>
    <row r="1" spans="1:22" s="1" customFormat="1" ht="30" x14ac:dyDescent="0.2">
      <c r="A1" s="295" t="s">
        <v>4023</v>
      </c>
      <c r="B1" s="295"/>
      <c r="C1" s="295"/>
      <c r="D1" s="295"/>
      <c r="E1" s="295"/>
      <c r="F1" s="295"/>
      <c r="G1" s="295"/>
      <c r="H1" s="295"/>
      <c r="I1" s="295"/>
      <c r="J1" s="295"/>
      <c r="K1" s="295"/>
      <c r="L1" s="295"/>
      <c r="M1" s="295"/>
      <c r="N1" s="295"/>
      <c r="O1" s="295"/>
      <c r="P1" s="295"/>
      <c r="Q1" s="295"/>
      <c r="R1" s="295"/>
      <c r="S1" s="295"/>
      <c r="T1" s="295"/>
      <c r="U1" s="295"/>
      <c r="V1" s="296"/>
    </row>
    <row r="2" spans="1:22" s="1" customFormat="1" ht="30" x14ac:dyDescent="0.2">
      <c r="A2" s="295" t="s">
        <v>4026</v>
      </c>
      <c r="B2" s="295"/>
      <c r="C2" s="295"/>
      <c r="D2" s="295"/>
      <c r="E2" s="295"/>
      <c r="F2" s="295"/>
      <c r="G2" s="295"/>
      <c r="H2" s="295"/>
      <c r="I2" s="295"/>
      <c r="J2" s="295"/>
      <c r="K2" s="295"/>
      <c r="L2" s="295"/>
      <c r="M2" s="295"/>
      <c r="N2" s="295"/>
      <c r="O2" s="295"/>
      <c r="P2" s="295"/>
      <c r="Q2" s="295"/>
      <c r="R2" s="295"/>
      <c r="S2" s="295"/>
      <c r="T2" s="295"/>
      <c r="U2" s="295"/>
      <c r="V2" s="296"/>
    </row>
    <row r="3" spans="1:22" s="1" customFormat="1" ht="30.75" thickBot="1" x14ac:dyDescent="0.25">
      <c r="A3" s="295" t="s">
        <v>3381</v>
      </c>
      <c r="B3" s="295"/>
      <c r="C3" s="295"/>
      <c r="D3" s="295"/>
      <c r="E3" s="295"/>
      <c r="F3" s="295"/>
      <c r="G3" s="295"/>
      <c r="H3" s="295"/>
      <c r="I3" s="295"/>
      <c r="J3" s="295"/>
      <c r="K3" s="295"/>
      <c r="L3" s="295"/>
      <c r="M3" s="295"/>
      <c r="N3" s="295"/>
      <c r="O3" s="295"/>
      <c r="P3" s="295"/>
      <c r="Q3" s="295"/>
      <c r="R3" s="295"/>
      <c r="S3" s="295"/>
      <c r="T3" s="295"/>
      <c r="U3" s="295"/>
      <c r="V3" s="296"/>
    </row>
    <row r="4" spans="1:22" s="5" customFormat="1" ht="12.75" customHeight="1" x14ac:dyDescent="0.2">
      <c r="A4" s="297" t="s">
        <v>719</v>
      </c>
      <c r="B4" s="300" t="s">
        <v>0</v>
      </c>
      <c r="C4" s="302" t="s">
        <v>3382</v>
      </c>
      <c r="D4" s="302" t="s">
        <v>8</v>
      </c>
      <c r="E4" s="304" t="s">
        <v>9</v>
      </c>
      <c r="F4" s="304" t="s">
        <v>1</v>
      </c>
      <c r="G4" s="305" t="s">
        <v>795</v>
      </c>
      <c r="H4" s="300" t="s">
        <v>2</v>
      </c>
      <c r="I4" s="304"/>
      <c r="J4" s="304"/>
      <c r="K4" s="307"/>
      <c r="L4" s="300" t="s">
        <v>3</v>
      </c>
      <c r="M4" s="304"/>
      <c r="N4" s="304"/>
      <c r="O4" s="307"/>
      <c r="P4" s="300" t="s">
        <v>4</v>
      </c>
      <c r="Q4" s="304"/>
      <c r="R4" s="304"/>
      <c r="S4" s="307"/>
      <c r="T4" s="308" t="s">
        <v>3593</v>
      </c>
      <c r="U4" s="304" t="s">
        <v>6</v>
      </c>
      <c r="V4" s="307" t="s">
        <v>5</v>
      </c>
    </row>
    <row r="5" spans="1:22" s="5" customFormat="1" ht="23.25" customHeight="1" thickBot="1" x14ac:dyDescent="0.25">
      <c r="A5" s="298"/>
      <c r="B5" s="301"/>
      <c r="C5" s="303"/>
      <c r="D5" s="303"/>
      <c r="E5" s="303"/>
      <c r="F5" s="303"/>
      <c r="G5" s="306"/>
      <c r="H5" s="3" t="s">
        <v>892</v>
      </c>
      <c r="I5" s="2">
        <v>2</v>
      </c>
      <c r="J5" s="2">
        <v>3</v>
      </c>
      <c r="K5" s="4" t="s">
        <v>7</v>
      </c>
      <c r="L5" s="3">
        <v>1</v>
      </c>
      <c r="M5" s="2">
        <v>2</v>
      </c>
      <c r="N5" s="2">
        <v>3</v>
      </c>
      <c r="O5" s="4" t="s">
        <v>7</v>
      </c>
      <c r="P5" s="3">
        <v>1</v>
      </c>
      <c r="Q5" s="2">
        <v>2</v>
      </c>
      <c r="R5" s="2">
        <v>3</v>
      </c>
      <c r="S5" s="4" t="s">
        <v>7</v>
      </c>
      <c r="T5" s="309"/>
      <c r="U5" s="303"/>
      <c r="V5" s="310"/>
    </row>
    <row r="6" spans="1:22" ht="15" x14ac:dyDescent="0.2">
      <c r="B6" s="299" t="s">
        <v>4004</v>
      </c>
      <c r="C6" s="299"/>
      <c r="D6" s="299"/>
      <c r="E6" s="299"/>
      <c r="F6" s="299"/>
      <c r="G6" s="299"/>
      <c r="H6" s="299"/>
      <c r="I6" s="299"/>
      <c r="J6" s="299"/>
      <c r="K6" s="299"/>
      <c r="L6" s="299"/>
      <c r="M6" s="299"/>
      <c r="N6" s="299"/>
      <c r="O6" s="299"/>
      <c r="P6" s="299"/>
      <c r="Q6" s="299"/>
      <c r="R6" s="299"/>
      <c r="S6" s="299"/>
      <c r="T6" s="299"/>
      <c r="U6" s="299"/>
    </row>
    <row r="7" spans="1:22" x14ac:dyDescent="0.2">
      <c r="A7" s="43">
        <v>1</v>
      </c>
      <c r="B7" s="15" t="s">
        <v>38</v>
      </c>
      <c r="C7" s="15" t="s">
        <v>39</v>
      </c>
      <c r="D7" s="15" t="s">
        <v>40</v>
      </c>
      <c r="E7" s="15" t="str">
        <f>"2,3342"</f>
        <v>2,3342</v>
      </c>
      <c r="F7" s="15" t="s">
        <v>861</v>
      </c>
      <c r="G7" s="15" t="s">
        <v>839</v>
      </c>
      <c r="H7" s="35" t="s">
        <v>41</v>
      </c>
      <c r="I7" s="35" t="s">
        <v>42</v>
      </c>
      <c r="J7" s="38" t="s">
        <v>43</v>
      </c>
      <c r="K7" s="22"/>
      <c r="L7" s="35" t="s">
        <v>44</v>
      </c>
      <c r="M7" s="38" t="s">
        <v>45</v>
      </c>
      <c r="N7" s="38" t="s">
        <v>45</v>
      </c>
      <c r="O7" s="22"/>
      <c r="P7" s="38" t="s">
        <v>46</v>
      </c>
      <c r="Q7" s="35" t="s">
        <v>46</v>
      </c>
      <c r="R7" s="35" t="s">
        <v>47</v>
      </c>
      <c r="S7" s="22"/>
      <c r="T7" s="29">
        <v>220</v>
      </c>
      <c r="U7" s="21" t="str">
        <f>"513,5240"</f>
        <v>513,5240</v>
      </c>
      <c r="V7" s="15" t="s">
        <v>793</v>
      </c>
    </row>
    <row r="8" spans="1:22" x14ac:dyDescent="0.2">
      <c r="A8" s="43">
        <v>2</v>
      </c>
      <c r="B8" s="16" t="s">
        <v>48</v>
      </c>
      <c r="C8" s="16" t="s">
        <v>49</v>
      </c>
      <c r="D8" s="16" t="s">
        <v>50</v>
      </c>
      <c r="E8" s="16" t="str">
        <f>"2,3710"</f>
        <v>2,3710</v>
      </c>
      <c r="F8" s="16" t="s">
        <v>4020</v>
      </c>
      <c r="G8" s="16" t="s">
        <v>796</v>
      </c>
      <c r="H8" s="36" t="s">
        <v>51</v>
      </c>
      <c r="I8" s="40" t="s">
        <v>41</v>
      </c>
      <c r="J8" s="40" t="s">
        <v>41</v>
      </c>
      <c r="K8" s="24"/>
      <c r="L8" s="36" t="s">
        <v>52</v>
      </c>
      <c r="M8" s="40" t="s">
        <v>45</v>
      </c>
      <c r="N8" s="40" t="s">
        <v>45</v>
      </c>
      <c r="O8" s="24"/>
      <c r="P8" s="36" t="s">
        <v>53</v>
      </c>
      <c r="Q8" s="36" t="s">
        <v>54</v>
      </c>
      <c r="R8" s="40" t="s">
        <v>55</v>
      </c>
      <c r="S8" s="24"/>
      <c r="T8" s="30">
        <v>182.5</v>
      </c>
      <c r="U8" s="23" t="str">
        <f>"432,7075"</f>
        <v>432,7075</v>
      </c>
      <c r="V8" s="16" t="s">
        <v>792</v>
      </c>
    </row>
    <row r="9" spans="1:22" x14ac:dyDescent="0.2">
      <c r="B9" s="17" t="s">
        <v>56</v>
      </c>
      <c r="C9" s="17" t="s">
        <v>57</v>
      </c>
      <c r="D9" s="17" t="s">
        <v>58</v>
      </c>
      <c r="E9" s="17" t="str">
        <f>"2,4294"</f>
        <v>2,4294</v>
      </c>
      <c r="F9" s="17" t="s">
        <v>862</v>
      </c>
      <c r="G9" s="17" t="s">
        <v>840</v>
      </c>
      <c r="H9" s="37" t="s">
        <v>42</v>
      </c>
      <c r="I9" s="39" t="s">
        <v>43</v>
      </c>
      <c r="J9" s="37" t="s">
        <v>43</v>
      </c>
      <c r="K9" s="26"/>
      <c r="L9" s="39" t="s">
        <v>59</v>
      </c>
      <c r="M9" s="39" t="s">
        <v>60</v>
      </c>
      <c r="N9" s="39" t="s">
        <v>60</v>
      </c>
      <c r="O9" s="26"/>
      <c r="P9" s="26"/>
      <c r="Q9" s="26"/>
      <c r="R9" s="26"/>
      <c r="S9" s="26"/>
      <c r="T9" s="33">
        <v>0</v>
      </c>
      <c r="U9" s="25" t="s">
        <v>720</v>
      </c>
      <c r="V9" s="17" t="s">
        <v>791</v>
      </c>
    </row>
    <row r="11" spans="1:22" ht="15" x14ac:dyDescent="0.2">
      <c r="B11" s="294" t="s">
        <v>4005</v>
      </c>
      <c r="C11" s="294"/>
      <c r="D11" s="294"/>
      <c r="E11" s="294"/>
      <c r="F11" s="294"/>
      <c r="G11" s="294"/>
      <c r="H11" s="294"/>
      <c r="I11" s="294"/>
      <c r="J11" s="294"/>
      <c r="K11" s="294"/>
      <c r="L11" s="294"/>
      <c r="M11" s="294"/>
      <c r="N11" s="294"/>
      <c r="O11" s="294"/>
      <c r="P11" s="294"/>
      <c r="Q11" s="294"/>
      <c r="R11" s="294"/>
      <c r="S11" s="294"/>
      <c r="T11" s="294"/>
      <c r="U11" s="294"/>
    </row>
    <row r="12" spans="1:22" x14ac:dyDescent="0.2">
      <c r="A12" s="43">
        <v>1</v>
      </c>
      <c r="B12" s="15" t="s">
        <v>62</v>
      </c>
      <c r="C12" s="15" t="s">
        <v>63</v>
      </c>
      <c r="D12" s="15" t="s">
        <v>64</v>
      </c>
      <c r="E12" s="15" t="str">
        <f>"2,0790"</f>
        <v>2,0790</v>
      </c>
      <c r="F12" s="15" t="s">
        <v>4020</v>
      </c>
      <c r="G12" s="15" t="s">
        <v>833</v>
      </c>
      <c r="H12" s="35" t="s">
        <v>61</v>
      </c>
      <c r="I12" s="35" t="s">
        <v>65</v>
      </c>
      <c r="J12" s="38" t="s">
        <v>66</v>
      </c>
      <c r="K12" s="22"/>
      <c r="L12" s="35" t="s">
        <v>67</v>
      </c>
      <c r="M12" s="35" t="s">
        <v>68</v>
      </c>
      <c r="N12" s="38" t="s">
        <v>51</v>
      </c>
      <c r="O12" s="22"/>
      <c r="P12" s="35" t="s">
        <v>69</v>
      </c>
      <c r="Q12" s="35" t="s">
        <v>70</v>
      </c>
      <c r="R12" s="35" t="s">
        <v>71</v>
      </c>
      <c r="S12" s="22"/>
      <c r="T12" s="29">
        <v>290</v>
      </c>
      <c r="U12" s="21" t="str">
        <f>"602,9100"</f>
        <v>602,9100</v>
      </c>
      <c r="V12" s="15" t="s">
        <v>783</v>
      </c>
    </row>
    <row r="13" spans="1:22" x14ac:dyDescent="0.2">
      <c r="A13" s="43">
        <v>2</v>
      </c>
      <c r="B13" s="16" t="s">
        <v>72</v>
      </c>
      <c r="C13" s="16" t="s">
        <v>73</v>
      </c>
      <c r="D13" s="16" t="s">
        <v>74</v>
      </c>
      <c r="E13" s="16" t="str">
        <f>"2,1106"</f>
        <v>2,1106</v>
      </c>
      <c r="F13" s="16" t="s">
        <v>856</v>
      </c>
      <c r="G13" s="16" t="s">
        <v>800</v>
      </c>
      <c r="H13" s="36" t="s">
        <v>46</v>
      </c>
      <c r="I13" s="36" t="s">
        <v>61</v>
      </c>
      <c r="J13" s="40" t="s">
        <v>47</v>
      </c>
      <c r="K13" s="24"/>
      <c r="L13" s="36" t="s">
        <v>75</v>
      </c>
      <c r="M13" s="40" t="s">
        <v>67</v>
      </c>
      <c r="N13" s="40" t="s">
        <v>67</v>
      </c>
      <c r="O13" s="24"/>
      <c r="P13" s="36" t="s">
        <v>76</v>
      </c>
      <c r="Q13" s="40" t="s">
        <v>66</v>
      </c>
      <c r="R13" s="36" t="s">
        <v>66</v>
      </c>
      <c r="S13" s="24"/>
      <c r="T13" s="30">
        <v>260</v>
      </c>
      <c r="U13" s="23" t="str">
        <f>"548,7560"</f>
        <v>548,7560</v>
      </c>
      <c r="V13" s="16" t="s">
        <v>789</v>
      </c>
    </row>
    <row r="14" spans="1:22" x14ac:dyDescent="0.2">
      <c r="A14" s="43">
        <v>3</v>
      </c>
      <c r="B14" s="16" t="s">
        <v>77</v>
      </c>
      <c r="C14" s="16" t="s">
        <v>78</v>
      </c>
      <c r="D14" s="16" t="s">
        <v>79</v>
      </c>
      <c r="E14" s="16" t="str">
        <f>"2,1320"</f>
        <v>2,1320</v>
      </c>
      <c r="F14" s="16" t="s">
        <v>856</v>
      </c>
      <c r="G14" s="16" t="s">
        <v>800</v>
      </c>
      <c r="H14" s="36" t="s">
        <v>51</v>
      </c>
      <c r="I14" s="40" t="s">
        <v>55</v>
      </c>
      <c r="J14" s="36" t="s">
        <v>55</v>
      </c>
      <c r="K14" s="24"/>
      <c r="L14" s="36" t="s">
        <v>80</v>
      </c>
      <c r="M14" s="40" t="s">
        <v>44</v>
      </c>
      <c r="N14" s="40" t="s">
        <v>44</v>
      </c>
      <c r="O14" s="24"/>
      <c r="P14" s="36" t="s">
        <v>41</v>
      </c>
      <c r="Q14" s="36" t="s">
        <v>42</v>
      </c>
      <c r="R14" s="40" t="s">
        <v>81</v>
      </c>
      <c r="S14" s="24"/>
      <c r="T14" s="30">
        <v>195</v>
      </c>
      <c r="U14" s="23" t="str">
        <f>"415,7400"</f>
        <v>415,7400</v>
      </c>
      <c r="V14" s="16" t="s">
        <v>789</v>
      </c>
    </row>
    <row r="15" spans="1:22" x14ac:dyDescent="0.2">
      <c r="A15" s="43">
        <v>1</v>
      </c>
      <c r="B15" s="16" t="s">
        <v>82</v>
      </c>
      <c r="C15" s="16" t="s">
        <v>83</v>
      </c>
      <c r="D15" s="16" t="s">
        <v>84</v>
      </c>
      <c r="E15" s="16" t="str">
        <f>"2,1488"</f>
        <v>2,1488</v>
      </c>
      <c r="F15" s="16" t="s">
        <v>4020</v>
      </c>
      <c r="G15" s="16" t="s">
        <v>841</v>
      </c>
      <c r="H15" s="36" t="s">
        <v>85</v>
      </c>
      <c r="I15" s="36" t="s">
        <v>61</v>
      </c>
      <c r="J15" s="36" t="s">
        <v>47</v>
      </c>
      <c r="K15" s="24"/>
      <c r="L15" s="40" t="s">
        <v>86</v>
      </c>
      <c r="M15" s="36" t="s">
        <v>86</v>
      </c>
      <c r="N15" s="40" t="s">
        <v>68</v>
      </c>
      <c r="O15" s="24"/>
      <c r="P15" s="36" t="s">
        <v>76</v>
      </c>
      <c r="Q15" s="36" t="s">
        <v>66</v>
      </c>
      <c r="R15" s="36" t="s">
        <v>87</v>
      </c>
      <c r="S15" s="24"/>
      <c r="T15" s="30">
        <v>270</v>
      </c>
      <c r="U15" s="23" t="str">
        <f>"580,1760"</f>
        <v>580,1760</v>
      </c>
      <c r="V15" s="16" t="s">
        <v>790</v>
      </c>
    </row>
    <row r="16" spans="1:22" x14ac:dyDescent="0.2">
      <c r="A16" s="43">
        <v>2</v>
      </c>
      <c r="B16" s="16" t="s">
        <v>88</v>
      </c>
      <c r="C16" s="16" t="s">
        <v>89</v>
      </c>
      <c r="D16" s="16" t="s">
        <v>90</v>
      </c>
      <c r="E16" s="16" t="str">
        <f>"2,1376"</f>
        <v>2,1376</v>
      </c>
      <c r="F16" s="16" t="s">
        <v>4020</v>
      </c>
      <c r="G16" s="16" t="s">
        <v>796</v>
      </c>
      <c r="H16" s="36" t="s">
        <v>43</v>
      </c>
      <c r="I16" s="36" t="s">
        <v>85</v>
      </c>
      <c r="J16" s="40" t="s">
        <v>91</v>
      </c>
      <c r="K16" s="24"/>
      <c r="L16" s="36" t="s">
        <v>92</v>
      </c>
      <c r="M16" s="40" t="s">
        <v>93</v>
      </c>
      <c r="N16" s="36" t="s">
        <v>93</v>
      </c>
      <c r="O16" s="24"/>
      <c r="P16" s="36" t="s">
        <v>65</v>
      </c>
      <c r="Q16" s="36" t="s">
        <v>66</v>
      </c>
      <c r="R16" s="40" t="s">
        <v>69</v>
      </c>
      <c r="S16" s="24"/>
      <c r="T16" s="30">
        <v>250</v>
      </c>
      <c r="U16" s="23" t="str">
        <f>"534,4000"</f>
        <v>534,4000</v>
      </c>
      <c r="V16" s="16" t="s">
        <v>768</v>
      </c>
    </row>
    <row r="17" spans="1:22" x14ac:dyDescent="0.2">
      <c r="A17" s="43">
        <v>3</v>
      </c>
      <c r="B17" s="17" t="s">
        <v>94</v>
      </c>
      <c r="C17" s="17" t="s">
        <v>95</v>
      </c>
      <c r="D17" s="17" t="s">
        <v>96</v>
      </c>
      <c r="E17" s="17" t="str">
        <f>"2,2780"</f>
        <v>2,2780</v>
      </c>
      <c r="F17" s="17" t="s">
        <v>4020</v>
      </c>
      <c r="G17" s="17" t="s">
        <v>842</v>
      </c>
      <c r="H17" s="39" t="s">
        <v>51</v>
      </c>
      <c r="I17" s="37" t="s">
        <v>51</v>
      </c>
      <c r="J17" s="37" t="s">
        <v>41</v>
      </c>
      <c r="K17" s="26"/>
      <c r="L17" s="37" t="s">
        <v>80</v>
      </c>
      <c r="M17" s="37" t="s">
        <v>44</v>
      </c>
      <c r="N17" s="39" t="s">
        <v>92</v>
      </c>
      <c r="O17" s="26"/>
      <c r="P17" s="37" t="s">
        <v>46</v>
      </c>
      <c r="Q17" s="37" t="s">
        <v>76</v>
      </c>
      <c r="R17" s="39" t="s">
        <v>97</v>
      </c>
      <c r="S17" s="26"/>
      <c r="T17" s="31">
        <v>217.5</v>
      </c>
      <c r="U17" s="25" t="str">
        <f>"495,4650"</f>
        <v>495,4650</v>
      </c>
      <c r="V17" s="17" t="s">
        <v>755</v>
      </c>
    </row>
    <row r="19" spans="1:22" ht="15" x14ac:dyDescent="0.2">
      <c r="B19" s="294" t="s">
        <v>4006</v>
      </c>
      <c r="C19" s="294"/>
      <c r="D19" s="294"/>
      <c r="E19" s="294"/>
      <c r="F19" s="294"/>
      <c r="G19" s="294"/>
      <c r="H19" s="294"/>
      <c r="I19" s="294"/>
      <c r="J19" s="294"/>
      <c r="K19" s="294"/>
      <c r="L19" s="294"/>
      <c r="M19" s="294"/>
      <c r="N19" s="294"/>
      <c r="O19" s="294"/>
      <c r="P19" s="294"/>
      <c r="Q19" s="294"/>
      <c r="R19" s="294"/>
      <c r="S19" s="294"/>
      <c r="T19" s="294"/>
      <c r="U19" s="294"/>
    </row>
    <row r="20" spans="1:22" x14ac:dyDescent="0.2">
      <c r="A20" s="43">
        <v>1</v>
      </c>
      <c r="B20" s="15" t="s">
        <v>98</v>
      </c>
      <c r="C20" s="15" t="s">
        <v>99</v>
      </c>
      <c r="D20" s="15" t="s">
        <v>100</v>
      </c>
      <c r="E20" s="15" t="str">
        <f>"1,8520"</f>
        <v>1,8520</v>
      </c>
      <c r="F20" s="15" t="s">
        <v>856</v>
      </c>
      <c r="G20" s="15" t="s">
        <v>800</v>
      </c>
      <c r="H20" s="35" t="s">
        <v>61</v>
      </c>
      <c r="I20" s="38" t="s">
        <v>76</v>
      </c>
      <c r="J20" s="38" t="s">
        <v>76</v>
      </c>
      <c r="K20" s="22"/>
      <c r="L20" s="35" t="s">
        <v>44</v>
      </c>
      <c r="M20" s="35" t="s">
        <v>92</v>
      </c>
      <c r="N20" s="38" t="s">
        <v>59</v>
      </c>
      <c r="O20" s="22"/>
      <c r="P20" s="35" t="s">
        <v>76</v>
      </c>
      <c r="Q20" s="35" t="s">
        <v>69</v>
      </c>
      <c r="R20" s="22"/>
      <c r="S20" s="22"/>
      <c r="T20" s="29">
        <v>252.5</v>
      </c>
      <c r="U20" s="21" t="str">
        <f>"467,6300"</f>
        <v>467,6300</v>
      </c>
      <c r="V20" s="15" t="s">
        <v>789</v>
      </c>
    </row>
    <row r="21" spans="1:22" x14ac:dyDescent="0.2">
      <c r="A21" s="43">
        <v>1</v>
      </c>
      <c r="B21" s="16" t="s">
        <v>101</v>
      </c>
      <c r="C21" s="16" t="s">
        <v>102</v>
      </c>
      <c r="D21" s="16" t="s">
        <v>103</v>
      </c>
      <c r="E21" s="16" t="str">
        <f>"1,8186"</f>
        <v>1,8186</v>
      </c>
      <c r="F21" s="16" t="s">
        <v>862</v>
      </c>
      <c r="G21" s="16" t="s">
        <v>802</v>
      </c>
      <c r="H21" s="36" t="s">
        <v>104</v>
      </c>
      <c r="I21" s="36" t="s">
        <v>23</v>
      </c>
      <c r="J21" s="36" t="s">
        <v>105</v>
      </c>
      <c r="K21" s="24"/>
      <c r="L21" s="36" t="s">
        <v>42</v>
      </c>
      <c r="M21" s="40" t="s">
        <v>43</v>
      </c>
      <c r="N21" s="40" t="s">
        <v>43</v>
      </c>
      <c r="O21" s="24"/>
      <c r="P21" s="36" t="s">
        <v>11</v>
      </c>
      <c r="Q21" s="36" t="s">
        <v>106</v>
      </c>
      <c r="R21" s="40" t="s">
        <v>107</v>
      </c>
      <c r="S21" s="24"/>
      <c r="T21" s="30">
        <v>402.5</v>
      </c>
      <c r="U21" s="23" t="str">
        <f>"731,9865"</f>
        <v>731,9865</v>
      </c>
      <c r="V21" s="16" t="s">
        <v>788</v>
      </c>
    </row>
    <row r="22" spans="1:22" x14ac:dyDescent="0.2">
      <c r="A22" s="43">
        <v>2</v>
      </c>
      <c r="B22" s="17" t="s">
        <v>108</v>
      </c>
      <c r="C22" s="17" t="s">
        <v>109</v>
      </c>
      <c r="D22" s="17" t="s">
        <v>110</v>
      </c>
      <c r="E22" s="17" t="str">
        <f>"1,8436"</f>
        <v>1,8436</v>
      </c>
      <c r="F22" s="17" t="s">
        <v>111</v>
      </c>
      <c r="G22" s="17" t="s">
        <v>852</v>
      </c>
      <c r="H22" s="37" t="s">
        <v>61</v>
      </c>
      <c r="I22" s="37" t="s">
        <v>65</v>
      </c>
      <c r="J22" s="39" t="s">
        <v>69</v>
      </c>
      <c r="K22" s="26"/>
      <c r="L22" s="37" t="s">
        <v>59</v>
      </c>
      <c r="M22" s="37" t="s">
        <v>93</v>
      </c>
      <c r="N22" s="37" t="s">
        <v>75</v>
      </c>
      <c r="O22" s="26"/>
      <c r="P22" s="37" t="s">
        <v>69</v>
      </c>
      <c r="Q22" s="37" t="s">
        <v>112</v>
      </c>
      <c r="R22" s="39" t="s">
        <v>104</v>
      </c>
      <c r="S22" s="26"/>
      <c r="T22" s="31">
        <v>285</v>
      </c>
      <c r="U22" s="25" t="str">
        <f>"525,4260"</f>
        <v>525,4260</v>
      </c>
      <c r="V22" s="17" t="s">
        <v>787</v>
      </c>
    </row>
    <row r="24" spans="1:22" ht="15" x14ac:dyDescent="0.2">
      <c r="B24" s="294" t="s">
        <v>4007</v>
      </c>
      <c r="C24" s="294"/>
      <c r="D24" s="294"/>
      <c r="E24" s="294"/>
      <c r="F24" s="294"/>
      <c r="G24" s="294"/>
      <c r="H24" s="294"/>
      <c r="I24" s="294"/>
      <c r="J24" s="294"/>
      <c r="K24" s="294"/>
      <c r="L24" s="294"/>
      <c r="M24" s="294"/>
      <c r="N24" s="294"/>
      <c r="O24" s="294"/>
      <c r="P24" s="294"/>
      <c r="Q24" s="294"/>
      <c r="R24" s="294"/>
      <c r="S24" s="294"/>
      <c r="T24" s="294"/>
      <c r="U24" s="294"/>
    </row>
    <row r="25" spans="1:22" x14ac:dyDescent="0.2">
      <c r="A25" s="43">
        <v>1</v>
      </c>
      <c r="B25" s="15" t="s">
        <v>113</v>
      </c>
      <c r="C25" s="15" t="s">
        <v>114</v>
      </c>
      <c r="D25" s="15" t="s">
        <v>115</v>
      </c>
      <c r="E25" s="15" t="str">
        <f>"1,6502"</f>
        <v>1,6502</v>
      </c>
      <c r="F25" s="15" t="s">
        <v>4020</v>
      </c>
      <c r="G25" s="15" t="s">
        <v>843</v>
      </c>
      <c r="H25" s="35" t="s">
        <v>76</v>
      </c>
      <c r="I25" s="35" t="s">
        <v>69</v>
      </c>
      <c r="J25" s="38" t="s">
        <v>70</v>
      </c>
      <c r="K25" s="22"/>
      <c r="L25" s="35" t="s">
        <v>51</v>
      </c>
      <c r="M25" s="35" t="s">
        <v>41</v>
      </c>
      <c r="N25" s="35" t="s">
        <v>55</v>
      </c>
      <c r="O25" s="22"/>
      <c r="P25" s="35" t="s">
        <v>71</v>
      </c>
      <c r="Q25" s="35" t="s">
        <v>104</v>
      </c>
      <c r="R25" s="35" t="s">
        <v>116</v>
      </c>
      <c r="S25" s="22"/>
      <c r="T25" s="29">
        <v>327.5</v>
      </c>
      <c r="U25" s="21" t="str">
        <f>"540,4405"</f>
        <v>540,4405</v>
      </c>
      <c r="V25" s="15" t="s">
        <v>786</v>
      </c>
    </row>
    <row r="26" spans="1:22" x14ac:dyDescent="0.2">
      <c r="A26" s="43">
        <v>2</v>
      </c>
      <c r="B26" s="16" t="s">
        <v>117</v>
      </c>
      <c r="C26" s="16" t="s">
        <v>118</v>
      </c>
      <c r="D26" s="16" t="s">
        <v>119</v>
      </c>
      <c r="E26" s="16" t="str">
        <f>"1,7086"</f>
        <v>1,7086</v>
      </c>
      <c r="F26" s="16" t="s">
        <v>4020</v>
      </c>
      <c r="G26" s="16" t="s">
        <v>796</v>
      </c>
      <c r="H26" s="36" t="s">
        <v>76</v>
      </c>
      <c r="I26" s="40" t="s">
        <v>69</v>
      </c>
      <c r="J26" s="36" t="s">
        <v>69</v>
      </c>
      <c r="K26" s="24"/>
      <c r="L26" s="36" t="s">
        <v>86</v>
      </c>
      <c r="M26" s="36" t="s">
        <v>51</v>
      </c>
      <c r="N26" s="40" t="s">
        <v>41</v>
      </c>
      <c r="O26" s="24"/>
      <c r="P26" s="36" t="s">
        <v>71</v>
      </c>
      <c r="Q26" s="36" t="s">
        <v>23</v>
      </c>
      <c r="R26" s="36" t="s">
        <v>116</v>
      </c>
      <c r="S26" s="24"/>
      <c r="T26" s="30">
        <v>320</v>
      </c>
      <c r="U26" s="23" t="str">
        <f>"546,7520"</f>
        <v>546,7520</v>
      </c>
      <c r="V26" s="16" t="s">
        <v>3391</v>
      </c>
    </row>
    <row r="27" spans="1:22" x14ac:dyDescent="0.2">
      <c r="B27" s="17" t="s">
        <v>120</v>
      </c>
      <c r="C27" s="17" t="s">
        <v>121</v>
      </c>
      <c r="D27" s="17" t="s">
        <v>122</v>
      </c>
      <c r="E27" s="17" t="str">
        <f>"1,6518"</f>
        <v>1,6518</v>
      </c>
      <c r="F27" s="17" t="s">
        <v>857</v>
      </c>
      <c r="G27" s="17" t="s">
        <v>796</v>
      </c>
      <c r="H27" s="39" t="s">
        <v>69</v>
      </c>
      <c r="I27" s="39" t="s">
        <v>69</v>
      </c>
      <c r="J27" s="39" t="s">
        <v>69</v>
      </c>
      <c r="K27" s="26"/>
      <c r="L27" s="39"/>
      <c r="M27" s="26"/>
      <c r="N27" s="26"/>
      <c r="O27" s="26"/>
      <c r="P27" s="39"/>
      <c r="Q27" s="26"/>
      <c r="R27" s="26"/>
      <c r="S27" s="26"/>
      <c r="T27" s="33">
        <v>0</v>
      </c>
      <c r="U27" s="25" t="s">
        <v>720</v>
      </c>
      <c r="V27" s="17" t="s">
        <v>785</v>
      </c>
    </row>
    <row r="29" spans="1:22" ht="15" x14ac:dyDescent="0.2">
      <c r="B29" s="294" t="s">
        <v>4008</v>
      </c>
      <c r="C29" s="294"/>
      <c r="D29" s="294"/>
      <c r="E29" s="294"/>
      <c r="F29" s="294"/>
      <c r="G29" s="294"/>
      <c r="H29" s="294"/>
      <c r="I29" s="294"/>
      <c r="J29" s="294"/>
      <c r="K29" s="294"/>
      <c r="L29" s="294"/>
      <c r="M29" s="294"/>
      <c r="N29" s="294"/>
      <c r="O29" s="294"/>
      <c r="P29" s="294"/>
      <c r="Q29" s="294"/>
      <c r="R29" s="294"/>
      <c r="S29" s="294"/>
      <c r="T29" s="294"/>
      <c r="U29" s="294"/>
    </row>
    <row r="30" spans="1:22" x14ac:dyDescent="0.2">
      <c r="A30" s="43">
        <v>1</v>
      </c>
      <c r="B30" s="15" t="s">
        <v>123</v>
      </c>
      <c r="C30" s="15" t="s">
        <v>124</v>
      </c>
      <c r="D30" s="15" t="s">
        <v>125</v>
      </c>
      <c r="E30" s="15" t="str">
        <f>"1,5788"</f>
        <v>1,5788</v>
      </c>
      <c r="F30" s="15" t="s">
        <v>4020</v>
      </c>
      <c r="G30" s="15" t="s">
        <v>796</v>
      </c>
      <c r="H30" s="35" t="s">
        <v>104</v>
      </c>
      <c r="I30" s="38" t="s">
        <v>116</v>
      </c>
      <c r="J30" s="35" t="s">
        <v>126</v>
      </c>
      <c r="K30" s="22"/>
      <c r="L30" s="38" t="s">
        <v>42</v>
      </c>
      <c r="M30" s="35" t="s">
        <v>42</v>
      </c>
      <c r="N30" s="38" t="s">
        <v>81</v>
      </c>
      <c r="O30" s="22"/>
      <c r="P30" s="35" t="s">
        <v>127</v>
      </c>
      <c r="Q30" s="35" t="s">
        <v>30</v>
      </c>
      <c r="R30" s="22"/>
      <c r="S30" s="22"/>
      <c r="T30" s="29">
        <v>392.5</v>
      </c>
      <c r="U30" s="21" t="str">
        <f>"619,6790"</f>
        <v>619,6790</v>
      </c>
      <c r="V30" s="15" t="s">
        <v>784</v>
      </c>
    </row>
    <row r="31" spans="1:22" x14ac:dyDescent="0.2">
      <c r="A31" s="43">
        <v>2</v>
      </c>
      <c r="B31" s="17" t="s">
        <v>128</v>
      </c>
      <c r="C31" s="17" t="s">
        <v>129</v>
      </c>
      <c r="D31" s="17" t="s">
        <v>130</v>
      </c>
      <c r="E31" s="17" t="str">
        <f>"1,6196"</f>
        <v>1,6196</v>
      </c>
      <c r="F31" s="17" t="s">
        <v>862</v>
      </c>
      <c r="G31" s="17" t="s">
        <v>796</v>
      </c>
      <c r="H31" s="37" t="s">
        <v>76</v>
      </c>
      <c r="I31" s="39" t="s">
        <v>66</v>
      </c>
      <c r="J31" s="39" t="s">
        <v>69</v>
      </c>
      <c r="K31" s="26"/>
      <c r="L31" s="37" t="s">
        <v>93</v>
      </c>
      <c r="M31" s="37" t="s">
        <v>86</v>
      </c>
      <c r="N31" s="39" t="s">
        <v>67</v>
      </c>
      <c r="O31" s="26"/>
      <c r="P31" s="37" t="s">
        <v>23</v>
      </c>
      <c r="Q31" s="39" t="s">
        <v>116</v>
      </c>
      <c r="R31" s="26"/>
      <c r="S31" s="26"/>
      <c r="T31" s="31">
        <v>295</v>
      </c>
      <c r="U31" s="25" t="str">
        <f>"477,7820"</f>
        <v>477,7820</v>
      </c>
      <c r="V31" s="17" t="s">
        <v>758</v>
      </c>
    </row>
    <row r="32" spans="1:22" x14ac:dyDescent="0.2">
      <c r="N32" s="46"/>
    </row>
    <row r="33" spans="1:22" ht="15" x14ac:dyDescent="0.2">
      <c r="B33" s="294" t="s">
        <v>4006</v>
      </c>
      <c r="C33" s="294"/>
      <c r="D33" s="294"/>
      <c r="E33" s="294"/>
      <c r="F33" s="294"/>
      <c r="G33" s="294"/>
      <c r="H33" s="294"/>
      <c r="I33" s="294"/>
      <c r="J33" s="294"/>
      <c r="K33" s="294"/>
      <c r="L33" s="294"/>
      <c r="M33" s="294"/>
      <c r="N33" s="294"/>
      <c r="O33" s="294"/>
      <c r="P33" s="294"/>
      <c r="Q33" s="294"/>
      <c r="R33" s="294"/>
      <c r="S33" s="294"/>
      <c r="T33" s="294"/>
      <c r="U33" s="294"/>
    </row>
    <row r="34" spans="1:22" x14ac:dyDescent="0.2">
      <c r="A34" s="43">
        <v>1</v>
      </c>
      <c r="B34" s="7" t="s">
        <v>131</v>
      </c>
      <c r="C34" s="7" t="s">
        <v>132</v>
      </c>
      <c r="D34" s="7" t="s">
        <v>133</v>
      </c>
      <c r="E34" s="7" t="str">
        <f>"1,4708"</f>
        <v>1,4708</v>
      </c>
      <c r="F34" s="7" t="s">
        <v>865</v>
      </c>
      <c r="G34" s="7" t="s">
        <v>866</v>
      </c>
      <c r="H34" s="34" t="s">
        <v>70</v>
      </c>
      <c r="I34" s="34" t="s">
        <v>112</v>
      </c>
      <c r="J34" s="41" t="s">
        <v>23</v>
      </c>
      <c r="K34" s="20"/>
      <c r="L34" s="34" t="s">
        <v>81</v>
      </c>
      <c r="M34" s="41" t="s">
        <v>61</v>
      </c>
      <c r="N34" s="41" t="s">
        <v>61</v>
      </c>
      <c r="O34" s="20"/>
      <c r="P34" s="34" t="s">
        <v>11</v>
      </c>
      <c r="Q34" s="34" t="s">
        <v>134</v>
      </c>
      <c r="R34" s="41" t="s">
        <v>135</v>
      </c>
      <c r="S34" s="20"/>
      <c r="T34" s="28">
        <v>406</v>
      </c>
      <c r="U34" s="19" t="str">
        <f>"597,1448"</f>
        <v>597,1448</v>
      </c>
      <c r="V34" s="7" t="s">
        <v>136</v>
      </c>
    </row>
    <row r="36" spans="1:22" ht="15" x14ac:dyDescent="0.2">
      <c r="B36" s="294" t="s">
        <v>4007</v>
      </c>
      <c r="C36" s="294"/>
      <c r="D36" s="294"/>
      <c r="E36" s="294"/>
      <c r="F36" s="294"/>
      <c r="G36" s="294"/>
      <c r="H36" s="294"/>
      <c r="I36" s="294"/>
      <c r="J36" s="294"/>
      <c r="K36" s="294"/>
      <c r="L36" s="294"/>
      <c r="M36" s="294"/>
      <c r="N36" s="294"/>
      <c r="O36" s="294"/>
      <c r="P36" s="294"/>
      <c r="Q36" s="294"/>
      <c r="R36" s="294"/>
      <c r="S36" s="294"/>
      <c r="T36" s="294"/>
      <c r="U36" s="294"/>
    </row>
    <row r="37" spans="1:22" x14ac:dyDescent="0.2">
      <c r="A37" s="43">
        <v>1</v>
      </c>
      <c r="B37" s="15" t="s">
        <v>137</v>
      </c>
      <c r="C37" s="15" t="s">
        <v>138</v>
      </c>
      <c r="D37" s="15" t="s">
        <v>139</v>
      </c>
      <c r="E37" s="15" t="str">
        <f>"1,2370"</f>
        <v>1,2370</v>
      </c>
      <c r="F37" s="15" t="s">
        <v>4020</v>
      </c>
      <c r="G37" s="15" t="s">
        <v>833</v>
      </c>
      <c r="H37" s="38" t="s">
        <v>107</v>
      </c>
      <c r="I37" s="35" t="s">
        <v>107</v>
      </c>
      <c r="J37" s="35" t="s">
        <v>140</v>
      </c>
      <c r="K37" s="22"/>
      <c r="L37" s="35" t="s">
        <v>25</v>
      </c>
      <c r="M37" s="38" t="s">
        <v>141</v>
      </c>
      <c r="N37" s="38" t="s">
        <v>142</v>
      </c>
      <c r="O37" s="22"/>
      <c r="P37" s="35" t="s">
        <v>143</v>
      </c>
      <c r="Q37" s="35" t="s">
        <v>24</v>
      </c>
      <c r="R37" s="35" t="s">
        <v>144</v>
      </c>
      <c r="S37" s="22"/>
      <c r="T37" s="29">
        <v>585</v>
      </c>
      <c r="U37" s="21" t="str">
        <f>"723,6450"</f>
        <v>723,6450</v>
      </c>
      <c r="V37" s="15" t="s">
        <v>783</v>
      </c>
    </row>
    <row r="38" spans="1:22" x14ac:dyDescent="0.2">
      <c r="A38" s="43">
        <v>2</v>
      </c>
      <c r="B38" s="16" t="s">
        <v>145</v>
      </c>
      <c r="C38" s="16" t="s">
        <v>146</v>
      </c>
      <c r="D38" s="16" t="s">
        <v>147</v>
      </c>
      <c r="E38" s="16" t="str">
        <f>"1,2460"</f>
        <v>1,2460</v>
      </c>
      <c r="F38" s="16" t="s">
        <v>4020</v>
      </c>
      <c r="G38" s="16" t="s">
        <v>796</v>
      </c>
      <c r="H38" s="36" t="s">
        <v>126</v>
      </c>
      <c r="I38" s="36" t="s">
        <v>148</v>
      </c>
      <c r="J38" s="36" t="s">
        <v>149</v>
      </c>
      <c r="K38" s="24"/>
      <c r="L38" s="36" t="s">
        <v>76</v>
      </c>
      <c r="M38" s="40" t="s">
        <v>97</v>
      </c>
      <c r="N38" s="36" t="s">
        <v>66</v>
      </c>
      <c r="O38" s="24"/>
      <c r="P38" s="36" t="s">
        <v>25</v>
      </c>
      <c r="Q38" s="36" t="s">
        <v>127</v>
      </c>
      <c r="R38" s="36" t="s">
        <v>141</v>
      </c>
      <c r="S38" s="24"/>
      <c r="T38" s="30">
        <v>430</v>
      </c>
      <c r="U38" s="23" t="str">
        <f>"535,7800"</f>
        <v>535,7800</v>
      </c>
      <c r="V38" s="16" t="s">
        <v>3391</v>
      </c>
    </row>
    <row r="39" spans="1:22" x14ac:dyDescent="0.2">
      <c r="A39" s="43">
        <v>1</v>
      </c>
      <c r="B39" s="16" t="s">
        <v>150</v>
      </c>
      <c r="C39" s="16" t="s">
        <v>151</v>
      </c>
      <c r="D39" s="16" t="s">
        <v>115</v>
      </c>
      <c r="E39" s="16" t="str">
        <f>"1,2508"</f>
        <v>1,2508</v>
      </c>
      <c r="F39" s="16" t="s">
        <v>492</v>
      </c>
      <c r="G39" s="16" t="s">
        <v>867</v>
      </c>
      <c r="H39" s="40" t="s">
        <v>36</v>
      </c>
      <c r="I39" s="36" t="s">
        <v>127</v>
      </c>
      <c r="J39" s="40" t="s">
        <v>142</v>
      </c>
      <c r="K39" s="24"/>
      <c r="L39" s="36" t="s">
        <v>42</v>
      </c>
      <c r="M39" s="36" t="s">
        <v>43</v>
      </c>
      <c r="N39" s="40" t="s">
        <v>81</v>
      </c>
      <c r="O39" s="24"/>
      <c r="P39" s="40" t="s">
        <v>127</v>
      </c>
      <c r="Q39" s="36" t="s">
        <v>142</v>
      </c>
      <c r="R39" s="40" t="s">
        <v>11</v>
      </c>
      <c r="S39" s="24"/>
      <c r="T39" s="30">
        <v>412.5</v>
      </c>
      <c r="U39" s="23" t="str">
        <f>"515,9550"</f>
        <v>515,9550</v>
      </c>
      <c r="V39" s="16" t="s">
        <v>3391</v>
      </c>
    </row>
    <row r="40" spans="1:22" x14ac:dyDescent="0.2">
      <c r="A40" s="43">
        <v>1</v>
      </c>
      <c r="B40" s="16" t="s">
        <v>152</v>
      </c>
      <c r="C40" s="16" t="s">
        <v>153</v>
      </c>
      <c r="D40" s="16" t="s">
        <v>154</v>
      </c>
      <c r="E40" s="16" t="str">
        <f>"1,2428"</f>
        <v>1,2428</v>
      </c>
      <c r="F40" s="16" t="s">
        <v>4020</v>
      </c>
      <c r="G40" s="16" t="s">
        <v>796</v>
      </c>
      <c r="H40" s="36" t="s">
        <v>155</v>
      </c>
      <c r="I40" s="36" t="s">
        <v>142</v>
      </c>
      <c r="J40" s="36" t="s">
        <v>156</v>
      </c>
      <c r="K40" s="24"/>
      <c r="L40" s="36" t="s">
        <v>157</v>
      </c>
      <c r="M40" s="36" t="s">
        <v>158</v>
      </c>
      <c r="N40" s="40" t="s">
        <v>104</v>
      </c>
      <c r="O40" s="24"/>
      <c r="P40" s="36" t="s">
        <v>142</v>
      </c>
      <c r="Q40" s="40" t="s">
        <v>11</v>
      </c>
      <c r="R40" s="40" t="s">
        <v>11</v>
      </c>
      <c r="S40" s="24"/>
      <c r="T40" s="30">
        <v>472.5</v>
      </c>
      <c r="U40" s="23" t="str">
        <f>"587,2230"</f>
        <v>587,2230</v>
      </c>
      <c r="V40" s="16" t="s">
        <v>3391</v>
      </c>
    </row>
    <row r="41" spans="1:22" x14ac:dyDescent="0.2">
      <c r="A41" s="43">
        <v>2</v>
      </c>
      <c r="B41" s="17" t="s">
        <v>159</v>
      </c>
      <c r="C41" s="17" t="s">
        <v>160</v>
      </c>
      <c r="D41" s="17" t="s">
        <v>161</v>
      </c>
      <c r="E41" s="17" t="str">
        <f>"1,3070"</f>
        <v>1,3070</v>
      </c>
      <c r="F41" s="17" t="s">
        <v>4020</v>
      </c>
      <c r="G41" s="17" t="s">
        <v>796</v>
      </c>
      <c r="H41" s="37" t="s">
        <v>46</v>
      </c>
      <c r="I41" s="37" t="s">
        <v>76</v>
      </c>
      <c r="J41" s="37" t="s">
        <v>69</v>
      </c>
      <c r="K41" s="26"/>
      <c r="L41" s="37" t="s">
        <v>42</v>
      </c>
      <c r="M41" s="37" t="s">
        <v>46</v>
      </c>
      <c r="N41" s="39" t="s">
        <v>76</v>
      </c>
      <c r="O41" s="26"/>
      <c r="P41" s="37" t="s">
        <v>69</v>
      </c>
      <c r="Q41" s="37" t="s">
        <v>71</v>
      </c>
      <c r="R41" s="39" t="s">
        <v>104</v>
      </c>
      <c r="S41" s="26"/>
      <c r="T41" s="31">
        <v>320</v>
      </c>
      <c r="U41" s="25" t="str">
        <f>"418,2400"</f>
        <v>418,2400</v>
      </c>
      <c r="V41" s="17" t="s">
        <v>3391</v>
      </c>
    </row>
    <row r="43" spans="1:22" ht="15" x14ac:dyDescent="0.2">
      <c r="B43" s="294" t="s">
        <v>4008</v>
      </c>
      <c r="C43" s="294"/>
      <c r="D43" s="294"/>
      <c r="E43" s="294"/>
      <c r="F43" s="294"/>
      <c r="G43" s="294"/>
      <c r="H43" s="294"/>
      <c r="I43" s="294"/>
      <c r="J43" s="294"/>
      <c r="K43" s="294"/>
      <c r="L43" s="294"/>
      <c r="M43" s="294"/>
      <c r="N43" s="294"/>
      <c r="O43" s="294"/>
      <c r="P43" s="294"/>
      <c r="Q43" s="294"/>
      <c r="R43" s="294"/>
      <c r="S43" s="294"/>
      <c r="T43" s="294"/>
      <c r="U43" s="294"/>
    </row>
    <row r="44" spans="1:22" x14ac:dyDescent="0.2">
      <c r="A44" s="43">
        <v>1</v>
      </c>
      <c r="B44" s="15" t="s">
        <v>162</v>
      </c>
      <c r="C44" s="15" t="s">
        <v>163</v>
      </c>
      <c r="D44" s="15" t="s">
        <v>164</v>
      </c>
      <c r="E44" s="15" t="str">
        <f>"1,1454"</f>
        <v>1,1454</v>
      </c>
      <c r="F44" s="15" t="s">
        <v>4020</v>
      </c>
      <c r="G44" s="15" t="s">
        <v>844</v>
      </c>
      <c r="H44" s="35" t="s">
        <v>142</v>
      </c>
      <c r="I44" s="35" t="s">
        <v>11</v>
      </c>
      <c r="J44" s="38" t="s">
        <v>106</v>
      </c>
      <c r="K44" s="22"/>
      <c r="L44" s="35" t="s">
        <v>158</v>
      </c>
      <c r="M44" s="38" t="s">
        <v>165</v>
      </c>
      <c r="N44" s="35" t="s">
        <v>165</v>
      </c>
      <c r="O44" s="22"/>
      <c r="P44" s="35" t="s">
        <v>11</v>
      </c>
      <c r="Q44" s="35" t="s">
        <v>166</v>
      </c>
      <c r="R44" s="35" t="s">
        <v>135</v>
      </c>
      <c r="S44" s="22"/>
      <c r="T44" s="29">
        <v>517.5</v>
      </c>
      <c r="U44" s="21" t="str">
        <f>"592,7445"</f>
        <v>592,7445</v>
      </c>
      <c r="V44" s="15" t="s">
        <v>779</v>
      </c>
    </row>
    <row r="45" spans="1:22" x14ac:dyDescent="0.2">
      <c r="A45" s="43">
        <v>2</v>
      </c>
      <c r="B45" s="16" t="s">
        <v>167</v>
      </c>
      <c r="C45" s="16" t="s">
        <v>168</v>
      </c>
      <c r="D45" s="16" t="s">
        <v>22</v>
      </c>
      <c r="E45" s="16" t="str">
        <f>"1,1256"</f>
        <v>1,1256</v>
      </c>
      <c r="F45" s="16" t="s">
        <v>4020</v>
      </c>
      <c r="G45" s="16" t="s">
        <v>833</v>
      </c>
      <c r="H45" s="36" t="s">
        <v>36</v>
      </c>
      <c r="I45" s="36" t="s">
        <v>127</v>
      </c>
      <c r="J45" s="40" t="s">
        <v>30</v>
      </c>
      <c r="K45" s="24"/>
      <c r="L45" s="36" t="s">
        <v>69</v>
      </c>
      <c r="M45" s="36" t="s">
        <v>169</v>
      </c>
      <c r="N45" s="40" t="s">
        <v>157</v>
      </c>
      <c r="O45" s="24"/>
      <c r="P45" s="36" t="s">
        <v>142</v>
      </c>
      <c r="Q45" s="36" t="s">
        <v>11</v>
      </c>
      <c r="R45" s="36" t="s">
        <v>107</v>
      </c>
      <c r="S45" s="24"/>
      <c r="T45" s="30">
        <v>467.5</v>
      </c>
      <c r="U45" s="23" t="str">
        <f>"526,2180"</f>
        <v>526,2180</v>
      </c>
      <c r="V45" s="16" t="s">
        <v>170</v>
      </c>
    </row>
    <row r="46" spans="1:22" x14ac:dyDescent="0.2">
      <c r="A46" s="43">
        <v>3</v>
      </c>
      <c r="B46" s="16" t="s">
        <v>171</v>
      </c>
      <c r="C46" s="16" t="s">
        <v>172</v>
      </c>
      <c r="D46" s="16" t="s">
        <v>173</v>
      </c>
      <c r="E46" s="16" t="str">
        <f>"1,1502"</f>
        <v>1,1502</v>
      </c>
      <c r="F46" s="16" t="s">
        <v>4020</v>
      </c>
      <c r="G46" s="16" t="s">
        <v>796</v>
      </c>
      <c r="H46" s="36" t="s">
        <v>104</v>
      </c>
      <c r="I46" s="36" t="s">
        <v>116</v>
      </c>
      <c r="J46" s="40" t="s">
        <v>36</v>
      </c>
      <c r="K46" s="24"/>
      <c r="L46" s="36" t="s">
        <v>70</v>
      </c>
      <c r="M46" s="40" t="s">
        <v>157</v>
      </c>
      <c r="N46" s="40" t="s">
        <v>112</v>
      </c>
      <c r="O46" s="24"/>
      <c r="P46" s="36" t="s">
        <v>141</v>
      </c>
      <c r="Q46" s="40" t="s">
        <v>156</v>
      </c>
      <c r="R46" s="40" t="s">
        <v>156</v>
      </c>
      <c r="S46" s="24"/>
      <c r="T46" s="30">
        <v>420</v>
      </c>
      <c r="U46" s="23" t="str">
        <f>"483,0840"</f>
        <v>483,0840</v>
      </c>
      <c r="V46" s="16" t="s">
        <v>777</v>
      </c>
    </row>
    <row r="47" spans="1:22" x14ac:dyDescent="0.2">
      <c r="A47" s="43">
        <v>4</v>
      </c>
      <c r="B47" s="16" t="s">
        <v>174</v>
      </c>
      <c r="C47" s="16" t="s">
        <v>175</v>
      </c>
      <c r="D47" s="16" t="s">
        <v>176</v>
      </c>
      <c r="E47" s="16" t="str">
        <f>"1,1366"</f>
        <v>1,1366</v>
      </c>
      <c r="F47" s="16" t="s">
        <v>4020</v>
      </c>
      <c r="G47" s="16" t="s">
        <v>845</v>
      </c>
      <c r="H47" s="36" t="s">
        <v>23</v>
      </c>
      <c r="I47" s="36" t="s">
        <v>126</v>
      </c>
      <c r="J47" s="36" t="s">
        <v>25</v>
      </c>
      <c r="K47" s="24"/>
      <c r="L47" s="40" t="s">
        <v>46</v>
      </c>
      <c r="M47" s="36" t="s">
        <v>46</v>
      </c>
      <c r="N47" s="40" t="s">
        <v>61</v>
      </c>
      <c r="O47" s="24"/>
      <c r="P47" s="36" t="s">
        <v>116</v>
      </c>
      <c r="Q47" s="36" t="s">
        <v>148</v>
      </c>
      <c r="R47" s="40" t="s">
        <v>127</v>
      </c>
      <c r="S47" s="24"/>
      <c r="T47" s="30">
        <v>397.5</v>
      </c>
      <c r="U47" s="23" t="str">
        <f>"451,7985"</f>
        <v>451,7985</v>
      </c>
      <c r="V47" s="16" t="s">
        <v>3391</v>
      </c>
    </row>
    <row r="48" spans="1:22" x14ac:dyDescent="0.2">
      <c r="A48" s="43">
        <v>1</v>
      </c>
      <c r="B48" s="16" t="s">
        <v>177</v>
      </c>
      <c r="C48" s="16" t="s">
        <v>178</v>
      </c>
      <c r="D48" s="16" t="s">
        <v>179</v>
      </c>
      <c r="E48" s="16" t="str">
        <f>"1,1486"</f>
        <v>1,1486</v>
      </c>
      <c r="F48" s="16" t="s">
        <v>4020</v>
      </c>
      <c r="G48" s="16" t="s">
        <v>796</v>
      </c>
      <c r="H48" s="36" t="s">
        <v>104</v>
      </c>
      <c r="I48" s="36" t="s">
        <v>126</v>
      </c>
      <c r="J48" s="36" t="s">
        <v>36</v>
      </c>
      <c r="K48" s="24"/>
      <c r="L48" s="36" t="s">
        <v>42</v>
      </c>
      <c r="M48" s="36" t="s">
        <v>85</v>
      </c>
      <c r="N48" s="40" t="s">
        <v>46</v>
      </c>
      <c r="O48" s="24"/>
      <c r="P48" s="36" t="s">
        <v>36</v>
      </c>
      <c r="Q48" s="36" t="s">
        <v>127</v>
      </c>
      <c r="R48" s="36" t="s">
        <v>155</v>
      </c>
      <c r="S48" s="24"/>
      <c r="T48" s="30">
        <v>400</v>
      </c>
      <c r="U48" s="23" t="str">
        <f>"459,4400"</f>
        <v>459,4400</v>
      </c>
      <c r="V48" s="16" t="s">
        <v>3391</v>
      </c>
    </row>
    <row r="49" spans="1:22" x14ac:dyDescent="0.2">
      <c r="A49" s="43">
        <v>2</v>
      </c>
      <c r="B49" s="17" t="s">
        <v>180</v>
      </c>
      <c r="C49" s="17" t="s">
        <v>181</v>
      </c>
      <c r="D49" s="17" t="s">
        <v>182</v>
      </c>
      <c r="E49" s="17" t="str">
        <f>"1,1620"</f>
        <v>1,1620</v>
      </c>
      <c r="F49" s="17" t="s">
        <v>4020</v>
      </c>
      <c r="G49" s="17" t="s">
        <v>796</v>
      </c>
      <c r="H49" s="37" t="s">
        <v>69</v>
      </c>
      <c r="I49" s="37" t="s">
        <v>71</v>
      </c>
      <c r="J49" s="37" t="s">
        <v>104</v>
      </c>
      <c r="K49" s="26"/>
      <c r="L49" s="39" t="s">
        <v>46</v>
      </c>
      <c r="M49" s="37" t="s">
        <v>61</v>
      </c>
      <c r="N49" s="39" t="s">
        <v>76</v>
      </c>
      <c r="O49" s="26"/>
      <c r="P49" s="37" t="s">
        <v>116</v>
      </c>
      <c r="Q49" s="37" t="s">
        <v>36</v>
      </c>
      <c r="R49" s="37" t="s">
        <v>127</v>
      </c>
      <c r="S49" s="26"/>
      <c r="T49" s="31">
        <v>385</v>
      </c>
      <c r="U49" s="25" t="str">
        <f>"447,3700"</f>
        <v>447,3700</v>
      </c>
      <c r="V49" s="17" t="s">
        <v>3391</v>
      </c>
    </row>
    <row r="51" spans="1:22" ht="15" x14ac:dyDescent="0.2">
      <c r="B51" s="294" t="s">
        <v>4009</v>
      </c>
      <c r="C51" s="294"/>
      <c r="D51" s="294"/>
      <c r="E51" s="294"/>
      <c r="F51" s="294"/>
      <c r="G51" s="294"/>
      <c r="H51" s="294"/>
      <c r="I51" s="294"/>
      <c r="J51" s="294"/>
      <c r="K51" s="294"/>
      <c r="L51" s="294"/>
      <c r="M51" s="294"/>
      <c r="N51" s="294"/>
      <c r="O51" s="294"/>
      <c r="P51" s="294"/>
      <c r="Q51" s="294"/>
      <c r="R51" s="294"/>
      <c r="S51" s="294"/>
      <c r="T51" s="294"/>
      <c r="U51" s="294"/>
    </row>
    <row r="52" spans="1:22" x14ac:dyDescent="0.2">
      <c r="A52" s="43">
        <v>1</v>
      </c>
      <c r="B52" s="15" t="s">
        <v>183</v>
      </c>
      <c r="C52" s="15" t="s">
        <v>184</v>
      </c>
      <c r="D52" s="15" t="s">
        <v>185</v>
      </c>
      <c r="E52" s="15" t="str">
        <f>"1,0504"</f>
        <v>1,0504</v>
      </c>
      <c r="F52" s="15" t="s">
        <v>4020</v>
      </c>
      <c r="G52" s="15" t="s">
        <v>814</v>
      </c>
      <c r="H52" s="35" t="s">
        <v>11</v>
      </c>
      <c r="I52" s="35" t="s">
        <v>166</v>
      </c>
      <c r="J52" s="35" t="s">
        <v>140</v>
      </c>
      <c r="K52" s="22"/>
      <c r="L52" s="35" t="s">
        <v>104</v>
      </c>
      <c r="M52" s="35" t="s">
        <v>116</v>
      </c>
      <c r="N52" s="38" t="s">
        <v>186</v>
      </c>
      <c r="O52" s="22"/>
      <c r="P52" s="35" t="s">
        <v>187</v>
      </c>
      <c r="Q52" s="35" t="s">
        <v>188</v>
      </c>
      <c r="R52" s="35" t="s">
        <v>189</v>
      </c>
      <c r="S52" s="22"/>
      <c r="T52" s="29">
        <v>577.5</v>
      </c>
      <c r="U52" s="21" t="str">
        <f>"606,6060"</f>
        <v>606,6060</v>
      </c>
      <c r="V52" s="15" t="s">
        <v>782</v>
      </c>
    </row>
    <row r="53" spans="1:22" x14ac:dyDescent="0.2">
      <c r="A53" s="43">
        <v>2</v>
      </c>
      <c r="B53" s="16" t="s">
        <v>190</v>
      </c>
      <c r="C53" s="16" t="s">
        <v>191</v>
      </c>
      <c r="D53" s="16" t="s">
        <v>192</v>
      </c>
      <c r="E53" s="16" t="str">
        <f>"1,0428"</f>
        <v>1,0428</v>
      </c>
      <c r="F53" s="16" t="s">
        <v>4020</v>
      </c>
      <c r="G53" s="16" t="s">
        <v>846</v>
      </c>
      <c r="H53" s="36" t="s">
        <v>156</v>
      </c>
      <c r="I53" s="36" t="s">
        <v>106</v>
      </c>
      <c r="J53" s="40" t="s">
        <v>107</v>
      </c>
      <c r="K53" s="24"/>
      <c r="L53" s="36" t="s">
        <v>157</v>
      </c>
      <c r="M53" s="36" t="s">
        <v>158</v>
      </c>
      <c r="N53" s="36" t="s">
        <v>165</v>
      </c>
      <c r="O53" s="24"/>
      <c r="P53" s="36" t="s">
        <v>140</v>
      </c>
      <c r="Q53" s="36" t="s">
        <v>143</v>
      </c>
      <c r="R53" s="36" t="s">
        <v>187</v>
      </c>
      <c r="S53" s="24"/>
      <c r="T53" s="30">
        <v>532.5</v>
      </c>
      <c r="U53" s="23" t="str">
        <f>"555,2910"</f>
        <v>555,2910</v>
      </c>
      <c r="V53" s="16" t="s">
        <v>3391</v>
      </c>
    </row>
    <row r="54" spans="1:22" x14ac:dyDescent="0.2">
      <c r="A54" s="43">
        <v>3</v>
      </c>
      <c r="B54" s="16" t="s">
        <v>193</v>
      </c>
      <c r="C54" s="16" t="s">
        <v>194</v>
      </c>
      <c r="D54" s="16" t="s">
        <v>195</v>
      </c>
      <c r="E54" s="16" t="str">
        <f>"1,0540"</f>
        <v>1,0540</v>
      </c>
      <c r="F54" s="16" t="s">
        <v>4020</v>
      </c>
      <c r="G54" s="16" t="s">
        <v>796</v>
      </c>
      <c r="H54" s="36" t="s">
        <v>126</v>
      </c>
      <c r="I54" s="40" t="s">
        <v>25</v>
      </c>
      <c r="J54" s="36" t="s">
        <v>25</v>
      </c>
      <c r="K54" s="24"/>
      <c r="L54" s="36" t="s">
        <v>70</v>
      </c>
      <c r="M54" s="36" t="s">
        <v>71</v>
      </c>
      <c r="N54" s="40" t="s">
        <v>112</v>
      </c>
      <c r="O54" s="24"/>
      <c r="P54" s="36" t="s">
        <v>156</v>
      </c>
      <c r="Q54" s="36" t="s">
        <v>106</v>
      </c>
      <c r="R54" s="36" t="s">
        <v>140</v>
      </c>
      <c r="S54" s="24"/>
      <c r="T54" s="30">
        <v>475</v>
      </c>
      <c r="U54" s="23" t="str">
        <f>"500,6500"</f>
        <v>500,6500</v>
      </c>
      <c r="V54" s="16" t="s">
        <v>3391</v>
      </c>
    </row>
    <row r="55" spans="1:22" x14ac:dyDescent="0.2">
      <c r="A55" s="43">
        <v>4</v>
      </c>
      <c r="B55" s="16" t="s">
        <v>196</v>
      </c>
      <c r="C55" s="16" t="s">
        <v>197</v>
      </c>
      <c r="D55" s="16" t="s">
        <v>198</v>
      </c>
      <c r="E55" s="16" t="str">
        <f>"1,0340"</f>
        <v>1,0340</v>
      </c>
      <c r="F55" s="16" t="s">
        <v>4020</v>
      </c>
      <c r="G55" s="16" t="s">
        <v>846</v>
      </c>
      <c r="H55" s="36" t="s">
        <v>36</v>
      </c>
      <c r="I55" s="40" t="s">
        <v>149</v>
      </c>
      <c r="J55" s="40" t="s">
        <v>149</v>
      </c>
      <c r="K55" s="24"/>
      <c r="L55" s="36" t="s">
        <v>169</v>
      </c>
      <c r="M55" s="40" t="s">
        <v>157</v>
      </c>
      <c r="N55" s="40" t="s">
        <v>157</v>
      </c>
      <c r="O55" s="24"/>
      <c r="P55" s="36" t="s">
        <v>11</v>
      </c>
      <c r="Q55" s="40" t="s">
        <v>107</v>
      </c>
      <c r="R55" s="36" t="s">
        <v>107</v>
      </c>
      <c r="S55" s="24"/>
      <c r="T55" s="30">
        <v>457.5</v>
      </c>
      <c r="U55" s="23" t="str">
        <f>"473,0550"</f>
        <v>473,0550</v>
      </c>
      <c r="V55" s="16" t="s">
        <v>781</v>
      </c>
    </row>
    <row r="56" spans="1:22" x14ac:dyDescent="0.2">
      <c r="A56" s="43">
        <v>1</v>
      </c>
      <c r="B56" s="17" t="s">
        <v>199</v>
      </c>
      <c r="C56" s="17" t="s">
        <v>200</v>
      </c>
      <c r="D56" s="17" t="s">
        <v>201</v>
      </c>
      <c r="E56" s="17" t="str">
        <f>"1,0298"</f>
        <v>1,0298</v>
      </c>
      <c r="F56" s="17" t="s">
        <v>863</v>
      </c>
      <c r="G56" s="17" t="s">
        <v>834</v>
      </c>
      <c r="H56" s="37" t="s">
        <v>25</v>
      </c>
      <c r="I56" s="37" t="s">
        <v>141</v>
      </c>
      <c r="J56" s="37" t="s">
        <v>156</v>
      </c>
      <c r="K56" s="26"/>
      <c r="L56" s="37" t="s">
        <v>169</v>
      </c>
      <c r="M56" s="37" t="s">
        <v>157</v>
      </c>
      <c r="N56" s="37" t="s">
        <v>158</v>
      </c>
      <c r="O56" s="26"/>
      <c r="P56" s="37" t="s">
        <v>24</v>
      </c>
      <c r="Q56" s="37" t="s">
        <v>144</v>
      </c>
      <c r="R56" s="37" t="s">
        <v>202</v>
      </c>
      <c r="S56" s="26"/>
      <c r="T56" s="31">
        <v>545</v>
      </c>
      <c r="U56" s="25" t="str">
        <f>"576,9558"</f>
        <v>576,9558</v>
      </c>
      <c r="V56" s="17" t="s">
        <v>3391</v>
      </c>
    </row>
    <row r="58" spans="1:22" ht="15" x14ac:dyDescent="0.2">
      <c r="B58" s="294" t="s">
        <v>4010</v>
      </c>
      <c r="C58" s="294"/>
      <c r="D58" s="294"/>
      <c r="E58" s="294"/>
      <c r="F58" s="294"/>
      <c r="G58" s="294"/>
      <c r="H58" s="294"/>
      <c r="I58" s="294"/>
      <c r="J58" s="294"/>
      <c r="K58" s="294"/>
      <c r="L58" s="294"/>
      <c r="M58" s="294"/>
      <c r="N58" s="294"/>
      <c r="O58" s="294"/>
      <c r="P58" s="294"/>
      <c r="Q58" s="294"/>
      <c r="R58" s="294"/>
      <c r="S58" s="294"/>
      <c r="T58" s="294"/>
      <c r="U58" s="294"/>
    </row>
    <row r="59" spans="1:22" x14ac:dyDescent="0.2">
      <c r="A59" s="43">
        <v>1</v>
      </c>
      <c r="B59" s="15" t="s">
        <v>203</v>
      </c>
      <c r="C59" s="15" t="s">
        <v>204</v>
      </c>
      <c r="D59" s="15" t="s">
        <v>205</v>
      </c>
      <c r="E59" s="15" t="str">
        <f>"0,9752"</f>
        <v>0,9752</v>
      </c>
      <c r="F59" s="15" t="s">
        <v>861</v>
      </c>
      <c r="G59" s="15" t="s">
        <v>839</v>
      </c>
      <c r="H59" s="35" t="s">
        <v>142</v>
      </c>
      <c r="I59" s="35" t="s">
        <v>206</v>
      </c>
      <c r="J59" s="35" t="s">
        <v>207</v>
      </c>
      <c r="K59" s="22"/>
      <c r="L59" s="35" t="s">
        <v>70</v>
      </c>
      <c r="M59" s="35" t="s">
        <v>112</v>
      </c>
      <c r="N59" s="38" t="s">
        <v>165</v>
      </c>
      <c r="O59" s="22"/>
      <c r="P59" s="35" t="s">
        <v>24</v>
      </c>
      <c r="Q59" s="35" t="s">
        <v>188</v>
      </c>
      <c r="R59" s="35" t="s">
        <v>202</v>
      </c>
      <c r="S59" s="38" t="s">
        <v>208</v>
      </c>
      <c r="T59" s="29">
        <v>555</v>
      </c>
      <c r="U59" s="21" t="str">
        <f>"541,2360"</f>
        <v>541,2360</v>
      </c>
      <c r="V59" s="15" t="s">
        <v>771</v>
      </c>
    </row>
    <row r="60" spans="1:22" x14ac:dyDescent="0.2">
      <c r="A60" s="43">
        <v>1</v>
      </c>
      <c r="B60" s="16" t="s">
        <v>209</v>
      </c>
      <c r="C60" s="16" t="s">
        <v>210</v>
      </c>
      <c r="D60" s="16" t="s">
        <v>211</v>
      </c>
      <c r="E60" s="16" t="str">
        <f>"0,9964"</f>
        <v>0,9964</v>
      </c>
      <c r="F60" s="16" t="s">
        <v>851</v>
      </c>
      <c r="G60" s="16" t="s">
        <v>864</v>
      </c>
      <c r="H60" s="36" t="s">
        <v>11</v>
      </c>
      <c r="I60" s="36" t="s">
        <v>107</v>
      </c>
      <c r="J60" s="40" t="s">
        <v>140</v>
      </c>
      <c r="K60" s="24"/>
      <c r="L60" s="36" t="s">
        <v>36</v>
      </c>
      <c r="M60" s="36" t="s">
        <v>25</v>
      </c>
      <c r="N60" s="40" t="s">
        <v>149</v>
      </c>
      <c r="O60" s="24"/>
      <c r="P60" s="36" t="s">
        <v>143</v>
      </c>
      <c r="Q60" s="36" t="s">
        <v>24</v>
      </c>
      <c r="R60" s="36" t="s">
        <v>144</v>
      </c>
      <c r="S60" s="24"/>
      <c r="T60" s="30">
        <v>575</v>
      </c>
      <c r="U60" s="23" t="str">
        <f>"572,9300"</f>
        <v>572,9300</v>
      </c>
      <c r="V60" s="16" t="s">
        <v>780</v>
      </c>
    </row>
    <row r="61" spans="1:22" x14ac:dyDescent="0.2">
      <c r="B61" s="16" t="s">
        <v>212</v>
      </c>
      <c r="C61" s="16" t="s">
        <v>213</v>
      </c>
      <c r="D61" s="16" t="s">
        <v>214</v>
      </c>
      <c r="E61" s="16" t="str">
        <f>"0,9838"</f>
        <v>0,9838</v>
      </c>
      <c r="F61" s="16" t="s">
        <v>4020</v>
      </c>
      <c r="G61" s="16" t="s">
        <v>845</v>
      </c>
      <c r="H61" s="40" t="s">
        <v>36</v>
      </c>
      <c r="I61" s="40" t="s">
        <v>36</v>
      </c>
      <c r="J61" s="36" t="s">
        <v>36</v>
      </c>
      <c r="K61" s="24"/>
      <c r="L61" s="40" t="s">
        <v>112</v>
      </c>
      <c r="M61" s="40" t="s">
        <v>112</v>
      </c>
      <c r="N61" s="40" t="s">
        <v>112</v>
      </c>
      <c r="O61" s="24"/>
      <c r="P61" s="24"/>
      <c r="Q61" s="24"/>
      <c r="R61" s="24"/>
      <c r="S61" s="24"/>
      <c r="T61" s="47">
        <v>0</v>
      </c>
      <c r="U61" s="23" t="s">
        <v>720</v>
      </c>
      <c r="V61" s="16" t="s">
        <v>3391</v>
      </c>
    </row>
    <row r="62" spans="1:22" x14ac:dyDescent="0.2">
      <c r="B62" s="16" t="s">
        <v>215</v>
      </c>
      <c r="C62" s="16" t="s">
        <v>216</v>
      </c>
      <c r="D62" s="16" t="s">
        <v>10</v>
      </c>
      <c r="E62" s="16" t="str">
        <f>"0,9736"</f>
        <v>0,9736</v>
      </c>
      <c r="F62" s="16" t="s">
        <v>4020</v>
      </c>
      <c r="G62" s="16" t="s">
        <v>811</v>
      </c>
      <c r="H62" s="40" t="s">
        <v>107</v>
      </c>
      <c r="I62" s="40" t="s">
        <v>166</v>
      </c>
      <c r="J62" s="24"/>
      <c r="K62" s="24"/>
      <c r="L62" s="24"/>
      <c r="M62" s="24"/>
      <c r="N62" s="24"/>
      <c r="O62" s="24"/>
      <c r="P62" s="24"/>
      <c r="Q62" s="24"/>
      <c r="R62" s="24"/>
      <c r="S62" s="24"/>
      <c r="T62" s="47">
        <v>0</v>
      </c>
      <c r="U62" s="23" t="s">
        <v>720</v>
      </c>
      <c r="V62" s="16" t="s">
        <v>733</v>
      </c>
    </row>
    <row r="63" spans="1:22" x14ac:dyDescent="0.2">
      <c r="A63" s="43">
        <v>1</v>
      </c>
      <c r="B63" s="16" t="s">
        <v>27</v>
      </c>
      <c r="C63" s="16" t="s">
        <v>28</v>
      </c>
      <c r="D63" s="16" t="s">
        <v>29</v>
      </c>
      <c r="E63" s="16" t="str">
        <f>"0,9720"</f>
        <v>0,9720</v>
      </c>
      <c r="F63" s="16" t="s">
        <v>3181</v>
      </c>
      <c r="G63" s="16" t="s">
        <v>3308</v>
      </c>
      <c r="H63" s="36" t="s">
        <v>143</v>
      </c>
      <c r="I63" s="36" t="s">
        <v>24</v>
      </c>
      <c r="J63" s="36" t="s">
        <v>144</v>
      </c>
      <c r="K63" s="24"/>
      <c r="L63" s="36" t="s">
        <v>127</v>
      </c>
      <c r="M63" s="40" t="s">
        <v>30</v>
      </c>
      <c r="N63" s="36" t="s">
        <v>30</v>
      </c>
      <c r="O63" s="24"/>
      <c r="P63" s="36" t="s">
        <v>37</v>
      </c>
      <c r="Q63" s="36" t="s">
        <v>15</v>
      </c>
      <c r="R63" s="36" t="s">
        <v>16</v>
      </c>
      <c r="S63" s="24"/>
      <c r="T63" s="30">
        <v>672.5</v>
      </c>
      <c r="U63" s="23" t="str">
        <f>"653,6700"</f>
        <v>653,6700</v>
      </c>
      <c r="V63" s="16" t="s">
        <v>31</v>
      </c>
    </row>
    <row r="64" spans="1:22" x14ac:dyDescent="0.2">
      <c r="A64" s="43">
        <v>2</v>
      </c>
      <c r="B64" s="16" t="s">
        <v>217</v>
      </c>
      <c r="C64" s="16" t="s">
        <v>218</v>
      </c>
      <c r="D64" s="16" t="s">
        <v>219</v>
      </c>
      <c r="E64" s="16" t="str">
        <f>"0,9988"</f>
        <v>0,9988</v>
      </c>
      <c r="F64" s="16" t="s">
        <v>4020</v>
      </c>
      <c r="G64" s="16" t="s">
        <v>796</v>
      </c>
      <c r="H64" s="36" t="s">
        <v>140</v>
      </c>
      <c r="I64" s="36" t="s">
        <v>143</v>
      </c>
      <c r="J64" s="36" t="s">
        <v>187</v>
      </c>
      <c r="K64" s="24"/>
      <c r="L64" s="36" t="s">
        <v>25</v>
      </c>
      <c r="M64" s="36" t="s">
        <v>141</v>
      </c>
      <c r="N64" s="36" t="s">
        <v>30</v>
      </c>
      <c r="O64" s="24"/>
      <c r="P64" s="36" t="s">
        <v>220</v>
      </c>
      <c r="Q64" s="36" t="s">
        <v>208</v>
      </c>
      <c r="R64" s="40" t="s">
        <v>221</v>
      </c>
      <c r="S64" s="24"/>
      <c r="T64" s="30">
        <v>627.5</v>
      </c>
      <c r="U64" s="23" t="str">
        <f>"626,7470"</f>
        <v>626,7470</v>
      </c>
      <c r="V64" s="16" t="s">
        <v>3391</v>
      </c>
    </row>
    <row r="65" spans="1:26" x14ac:dyDescent="0.2">
      <c r="A65" s="43">
        <v>3</v>
      </c>
      <c r="B65" s="16" t="s">
        <v>222</v>
      </c>
      <c r="C65" s="16" t="s">
        <v>4299</v>
      </c>
      <c r="D65" s="16" t="s">
        <v>223</v>
      </c>
      <c r="E65" s="16" t="str">
        <f>"1,0150"</f>
        <v>1,0150</v>
      </c>
      <c r="F65" s="16" t="s">
        <v>4020</v>
      </c>
      <c r="G65" s="16" t="s">
        <v>4298</v>
      </c>
      <c r="H65" s="36" t="s">
        <v>206</v>
      </c>
      <c r="I65" s="36" t="s">
        <v>224</v>
      </c>
      <c r="J65" s="40" t="s">
        <v>225</v>
      </c>
      <c r="K65" s="24"/>
      <c r="L65" s="36" t="s">
        <v>158</v>
      </c>
      <c r="M65" s="40" t="s">
        <v>165</v>
      </c>
      <c r="N65" s="40" t="s">
        <v>165</v>
      </c>
      <c r="O65" s="24"/>
      <c r="P65" s="36" t="s">
        <v>135</v>
      </c>
      <c r="Q65" s="36" t="s">
        <v>24</v>
      </c>
      <c r="R65" s="36" t="s">
        <v>144</v>
      </c>
      <c r="S65" s="24"/>
      <c r="T65" s="30">
        <v>550</v>
      </c>
      <c r="U65" s="23" t="str">
        <f>"558,2500"</f>
        <v>558,2500</v>
      </c>
      <c r="V65" s="16" t="s">
        <v>4301</v>
      </c>
    </row>
    <row r="66" spans="1:26" x14ac:dyDescent="0.2">
      <c r="A66" s="43">
        <v>4</v>
      </c>
      <c r="B66" s="16" t="s">
        <v>226</v>
      </c>
      <c r="C66" s="16" t="s">
        <v>227</v>
      </c>
      <c r="D66" s="16" t="s">
        <v>228</v>
      </c>
      <c r="E66" s="16" t="str">
        <f>"0,9776"</f>
        <v>0,9776</v>
      </c>
      <c r="F66" s="16" t="s">
        <v>4020</v>
      </c>
      <c r="G66" s="16" t="s">
        <v>844</v>
      </c>
      <c r="H66" s="40" t="s">
        <v>142</v>
      </c>
      <c r="I66" s="36" t="s">
        <v>142</v>
      </c>
      <c r="J66" s="40" t="s">
        <v>156</v>
      </c>
      <c r="K66" s="24"/>
      <c r="L66" s="36" t="s">
        <v>126</v>
      </c>
      <c r="M66" s="40" t="s">
        <v>36</v>
      </c>
      <c r="N66" s="40" t="s">
        <v>36</v>
      </c>
      <c r="O66" s="24"/>
      <c r="P66" s="36" t="s">
        <v>143</v>
      </c>
      <c r="Q66" s="40" t="s">
        <v>24</v>
      </c>
      <c r="R66" s="36" t="s">
        <v>24</v>
      </c>
      <c r="S66" s="24"/>
      <c r="T66" s="30">
        <v>535</v>
      </c>
      <c r="U66" s="23" t="str">
        <f>"523,0160"</f>
        <v>523,0160</v>
      </c>
      <c r="V66" s="16" t="s">
        <v>779</v>
      </c>
    </row>
    <row r="67" spans="1:26" x14ac:dyDescent="0.2">
      <c r="A67" s="43">
        <v>5</v>
      </c>
      <c r="B67" s="16" t="s">
        <v>229</v>
      </c>
      <c r="C67" s="16" t="s">
        <v>230</v>
      </c>
      <c r="D67" s="16" t="s">
        <v>231</v>
      </c>
      <c r="E67" s="16" t="str">
        <f>"0,9870"</f>
        <v>0,9870</v>
      </c>
      <c r="F67" s="16" t="s">
        <v>4020</v>
      </c>
      <c r="G67" s="16" t="s">
        <v>796</v>
      </c>
      <c r="H67" s="36" t="s">
        <v>127</v>
      </c>
      <c r="I67" s="36" t="s">
        <v>142</v>
      </c>
      <c r="J67" s="36" t="s">
        <v>156</v>
      </c>
      <c r="K67" s="24"/>
      <c r="L67" s="36" t="s">
        <v>157</v>
      </c>
      <c r="M67" s="36" t="s">
        <v>112</v>
      </c>
      <c r="N67" s="40" t="s">
        <v>158</v>
      </c>
      <c r="O67" s="24"/>
      <c r="P67" s="36" t="s">
        <v>187</v>
      </c>
      <c r="Q67" s="40" t="s">
        <v>232</v>
      </c>
      <c r="R67" s="40" t="s">
        <v>232</v>
      </c>
      <c r="S67" s="24"/>
      <c r="T67" s="30">
        <v>515</v>
      </c>
      <c r="U67" s="23" t="str">
        <f>"508,3050"</f>
        <v>508,3050</v>
      </c>
      <c r="V67" s="16" t="s">
        <v>752</v>
      </c>
    </row>
    <row r="68" spans="1:26" x14ac:dyDescent="0.2">
      <c r="B68" s="16" t="s">
        <v>233</v>
      </c>
      <c r="C68" s="16" t="s">
        <v>234</v>
      </c>
      <c r="D68" s="16" t="s">
        <v>235</v>
      </c>
      <c r="E68" s="16" t="str">
        <f>"0,9698"</f>
        <v>0,9698</v>
      </c>
      <c r="F68" s="16" t="s">
        <v>492</v>
      </c>
      <c r="G68" s="16" t="s">
        <v>3310</v>
      </c>
      <c r="H68" s="40" t="s">
        <v>143</v>
      </c>
      <c r="I68" s="40" t="s">
        <v>143</v>
      </c>
      <c r="J68" s="40" t="s">
        <v>143</v>
      </c>
      <c r="K68" s="24"/>
      <c r="L68" s="40"/>
      <c r="M68" s="40"/>
      <c r="N68" s="24"/>
      <c r="O68" s="24"/>
      <c r="P68" s="40"/>
      <c r="Q68" s="24"/>
      <c r="R68" s="24"/>
      <c r="S68" s="24"/>
      <c r="T68" s="30">
        <v>0</v>
      </c>
      <c r="U68" s="23" t="str">
        <f>"0,0000"</f>
        <v>0,0000</v>
      </c>
      <c r="V68" s="16" t="s">
        <v>236</v>
      </c>
    </row>
    <row r="69" spans="1:26" x14ac:dyDescent="0.2">
      <c r="A69" s="43">
        <v>1</v>
      </c>
      <c r="B69" s="17" t="s">
        <v>237</v>
      </c>
      <c r="C69" s="17" t="s">
        <v>238</v>
      </c>
      <c r="D69" s="17" t="s">
        <v>214</v>
      </c>
      <c r="E69" s="17" t="str">
        <f>"0,9838"</f>
        <v>0,9838</v>
      </c>
      <c r="F69" s="17" t="s">
        <v>4020</v>
      </c>
      <c r="G69" s="17" t="s">
        <v>796</v>
      </c>
      <c r="H69" s="37" t="s">
        <v>127</v>
      </c>
      <c r="I69" s="39" t="s">
        <v>239</v>
      </c>
      <c r="J69" s="39" t="s">
        <v>239</v>
      </c>
      <c r="K69" s="26"/>
      <c r="L69" s="37" t="s">
        <v>71</v>
      </c>
      <c r="M69" s="37" t="s">
        <v>158</v>
      </c>
      <c r="N69" s="39" t="s">
        <v>104</v>
      </c>
      <c r="O69" s="26"/>
      <c r="P69" s="37" t="s">
        <v>11</v>
      </c>
      <c r="Q69" s="37" t="s">
        <v>107</v>
      </c>
      <c r="R69" s="37" t="s">
        <v>140</v>
      </c>
      <c r="S69" s="26"/>
      <c r="T69" s="31">
        <v>487.5</v>
      </c>
      <c r="U69" s="25" t="str">
        <f>"517,0115"</f>
        <v>517,0115</v>
      </c>
      <c r="V69" s="17" t="s">
        <v>778</v>
      </c>
    </row>
    <row r="71" spans="1:26" ht="15" x14ac:dyDescent="0.2">
      <c r="B71" s="294" t="s">
        <v>4011</v>
      </c>
      <c r="C71" s="294"/>
      <c r="D71" s="294"/>
      <c r="E71" s="294"/>
      <c r="F71" s="294"/>
      <c r="G71" s="294"/>
      <c r="H71" s="294"/>
      <c r="I71" s="294"/>
      <c r="J71" s="294"/>
      <c r="K71" s="294"/>
      <c r="L71" s="294"/>
      <c r="M71" s="294"/>
      <c r="N71" s="294"/>
      <c r="O71" s="294"/>
      <c r="P71" s="294"/>
      <c r="Q71" s="294"/>
      <c r="R71" s="294"/>
      <c r="S71" s="294"/>
      <c r="T71" s="294"/>
      <c r="U71" s="294"/>
      <c r="Z71" t="s">
        <v>4300</v>
      </c>
    </row>
    <row r="72" spans="1:26" x14ac:dyDescent="0.2">
      <c r="A72" s="43">
        <v>1</v>
      </c>
      <c r="B72" s="15" t="s">
        <v>240</v>
      </c>
      <c r="C72" s="15" t="s">
        <v>241</v>
      </c>
      <c r="D72" s="15" t="s">
        <v>242</v>
      </c>
      <c r="E72" s="15" t="str">
        <f>"0,9362"</f>
        <v>0,9362</v>
      </c>
      <c r="F72" s="15" t="s">
        <v>4020</v>
      </c>
      <c r="G72" s="15" t="s">
        <v>848</v>
      </c>
      <c r="H72" s="35" t="s">
        <v>142</v>
      </c>
      <c r="I72" s="38" t="s">
        <v>107</v>
      </c>
      <c r="J72" s="38" t="s">
        <v>107</v>
      </c>
      <c r="K72" s="22"/>
      <c r="L72" s="35" t="s">
        <v>116</v>
      </c>
      <c r="M72" s="38" t="s">
        <v>148</v>
      </c>
      <c r="N72" s="38" t="s">
        <v>148</v>
      </c>
      <c r="O72" s="22"/>
      <c r="P72" s="35" t="s">
        <v>11</v>
      </c>
      <c r="Q72" s="35" t="s">
        <v>107</v>
      </c>
      <c r="R72" s="35" t="s">
        <v>143</v>
      </c>
      <c r="S72" s="22"/>
      <c r="T72" s="29">
        <v>520</v>
      </c>
      <c r="U72" s="21" t="str">
        <f>"486,8240"</f>
        <v>486,8240</v>
      </c>
      <c r="V72" s="15" t="s">
        <v>3374</v>
      </c>
    </row>
    <row r="73" spans="1:26" x14ac:dyDescent="0.2">
      <c r="A73" s="43">
        <v>1</v>
      </c>
      <c r="B73" s="16" t="s">
        <v>243</v>
      </c>
      <c r="C73" s="16" t="s">
        <v>244</v>
      </c>
      <c r="D73" s="16" t="s">
        <v>245</v>
      </c>
      <c r="E73" s="16" t="str">
        <f>"0,9254"</f>
        <v>0,9254</v>
      </c>
      <c r="F73" s="16" t="s">
        <v>4020</v>
      </c>
      <c r="G73" s="16" t="s">
        <v>796</v>
      </c>
      <c r="H73" s="36" t="s">
        <v>143</v>
      </c>
      <c r="I73" s="36" t="s">
        <v>246</v>
      </c>
      <c r="J73" s="40" t="s">
        <v>220</v>
      </c>
      <c r="K73" s="24"/>
      <c r="L73" s="36" t="s">
        <v>112</v>
      </c>
      <c r="M73" s="36" t="s">
        <v>104</v>
      </c>
      <c r="N73" s="40" t="s">
        <v>23</v>
      </c>
      <c r="O73" s="24"/>
      <c r="P73" s="36" t="s">
        <v>144</v>
      </c>
      <c r="Q73" s="36" t="s">
        <v>37</v>
      </c>
      <c r="R73" s="36" t="s">
        <v>17</v>
      </c>
      <c r="S73" s="24"/>
      <c r="T73" s="30">
        <v>615</v>
      </c>
      <c r="U73" s="23" t="str">
        <f>"569,1210"</f>
        <v>569,1210</v>
      </c>
      <c r="V73" s="16" t="s">
        <v>3391</v>
      </c>
    </row>
    <row r="74" spans="1:26" x14ac:dyDescent="0.2">
      <c r="B74" s="16" t="s">
        <v>247</v>
      </c>
      <c r="C74" s="16" t="s">
        <v>248</v>
      </c>
      <c r="D74" s="16" t="s">
        <v>249</v>
      </c>
      <c r="E74" s="16" t="str">
        <f>"0,9270"</f>
        <v>0,9270</v>
      </c>
      <c r="F74" s="16" t="s">
        <v>4020</v>
      </c>
      <c r="G74" s="16" t="s">
        <v>845</v>
      </c>
      <c r="H74" s="40" t="s">
        <v>166</v>
      </c>
      <c r="I74" s="40" t="s">
        <v>166</v>
      </c>
      <c r="J74" s="36" t="s">
        <v>166</v>
      </c>
      <c r="K74" s="24"/>
      <c r="L74" s="40" t="s">
        <v>126</v>
      </c>
      <c r="M74" s="40" t="s">
        <v>126</v>
      </c>
      <c r="N74" s="40" t="s">
        <v>126</v>
      </c>
      <c r="O74" s="24"/>
      <c r="P74" s="40"/>
      <c r="Q74" s="24"/>
      <c r="R74" s="24"/>
      <c r="S74" s="24"/>
      <c r="T74" s="47">
        <v>0</v>
      </c>
      <c r="U74" s="23" t="s">
        <v>720</v>
      </c>
      <c r="V74" s="16" t="s">
        <v>777</v>
      </c>
    </row>
    <row r="75" spans="1:26" x14ac:dyDescent="0.2">
      <c r="A75" s="43">
        <v>1</v>
      </c>
      <c r="B75" s="16" t="s">
        <v>250</v>
      </c>
      <c r="C75" s="16" t="s">
        <v>251</v>
      </c>
      <c r="D75" s="16" t="s">
        <v>252</v>
      </c>
      <c r="E75" s="16" t="str">
        <f>"0,9242"</f>
        <v>0,9242</v>
      </c>
      <c r="F75" s="16" t="s">
        <v>4020</v>
      </c>
      <c r="G75" s="16" t="s">
        <v>849</v>
      </c>
      <c r="H75" s="36" t="s">
        <v>140</v>
      </c>
      <c r="I75" s="40" t="s">
        <v>24</v>
      </c>
      <c r="J75" s="36" t="s">
        <v>24</v>
      </c>
      <c r="K75" s="24"/>
      <c r="L75" s="36" t="s">
        <v>104</v>
      </c>
      <c r="M75" s="36" t="s">
        <v>116</v>
      </c>
      <c r="N75" s="36" t="s">
        <v>126</v>
      </c>
      <c r="O75" s="24"/>
      <c r="P75" s="36" t="s">
        <v>144</v>
      </c>
      <c r="Q75" s="36" t="s">
        <v>253</v>
      </c>
      <c r="R75" s="36" t="s">
        <v>37</v>
      </c>
      <c r="S75" s="24"/>
      <c r="T75" s="30">
        <v>615</v>
      </c>
      <c r="U75" s="23" t="str">
        <f>"593,3919"</f>
        <v>593,3919</v>
      </c>
      <c r="V75" s="16" t="s">
        <v>3391</v>
      </c>
    </row>
    <row r="76" spans="1:26" x14ac:dyDescent="0.2">
      <c r="A76" s="43">
        <v>1</v>
      </c>
      <c r="B76" s="17" t="s">
        <v>254</v>
      </c>
      <c r="C76" s="17" t="s">
        <v>255</v>
      </c>
      <c r="D76" s="17" t="s">
        <v>256</v>
      </c>
      <c r="E76" s="17" t="str">
        <f>"0,9510"</f>
        <v>0,9510</v>
      </c>
      <c r="F76" s="17" t="s">
        <v>4020</v>
      </c>
      <c r="G76" s="17" t="s">
        <v>799</v>
      </c>
      <c r="H76" s="37" t="s">
        <v>116</v>
      </c>
      <c r="I76" s="39" t="s">
        <v>36</v>
      </c>
      <c r="J76" s="37" t="s">
        <v>127</v>
      </c>
      <c r="K76" s="26"/>
      <c r="L76" s="37" t="s">
        <v>116</v>
      </c>
      <c r="M76" s="39" t="s">
        <v>155</v>
      </c>
      <c r="N76" s="39" t="s">
        <v>155</v>
      </c>
      <c r="O76" s="26"/>
      <c r="P76" s="37" t="s">
        <v>127</v>
      </c>
      <c r="Q76" s="37" t="s">
        <v>11</v>
      </c>
      <c r="R76" s="37" t="s">
        <v>135</v>
      </c>
      <c r="S76" s="26"/>
      <c r="T76" s="31">
        <v>505</v>
      </c>
      <c r="U76" s="25" t="str">
        <f>"600,3187"</f>
        <v>600,3187</v>
      </c>
      <c r="V76" s="17" t="s">
        <v>3391</v>
      </c>
    </row>
    <row r="78" spans="1:26" ht="15" x14ac:dyDescent="0.2">
      <c r="B78" s="294" t="s">
        <v>4012</v>
      </c>
      <c r="C78" s="294"/>
      <c r="D78" s="294"/>
      <c r="E78" s="294"/>
      <c r="F78" s="294"/>
      <c r="G78" s="294"/>
      <c r="H78" s="294"/>
      <c r="I78" s="294"/>
      <c r="J78" s="294"/>
      <c r="K78" s="294"/>
      <c r="L78" s="294"/>
      <c r="M78" s="294"/>
      <c r="N78" s="294"/>
      <c r="O78" s="294"/>
      <c r="P78" s="294"/>
      <c r="Q78" s="294"/>
      <c r="R78" s="294"/>
      <c r="S78" s="294"/>
      <c r="T78" s="294"/>
      <c r="U78" s="294"/>
    </row>
    <row r="79" spans="1:26" x14ac:dyDescent="0.2">
      <c r="A79" s="43">
        <v>1</v>
      </c>
      <c r="B79" s="15" t="s">
        <v>257</v>
      </c>
      <c r="C79" s="15" t="s">
        <v>258</v>
      </c>
      <c r="D79" s="15" t="s">
        <v>259</v>
      </c>
      <c r="E79" s="15" t="str">
        <f>"0,8890"</f>
        <v>0,8890</v>
      </c>
      <c r="F79" s="15" t="s">
        <v>4020</v>
      </c>
      <c r="G79" s="15" t="s">
        <v>840</v>
      </c>
      <c r="H79" s="38" t="s">
        <v>37</v>
      </c>
      <c r="I79" s="35" t="s">
        <v>37</v>
      </c>
      <c r="J79" s="35" t="s">
        <v>17</v>
      </c>
      <c r="K79" s="22"/>
      <c r="L79" s="35" t="s">
        <v>260</v>
      </c>
      <c r="M79" s="35" t="s">
        <v>106</v>
      </c>
      <c r="N79" s="38" t="s">
        <v>107</v>
      </c>
      <c r="O79" s="22"/>
      <c r="P79" s="35" t="s">
        <v>261</v>
      </c>
      <c r="Q79" s="35" t="s">
        <v>15</v>
      </c>
      <c r="R79" s="38" t="s">
        <v>262</v>
      </c>
      <c r="S79" s="22"/>
      <c r="T79" s="29">
        <v>710</v>
      </c>
      <c r="U79" s="21" t="str">
        <f>"631,1900"</f>
        <v>631,1900</v>
      </c>
      <c r="V79" s="15" t="s">
        <v>3391</v>
      </c>
    </row>
    <row r="80" spans="1:26" x14ac:dyDescent="0.2">
      <c r="A80" s="43">
        <v>2</v>
      </c>
      <c r="B80" s="16" t="s">
        <v>263</v>
      </c>
      <c r="C80" s="16" t="s">
        <v>264</v>
      </c>
      <c r="D80" s="16" t="s">
        <v>265</v>
      </c>
      <c r="E80" s="16" t="str">
        <f>"0,8850"</f>
        <v>0,8850</v>
      </c>
      <c r="F80" s="16" t="s">
        <v>266</v>
      </c>
      <c r="G80" s="16" t="s">
        <v>823</v>
      </c>
      <c r="H80" s="36" t="s">
        <v>140</v>
      </c>
      <c r="I80" s="36" t="s">
        <v>246</v>
      </c>
      <c r="J80" s="36" t="s">
        <v>253</v>
      </c>
      <c r="K80" s="24"/>
      <c r="L80" s="36" t="s">
        <v>142</v>
      </c>
      <c r="M80" s="36" t="s">
        <v>106</v>
      </c>
      <c r="N80" s="40" t="s">
        <v>224</v>
      </c>
      <c r="O80" s="24"/>
      <c r="P80" s="36" t="s">
        <v>144</v>
      </c>
      <c r="Q80" s="40" t="s">
        <v>261</v>
      </c>
      <c r="R80" s="36" t="s">
        <v>261</v>
      </c>
      <c r="S80" s="24"/>
      <c r="T80" s="30">
        <v>680</v>
      </c>
      <c r="U80" s="23" t="str">
        <f>"601,8000"</f>
        <v>601,8000</v>
      </c>
      <c r="V80" s="16" t="s">
        <v>3391</v>
      </c>
    </row>
    <row r="81" spans="1:22" x14ac:dyDescent="0.2">
      <c r="A81" s="43">
        <v>3</v>
      </c>
      <c r="B81" s="17" t="s">
        <v>267</v>
      </c>
      <c r="C81" s="17" t="s">
        <v>268</v>
      </c>
      <c r="D81" s="17" t="s">
        <v>269</v>
      </c>
      <c r="E81" s="17" t="str">
        <f>"0,9090"</f>
        <v>0,9090</v>
      </c>
      <c r="F81" s="17" t="s">
        <v>863</v>
      </c>
      <c r="G81" s="17" t="s">
        <v>834</v>
      </c>
      <c r="H81" s="37" t="s">
        <v>142</v>
      </c>
      <c r="I81" s="37" t="s">
        <v>106</v>
      </c>
      <c r="J81" s="37" t="s">
        <v>224</v>
      </c>
      <c r="K81" s="26"/>
      <c r="L81" s="37" t="s">
        <v>25</v>
      </c>
      <c r="M81" s="37" t="s">
        <v>127</v>
      </c>
      <c r="N81" s="39" t="s">
        <v>155</v>
      </c>
      <c r="O81" s="26"/>
      <c r="P81" s="37" t="s">
        <v>140</v>
      </c>
      <c r="Q81" s="37" t="s">
        <v>24</v>
      </c>
      <c r="R81" s="37" t="s">
        <v>188</v>
      </c>
      <c r="S81" s="26"/>
      <c r="T81" s="31">
        <v>585</v>
      </c>
      <c r="U81" s="25" t="str">
        <f>"531,7650"</f>
        <v>531,7650</v>
      </c>
      <c r="V81" s="17" t="s">
        <v>3391</v>
      </c>
    </row>
    <row r="83" spans="1:22" ht="15" x14ac:dyDescent="0.2">
      <c r="B83" s="294" t="s">
        <v>4013</v>
      </c>
      <c r="C83" s="294"/>
      <c r="D83" s="294"/>
      <c r="E83" s="294"/>
      <c r="F83" s="294"/>
      <c r="G83" s="294"/>
      <c r="H83" s="294"/>
      <c r="I83" s="294"/>
      <c r="J83" s="294"/>
      <c r="K83" s="294"/>
      <c r="L83" s="294"/>
      <c r="M83" s="294"/>
      <c r="N83" s="294"/>
      <c r="O83" s="294"/>
      <c r="P83" s="294"/>
      <c r="Q83" s="294"/>
      <c r="R83" s="294"/>
      <c r="S83" s="294"/>
      <c r="T83" s="294"/>
      <c r="U83" s="294"/>
    </row>
    <row r="84" spans="1:22" x14ac:dyDescent="0.2">
      <c r="A84" s="43">
        <v>1</v>
      </c>
      <c r="B84" s="15" t="s">
        <v>270</v>
      </c>
      <c r="C84" s="15" t="s">
        <v>271</v>
      </c>
      <c r="D84" s="15" t="s">
        <v>272</v>
      </c>
      <c r="E84" s="15" t="str">
        <f>"0,8670"</f>
        <v>0,8670</v>
      </c>
      <c r="F84" s="15" t="s">
        <v>4020</v>
      </c>
      <c r="G84" s="15" t="s">
        <v>805</v>
      </c>
      <c r="H84" s="35" t="s">
        <v>208</v>
      </c>
      <c r="I84" s="38" t="s">
        <v>273</v>
      </c>
      <c r="J84" s="35" t="s">
        <v>17</v>
      </c>
      <c r="K84" s="22"/>
      <c r="L84" s="35" t="s">
        <v>25</v>
      </c>
      <c r="M84" s="35" t="s">
        <v>155</v>
      </c>
      <c r="N84" s="35" t="s">
        <v>142</v>
      </c>
      <c r="O84" s="22"/>
      <c r="P84" s="35" t="s">
        <v>274</v>
      </c>
      <c r="Q84" s="35" t="s">
        <v>275</v>
      </c>
      <c r="R84" s="35" t="s">
        <v>276</v>
      </c>
      <c r="S84" s="22"/>
      <c r="T84" s="29">
        <v>752.5</v>
      </c>
      <c r="U84" s="21" t="str">
        <f>"652,4175"</f>
        <v>652,4175</v>
      </c>
      <c r="V84" s="15" t="s">
        <v>776</v>
      </c>
    </row>
    <row r="85" spans="1:22" x14ac:dyDescent="0.2">
      <c r="A85" s="43">
        <v>1</v>
      </c>
      <c r="B85" s="16" t="s">
        <v>277</v>
      </c>
      <c r="C85" s="16" t="s">
        <v>279</v>
      </c>
      <c r="D85" s="16" t="s">
        <v>278</v>
      </c>
      <c r="E85" s="16" t="str">
        <f>"0,8746"</f>
        <v>0,8746</v>
      </c>
      <c r="F85" s="16" t="s">
        <v>4020</v>
      </c>
      <c r="G85" s="16" t="s">
        <v>850</v>
      </c>
      <c r="H85" s="36" t="s">
        <v>261</v>
      </c>
      <c r="I85" s="24"/>
      <c r="J85" s="24"/>
      <c r="K85" s="24"/>
      <c r="L85" s="36" t="s">
        <v>25</v>
      </c>
      <c r="M85" s="36" t="s">
        <v>127</v>
      </c>
      <c r="N85" s="36" t="s">
        <v>155</v>
      </c>
      <c r="O85" s="24"/>
      <c r="P85" s="36" t="s">
        <v>17</v>
      </c>
      <c r="Q85" s="24"/>
      <c r="R85" s="24"/>
      <c r="S85" s="24"/>
      <c r="T85" s="30">
        <v>677.5</v>
      </c>
      <c r="U85" s="23" t="str">
        <f>"618,6133"</f>
        <v>618,6133</v>
      </c>
      <c r="V85" s="16" t="s">
        <v>775</v>
      </c>
    </row>
    <row r="86" spans="1:22" x14ac:dyDescent="0.2">
      <c r="A86" s="43">
        <v>1</v>
      </c>
      <c r="B86" s="17" t="s">
        <v>280</v>
      </c>
      <c r="C86" s="17" t="s">
        <v>281</v>
      </c>
      <c r="D86" s="17" t="s">
        <v>282</v>
      </c>
      <c r="E86" s="17" t="str">
        <f>"0,8820"</f>
        <v>0,8820</v>
      </c>
      <c r="F86" s="17" t="s">
        <v>853</v>
      </c>
      <c r="G86" s="17" t="s">
        <v>838</v>
      </c>
      <c r="H86" s="37" t="s">
        <v>166</v>
      </c>
      <c r="I86" s="37" t="s">
        <v>24</v>
      </c>
      <c r="J86" s="37" t="s">
        <v>144</v>
      </c>
      <c r="K86" s="26"/>
      <c r="L86" s="37" t="s">
        <v>97</v>
      </c>
      <c r="M86" s="37" t="s">
        <v>112</v>
      </c>
      <c r="N86" s="37" t="s">
        <v>165</v>
      </c>
      <c r="O86" s="26"/>
      <c r="P86" s="37" t="s">
        <v>135</v>
      </c>
      <c r="Q86" s="37" t="s">
        <v>208</v>
      </c>
      <c r="R86" s="37" t="s">
        <v>15</v>
      </c>
      <c r="S86" s="39" t="s">
        <v>35</v>
      </c>
      <c r="T86" s="31">
        <v>627.5</v>
      </c>
      <c r="U86" s="25" t="str">
        <f>"679,6428"</f>
        <v>679,6428</v>
      </c>
      <c r="V86" s="17" t="s">
        <v>722</v>
      </c>
    </row>
    <row r="88" spans="1:22" ht="18" x14ac:dyDescent="0.25">
      <c r="B88" s="8" t="s">
        <v>4022</v>
      </c>
      <c r="C88" s="8"/>
      <c r="G88" s="8"/>
    </row>
    <row r="89" spans="1:22" ht="15" x14ac:dyDescent="0.2">
      <c r="B89" s="9" t="s">
        <v>283</v>
      </c>
      <c r="C89" s="9"/>
      <c r="G89" s="80"/>
    </row>
    <row r="90" spans="1:22" ht="14.25" x14ac:dyDescent="0.2">
      <c r="B90" s="11"/>
      <c r="C90" s="12" t="s">
        <v>18</v>
      </c>
    </row>
    <row r="91" spans="1:22" ht="15" x14ac:dyDescent="0.2">
      <c r="B91" s="13" t="s">
        <v>0</v>
      </c>
      <c r="C91" s="13" t="s">
        <v>19</v>
      </c>
      <c r="D91" s="13" t="s">
        <v>20</v>
      </c>
      <c r="E91" s="13" t="s">
        <v>3593</v>
      </c>
      <c r="F91" s="13" t="s">
        <v>9</v>
      </c>
    </row>
    <row r="92" spans="1:22" x14ac:dyDescent="0.2">
      <c r="A92" s="43">
        <v>1</v>
      </c>
      <c r="B92" s="10" t="s">
        <v>101</v>
      </c>
      <c r="C92" s="18" t="s">
        <v>18</v>
      </c>
      <c r="D92" s="27" t="s">
        <v>86</v>
      </c>
      <c r="E92" s="27" t="s">
        <v>289</v>
      </c>
      <c r="F92" s="27" t="s">
        <v>290</v>
      </c>
    </row>
    <row r="93" spans="1:22" x14ac:dyDescent="0.2">
      <c r="A93" s="43">
        <v>2</v>
      </c>
      <c r="B93" s="10" t="s">
        <v>123</v>
      </c>
      <c r="C93" s="18" t="s">
        <v>18</v>
      </c>
      <c r="D93" s="27" t="s">
        <v>41</v>
      </c>
      <c r="E93" s="27" t="s">
        <v>292</v>
      </c>
      <c r="F93" s="27" t="s">
        <v>293</v>
      </c>
    </row>
    <row r="94" spans="1:22" x14ac:dyDescent="0.2">
      <c r="A94" s="43">
        <v>3</v>
      </c>
      <c r="B94" s="10" t="s">
        <v>82</v>
      </c>
      <c r="C94" s="18" t="s">
        <v>18</v>
      </c>
      <c r="D94" s="27" t="s">
        <v>745</v>
      </c>
      <c r="E94" s="27" t="s">
        <v>35</v>
      </c>
      <c r="F94" s="27" t="s">
        <v>294</v>
      </c>
    </row>
    <row r="95" spans="1:22" x14ac:dyDescent="0.2">
      <c r="B95" s="10"/>
      <c r="C95" s="18"/>
      <c r="D95" s="27"/>
      <c r="E95" s="27"/>
      <c r="F95" s="27"/>
    </row>
    <row r="96" spans="1:22" ht="15" x14ac:dyDescent="0.2">
      <c r="B96" s="9" t="s">
        <v>3499</v>
      </c>
      <c r="C96" s="9"/>
    </row>
    <row r="97" spans="1:6" ht="14.25" x14ac:dyDescent="0.2">
      <c r="B97" s="11"/>
      <c r="C97" s="12" t="s">
        <v>18</v>
      </c>
    </row>
    <row r="98" spans="1:6" ht="15" x14ac:dyDescent="0.2">
      <c r="B98" s="13" t="s">
        <v>0</v>
      </c>
      <c r="C98" s="13" t="s">
        <v>19</v>
      </c>
      <c r="D98" s="13" t="s">
        <v>20</v>
      </c>
      <c r="E98" s="13" t="s">
        <v>3593</v>
      </c>
      <c r="F98" s="13" t="s">
        <v>9</v>
      </c>
    </row>
    <row r="99" spans="1:6" x14ac:dyDescent="0.2">
      <c r="A99" s="43">
        <v>1</v>
      </c>
      <c r="B99" s="10" t="s">
        <v>27</v>
      </c>
      <c r="C99" s="18" t="s">
        <v>18</v>
      </c>
      <c r="D99" s="27" t="s">
        <v>46</v>
      </c>
      <c r="E99" s="27" t="s">
        <v>301</v>
      </c>
      <c r="F99" s="27" t="s">
        <v>302</v>
      </c>
    </row>
    <row r="100" spans="1:6" x14ac:dyDescent="0.2">
      <c r="A100" s="43">
        <v>2</v>
      </c>
      <c r="B100" s="10" t="s">
        <v>270</v>
      </c>
      <c r="C100" s="18" t="s">
        <v>18</v>
      </c>
      <c r="D100" s="27" t="s">
        <v>112</v>
      </c>
      <c r="E100" s="27" t="s">
        <v>304</v>
      </c>
      <c r="F100" s="27" t="s">
        <v>305</v>
      </c>
    </row>
    <row r="101" spans="1:6" x14ac:dyDescent="0.2">
      <c r="A101" s="43">
        <v>3</v>
      </c>
      <c r="B101" s="10" t="s">
        <v>257</v>
      </c>
      <c r="C101" s="18" t="s">
        <v>18</v>
      </c>
      <c r="D101" s="27" t="s">
        <v>69</v>
      </c>
      <c r="E101" s="27" t="s">
        <v>307</v>
      </c>
      <c r="F101" s="27" t="s">
        <v>308</v>
      </c>
    </row>
  </sheetData>
  <mergeCells count="29">
    <mergeCell ref="L4:O4"/>
    <mergeCell ref="P4:S4"/>
    <mergeCell ref="T4:T5"/>
    <mergeCell ref="U4:U5"/>
    <mergeCell ref="V4:V5"/>
    <mergeCell ref="A1:V1"/>
    <mergeCell ref="A2:V2"/>
    <mergeCell ref="A4:A5"/>
    <mergeCell ref="B58:U58"/>
    <mergeCell ref="B71:U71"/>
    <mergeCell ref="B19:U19"/>
    <mergeCell ref="B6:U6"/>
    <mergeCell ref="B11:U11"/>
    <mergeCell ref="A3:V3"/>
    <mergeCell ref="B4:B5"/>
    <mergeCell ref="C4:C5"/>
    <mergeCell ref="D4:D5"/>
    <mergeCell ref="E4:E5"/>
    <mergeCell ref="F4:F5"/>
    <mergeCell ref="G4:G5"/>
    <mergeCell ref="H4:K4"/>
    <mergeCell ref="B78:U78"/>
    <mergeCell ref="B83:U83"/>
    <mergeCell ref="B24:U24"/>
    <mergeCell ref="B29:U29"/>
    <mergeCell ref="B33:U33"/>
    <mergeCell ref="B36:U36"/>
    <mergeCell ref="B43:U43"/>
    <mergeCell ref="B51:U5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opLeftCell="A6" workbookViewId="0">
      <selection sqref="A1:N1"/>
    </sheetView>
  </sheetViews>
  <sheetFormatPr defaultColWidth="8.7109375" defaultRowHeight="12.75" x14ac:dyDescent="0.2"/>
  <cols>
    <col min="1" max="1" width="6.85546875" style="43" bestFit="1" customWidth="1"/>
    <col min="2" max="2" width="25.42578125" style="6" bestFit="1" customWidth="1"/>
    <col min="3" max="3" width="29.140625" style="6" bestFit="1" customWidth="1"/>
    <col min="4" max="4" width="8.5703125" style="6" bestFit="1" customWidth="1"/>
    <col min="5" max="5" width="7.5703125" style="6" customWidth="1"/>
    <col min="6" max="6" width="19.140625" style="6" customWidth="1"/>
    <col min="7" max="7" width="43.42578125" style="6" bestFit="1" customWidth="1"/>
    <col min="8" max="11" width="6.42578125" style="27" bestFit="1" customWidth="1"/>
    <col min="12" max="12" width="6.42578125" style="32" bestFit="1" customWidth="1"/>
    <col min="13" max="13" width="9.85546875" style="27" bestFit="1" customWidth="1"/>
    <col min="14" max="14" width="13.28515625" style="6" bestFit="1" customWidth="1"/>
    <col min="258" max="258" width="29.42578125" bestFit="1" customWidth="1"/>
    <col min="259" max="259" width="26.85546875" bestFit="1" customWidth="1"/>
    <col min="260" max="260" width="7.7109375" bestFit="1" customWidth="1"/>
    <col min="261" max="261" width="6.7109375" bestFit="1" customWidth="1"/>
    <col min="262" max="262" width="17.28515625" bestFit="1" customWidth="1"/>
    <col min="263" max="263" width="33.140625" bestFit="1" customWidth="1"/>
    <col min="264" max="267" width="5.5703125" bestFit="1" customWidth="1"/>
    <col min="268" max="268" width="6.7109375" bestFit="1" customWidth="1"/>
    <col min="269" max="269" width="8.5703125" bestFit="1" customWidth="1"/>
    <col min="270" max="270" width="18.85546875" bestFit="1" customWidth="1"/>
    <col min="514" max="514" width="29.42578125" bestFit="1" customWidth="1"/>
    <col min="515" max="515" width="26.85546875" bestFit="1" customWidth="1"/>
    <col min="516" max="516" width="7.7109375" bestFit="1" customWidth="1"/>
    <col min="517" max="517" width="6.7109375" bestFit="1" customWidth="1"/>
    <col min="518" max="518" width="17.28515625" bestFit="1" customWidth="1"/>
    <col min="519" max="519" width="33.140625" bestFit="1" customWidth="1"/>
    <col min="520" max="523" width="5.5703125" bestFit="1" customWidth="1"/>
    <col min="524" max="524" width="6.7109375" bestFit="1" customWidth="1"/>
    <col min="525" max="525" width="8.5703125" bestFit="1" customWidth="1"/>
    <col min="526" max="526" width="18.85546875" bestFit="1" customWidth="1"/>
    <col min="770" max="770" width="29.42578125" bestFit="1" customWidth="1"/>
    <col min="771" max="771" width="26.85546875" bestFit="1" customWidth="1"/>
    <col min="772" max="772" width="7.7109375" bestFit="1" customWidth="1"/>
    <col min="773" max="773" width="6.7109375" bestFit="1" customWidth="1"/>
    <col min="774" max="774" width="17.28515625" bestFit="1" customWidth="1"/>
    <col min="775" max="775" width="33.140625" bestFit="1" customWidth="1"/>
    <col min="776" max="779" width="5.5703125" bestFit="1" customWidth="1"/>
    <col min="780" max="780" width="6.7109375" bestFit="1" customWidth="1"/>
    <col min="781" max="781" width="8.5703125" bestFit="1" customWidth="1"/>
    <col min="782" max="782" width="18.85546875" bestFit="1" customWidth="1"/>
    <col min="1026" max="1026" width="29.42578125" bestFit="1" customWidth="1"/>
    <col min="1027" max="1027" width="26.85546875" bestFit="1" customWidth="1"/>
    <col min="1028" max="1028" width="7.7109375" bestFit="1" customWidth="1"/>
    <col min="1029" max="1029" width="6.7109375" bestFit="1" customWidth="1"/>
    <col min="1030" max="1030" width="17.28515625" bestFit="1" customWidth="1"/>
    <col min="1031" max="1031" width="33.140625" bestFit="1" customWidth="1"/>
    <col min="1032" max="1035" width="5.5703125" bestFit="1" customWidth="1"/>
    <col min="1036" max="1036" width="6.7109375" bestFit="1" customWidth="1"/>
    <col min="1037" max="1037" width="8.5703125" bestFit="1" customWidth="1"/>
    <col min="1038" max="1038" width="18.85546875" bestFit="1" customWidth="1"/>
    <col min="1282" max="1282" width="29.42578125" bestFit="1" customWidth="1"/>
    <col min="1283" max="1283" width="26.85546875" bestFit="1" customWidth="1"/>
    <col min="1284" max="1284" width="7.7109375" bestFit="1" customWidth="1"/>
    <col min="1285" max="1285" width="6.7109375" bestFit="1" customWidth="1"/>
    <col min="1286" max="1286" width="17.28515625" bestFit="1" customWidth="1"/>
    <col min="1287" max="1287" width="33.140625" bestFit="1" customWidth="1"/>
    <col min="1288" max="1291" width="5.5703125" bestFit="1" customWidth="1"/>
    <col min="1292" max="1292" width="6.7109375" bestFit="1" customWidth="1"/>
    <col min="1293" max="1293" width="8.5703125" bestFit="1" customWidth="1"/>
    <col min="1294" max="1294" width="18.85546875" bestFit="1" customWidth="1"/>
    <col min="1538" max="1538" width="29.42578125" bestFit="1" customWidth="1"/>
    <col min="1539" max="1539" width="26.85546875" bestFit="1" customWidth="1"/>
    <col min="1540" max="1540" width="7.7109375" bestFit="1" customWidth="1"/>
    <col min="1541" max="1541" width="6.7109375" bestFit="1" customWidth="1"/>
    <col min="1542" max="1542" width="17.28515625" bestFit="1" customWidth="1"/>
    <col min="1543" max="1543" width="33.140625" bestFit="1" customWidth="1"/>
    <col min="1544" max="1547" width="5.5703125" bestFit="1" customWidth="1"/>
    <col min="1548" max="1548" width="6.7109375" bestFit="1" customWidth="1"/>
    <col min="1549" max="1549" width="8.5703125" bestFit="1" customWidth="1"/>
    <col min="1550" max="1550" width="18.85546875" bestFit="1" customWidth="1"/>
    <col min="1794" max="1794" width="29.42578125" bestFit="1" customWidth="1"/>
    <col min="1795" max="1795" width="26.85546875" bestFit="1" customWidth="1"/>
    <col min="1796" max="1796" width="7.7109375" bestFit="1" customWidth="1"/>
    <col min="1797" max="1797" width="6.7109375" bestFit="1" customWidth="1"/>
    <col min="1798" max="1798" width="17.28515625" bestFit="1" customWidth="1"/>
    <col min="1799" max="1799" width="33.140625" bestFit="1" customWidth="1"/>
    <col min="1800" max="1803" width="5.5703125" bestFit="1" customWidth="1"/>
    <col min="1804" max="1804" width="6.7109375" bestFit="1" customWidth="1"/>
    <col min="1805" max="1805" width="8.5703125" bestFit="1" customWidth="1"/>
    <col min="1806" max="1806" width="18.85546875" bestFit="1" customWidth="1"/>
    <col min="2050" max="2050" width="29.42578125" bestFit="1" customWidth="1"/>
    <col min="2051" max="2051" width="26.85546875" bestFit="1" customWidth="1"/>
    <col min="2052" max="2052" width="7.7109375" bestFit="1" customWidth="1"/>
    <col min="2053" max="2053" width="6.7109375" bestFit="1" customWidth="1"/>
    <col min="2054" max="2054" width="17.28515625" bestFit="1" customWidth="1"/>
    <col min="2055" max="2055" width="33.140625" bestFit="1" customWidth="1"/>
    <col min="2056" max="2059" width="5.5703125" bestFit="1" customWidth="1"/>
    <col min="2060" max="2060" width="6.7109375" bestFit="1" customWidth="1"/>
    <col min="2061" max="2061" width="8.5703125" bestFit="1" customWidth="1"/>
    <col min="2062" max="2062" width="18.85546875" bestFit="1" customWidth="1"/>
    <col min="2306" max="2306" width="29.42578125" bestFit="1" customWidth="1"/>
    <col min="2307" max="2307" width="26.85546875" bestFit="1" customWidth="1"/>
    <col min="2308" max="2308" width="7.7109375" bestFit="1" customWidth="1"/>
    <col min="2309" max="2309" width="6.7109375" bestFit="1" customWidth="1"/>
    <col min="2310" max="2310" width="17.28515625" bestFit="1" customWidth="1"/>
    <col min="2311" max="2311" width="33.140625" bestFit="1" customWidth="1"/>
    <col min="2312" max="2315" width="5.5703125" bestFit="1" customWidth="1"/>
    <col min="2316" max="2316" width="6.7109375" bestFit="1" customWidth="1"/>
    <col min="2317" max="2317" width="8.5703125" bestFit="1" customWidth="1"/>
    <col min="2318" max="2318" width="18.85546875" bestFit="1" customWidth="1"/>
    <col min="2562" max="2562" width="29.42578125" bestFit="1" customWidth="1"/>
    <col min="2563" max="2563" width="26.85546875" bestFit="1" customWidth="1"/>
    <col min="2564" max="2564" width="7.7109375" bestFit="1" customWidth="1"/>
    <col min="2565" max="2565" width="6.7109375" bestFit="1" customWidth="1"/>
    <col min="2566" max="2566" width="17.28515625" bestFit="1" customWidth="1"/>
    <col min="2567" max="2567" width="33.140625" bestFit="1" customWidth="1"/>
    <col min="2568" max="2571" width="5.5703125" bestFit="1" customWidth="1"/>
    <col min="2572" max="2572" width="6.7109375" bestFit="1" customWidth="1"/>
    <col min="2573" max="2573" width="8.5703125" bestFit="1" customWidth="1"/>
    <col min="2574" max="2574" width="18.85546875" bestFit="1" customWidth="1"/>
    <col min="2818" max="2818" width="29.42578125" bestFit="1" customWidth="1"/>
    <col min="2819" max="2819" width="26.85546875" bestFit="1" customWidth="1"/>
    <col min="2820" max="2820" width="7.7109375" bestFit="1" customWidth="1"/>
    <col min="2821" max="2821" width="6.7109375" bestFit="1" customWidth="1"/>
    <col min="2822" max="2822" width="17.28515625" bestFit="1" customWidth="1"/>
    <col min="2823" max="2823" width="33.140625" bestFit="1" customWidth="1"/>
    <col min="2824" max="2827" width="5.5703125" bestFit="1" customWidth="1"/>
    <col min="2828" max="2828" width="6.7109375" bestFit="1" customWidth="1"/>
    <col min="2829" max="2829" width="8.5703125" bestFit="1" customWidth="1"/>
    <col min="2830" max="2830" width="18.85546875" bestFit="1" customWidth="1"/>
    <col min="3074" max="3074" width="29.42578125" bestFit="1" customWidth="1"/>
    <col min="3075" max="3075" width="26.85546875" bestFit="1" customWidth="1"/>
    <col min="3076" max="3076" width="7.7109375" bestFit="1" customWidth="1"/>
    <col min="3077" max="3077" width="6.7109375" bestFit="1" customWidth="1"/>
    <col min="3078" max="3078" width="17.28515625" bestFit="1" customWidth="1"/>
    <col min="3079" max="3079" width="33.140625" bestFit="1" customWidth="1"/>
    <col min="3080" max="3083" width="5.5703125" bestFit="1" customWidth="1"/>
    <col min="3084" max="3084" width="6.7109375" bestFit="1" customWidth="1"/>
    <col min="3085" max="3085" width="8.5703125" bestFit="1" customWidth="1"/>
    <col min="3086" max="3086" width="18.85546875" bestFit="1" customWidth="1"/>
    <col min="3330" max="3330" width="29.42578125" bestFit="1" customWidth="1"/>
    <col min="3331" max="3331" width="26.85546875" bestFit="1" customWidth="1"/>
    <col min="3332" max="3332" width="7.7109375" bestFit="1" customWidth="1"/>
    <col min="3333" max="3333" width="6.7109375" bestFit="1" customWidth="1"/>
    <col min="3334" max="3334" width="17.28515625" bestFit="1" customWidth="1"/>
    <col min="3335" max="3335" width="33.140625" bestFit="1" customWidth="1"/>
    <col min="3336" max="3339" width="5.5703125" bestFit="1" customWidth="1"/>
    <col min="3340" max="3340" width="6.7109375" bestFit="1" customWidth="1"/>
    <col min="3341" max="3341" width="8.5703125" bestFit="1" customWidth="1"/>
    <col min="3342" max="3342" width="18.85546875" bestFit="1" customWidth="1"/>
    <col min="3586" max="3586" width="29.42578125" bestFit="1" customWidth="1"/>
    <col min="3587" max="3587" width="26.85546875" bestFit="1" customWidth="1"/>
    <col min="3588" max="3588" width="7.7109375" bestFit="1" customWidth="1"/>
    <col min="3589" max="3589" width="6.7109375" bestFit="1" customWidth="1"/>
    <col min="3590" max="3590" width="17.28515625" bestFit="1" customWidth="1"/>
    <col min="3591" max="3591" width="33.140625" bestFit="1" customWidth="1"/>
    <col min="3592" max="3595" width="5.5703125" bestFit="1" customWidth="1"/>
    <col min="3596" max="3596" width="6.7109375" bestFit="1" customWidth="1"/>
    <col min="3597" max="3597" width="8.5703125" bestFit="1" customWidth="1"/>
    <col min="3598" max="3598" width="18.85546875" bestFit="1" customWidth="1"/>
    <col min="3842" max="3842" width="29.42578125" bestFit="1" customWidth="1"/>
    <col min="3843" max="3843" width="26.85546875" bestFit="1" customWidth="1"/>
    <col min="3844" max="3844" width="7.7109375" bestFit="1" customWidth="1"/>
    <col min="3845" max="3845" width="6.7109375" bestFit="1" customWidth="1"/>
    <col min="3846" max="3846" width="17.28515625" bestFit="1" customWidth="1"/>
    <col min="3847" max="3847" width="33.140625" bestFit="1" customWidth="1"/>
    <col min="3848" max="3851" width="5.5703125" bestFit="1" customWidth="1"/>
    <col min="3852" max="3852" width="6.7109375" bestFit="1" customWidth="1"/>
    <col min="3853" max="3853" width="8.5703125" bestFit="1" customWidth="1"/>
    <col min="3854" max="3854" width="18.85546875" bestFit="1" customWidth="1"/>
    <col min="4098" max="4098" width="29.42578125" bestFit="1" customWidth="1"/>
    <col min="4099" max="4099" width="26.85546875" bestFit="1" customWidth="1"/>
    <col min="4100" max="4100" width="7.7109375" bestFit="1" customWidth="1"/>
    <col min="4101" max="4101" width="6.7109375" bestFit="1" customWidth="1"/>
    <col min="4102" max="4102" width="17.28515625" bestFit="1" customWidth="1"/>
    <col min="4103" max="4103" width="33.140625" bestFit="1" customWidth="1"/>
    <col min="4104" max="4107" width="5.5703125" bestFit="1" customWidth="1"/>
    <col min="4108" max="4108" width="6.7109375" bestFit="1" customWidth="1"/>
    <col min="4109" max="4109" width="8.5703125" bestFit="1" customWidth="1"/>
    <col min="4110" max="4110" width="18.85546875" bestFit="1" customWidth="1"/>
    <col min="4354" max="4354" width="29.42578125" bestFit="1" customWidth="1"/>
    <col min="4355" max="4355" width="26.85546875" bestFit="1" customWidth="1"/>
    <col min="4356" max="4356" width="7.7109375" bestFit="1" customWidth="1"/>
    <col min="4357" max="4357" width="6.7109375" bestFit="1" customWidth="1"/>
    <col min="4358" max="4358" width="17.28515625" bestFit="1" customWidth="1"/>
    <col min="4359" max="4359" width="33.140625" bestFit="1" customWidth="1"/>
    <col min="4360" max="4363" width="5.5703125" bestFit="1" customWidth="1"/>
    <col min="4364" max="4364" width="6.7109375" bestFit="1" customWidth="1"/>
    <col min="4365" max="4365" width="8.5703125" bestFit="1" customWidth="1"/>
    <col min="4366" max="4366" width="18.85546875" bestFit="1" customWidth="1"/>
    <col min="4610" max="4610" width="29.42578125" bestFit="1" customWidth="1"/>
    <col min="4611" max="4611" width="26.85546875" bestFit="1" customWidth="1"/>
    <col min="4612" max="4612" width="7.7109375" bestFit="1" customWidth="1"/>
    <col min="4613" max="4613" width="6.7109375" bestFit="1" customWidth="1"/>
    <col min="4614" max="4614" width="17.28515625" bestFit="1" customWidth="1"/>
    <col min="4615" max="4615" width="33.140625" bestFit="1" customWidth="1"/>
    <col min="4616" max="4619" width="5.5703125" bestFit="1" customWidth="1"/>
    <col min="4620" max="4620" width="6.7109375" bestFit="1" customWidth="1"/>
    <col min="4621" max="4621" width="8.5703125" bestFit="1" customWidth="1"/>
    <col min="4622" max="4622" width="18.85546875" bestFit="1" customWidth="1"/>
    <col min="4866" max="4866" width="29.42578125" bestFit="1" customWidth="1"/>
    <col min="4867" max="4867" width="26.85546875" bestFit="1" customWidth="1"/>
    <col min="4868" max="4868" width="7.7109375" bestFit="1" customWidth="1"/>
    <col min="4869" max="4869" width="6.7109375" bestFit="1" customWidth="1"/>
    <col min="4870" max="4870" width="17.28515625" bestFit="1" customWidth="1"/>
    <col min="4871" max="4871" width="33.140625" bestFit="1" customWidth="1"/>
    <col min="4872" max="4875" width="5.5703125" bestFit="1" customWidth="1"/>
    <col min="4876" max="4876" width="6.7109375" bestFit="1" customWidth="1"/>
    <col min="4877" max="4877" width="8.5703125" bestFit="1" customWidth="1"/>
    <col min="4878" max="4878" width="18.85546875" bestFit="1" customWidth="1"/>
    <col min="5122" max="5122" width="29.42578125" bestFit="1" customWidth="1"/>
    <col min="5123" max="5123" width="26.85546875" bestFit="1" customWidth="1"/>
    <col min="5124" max="5124" width="7.7109375" bestFit="1" customWidth="1"/>
    <col min="5125" max="5125" width="6.7109375" bestFit="1" customWidth="1"/>
    <col min="5126" max="5126" width="17.28515625" bestFit="1" customWidth="1"/>
    <col min="5127" max="5127" width="33.140625" bestFit="1" customWidth="1"/>
    <col min="5128" max="5131" width="5.5703125" bestFit="1" customWidth="1"/>
    <col min="5132" max="5132" width="6.7109375" bestFit="1" customWidth="1"/>
    <col min="5133" max="5133" width="8.5703125" bestFit="1" customWidth="1"/>
    <col min="5134" max="5134" width="18.85546875" bestFit="1" customWidth="1"/>
    <col min="5378" max="5378" width="29.42578125" bestFit="1" customWidth="1"/>
    <col min="5379" max="5379" width="26.85546875" bestFit="1" customWidth="1"/>
    <col min="5380" max="5380" width="7.7109375" bestFit="1" customWidth="1"/>
    <col min="5381" max="5381" width="6.7109375" bestFit="1" customWidth="1"/>
    <col min="5382" max="5382" width="17.28515625" bestFit="1" customWidth="1"/>
    <col min="5383" max="5383" width="33.140625" bestFit="1" customWidth="1"/>
    <col min="5384" max="5387" width="5.5703125" bestFit="1" customWidth="1"/>
    <col min="5388" max="5388" width="6.7109375" bestFit="1" customWidth="1"/>
    <col min="5389" max="5389" width="8.5703125" bestFit="1" customWidth="1"/>
    <col min="5390" max="5390" width="18.85546875" bestFit="1" customWidth="1"/>
    <col min="5634" max="5634" width="29.42578125" bestFit="1" customWidth="1"/>
    <col min="5635" max="5635" width="26.85546875" bestFit="1" customWidth="1"/>
    <col min="5636" max="5636" width="7.7109375" bestFit="1" customWidth="1"/>
    <col min="5637" max="5637" width="6.7109375" bestFit="1" customWidth="1"/>
    <col min="5638" max="5638" width="17.28515625" bestFit="1" customWidth="1"/>
    <col min="5639" max="5639" width="33.140625" bestFit="1" customWidth="1"/>
    <col min="5640" max="5643" width="5.5703125" bestFit="1" customWidth="1"/>
    <col min="5644" max="5644" width="6.7109375" bestFit="1" customWidth="1"/>
    <col min="5645" max="5645" width="8.5703125" bestFit="1" customWidth="1"/>
    <col min="5646" max="5646" width="18.85546875" bestFit="1" customWidth="1"/>
    <col min="5890" max="5890" width="29.42578125" bestFit="1" customWidth="1"/>
    <col min="5891" max="5891" width="26.85546875" bestFit="1" customWidth="1"/>
    <col min="5892" max="5892" width="7.7109375" bestFit="1" customWidth="1"/>
    <col min="5893" max="5893" width="6.7109375" bestFit="1" customWidth="1"/>
    <col min="5894" max="5894" width="17.28515625" bestFit="1" customWidth="1"/>
    <col min="5895" max="5895" width="33.140625" bestFit="1" customWidth="1"/>
    <col min="5896" max="5899" width="5.5703125" bestFit="1" customWidth="1"/>
    <col min="5900" max="5900" width="6.7109375" bestFit="1" customWidth="1"/>
    <col min="5901" max="5901" width="8.5703125" bestFit="1" customWidth="1"/>
    <col min="5902" max="5902" width="18.85546875" bestFit="1" customWidth="1"/>
    <col min="6146" max="6146" width="29.42578125" bestFit="1" customWidth="1"/>
    <col min="6147" max="6147" width="26.85546875" bestFit="1" customWidth="1"/>
    <col min="6148" max="6148" width="7.7109375" bestFit="1" customWidth="1"/>
    <col min="6149" max="6149" width="6.7109375" bestFit="1" customWidth="1"/>
    <col min="6150" max="6150" width="17.28515625" bestFit="1" customWidth="1"/>
    <col min="6151" max="6151" width="33.140625" bestFit="1" customWidth="1"/>
    <col min="6152" max="6155" width="5.5703125" bestFit="1" customWidth="1"/>
    <col min="6156" max="6156" width="6.7109375" bestFit="1" customWidth="1"/>
    <col min="6157" max="6157" width="8.5703125" bestFit="1" customWidth="1"/>
    <col min="6158" max="6158" width="18.85546875" bestFit="1" customWidth="1"/>
    <col min="6402" max="6402" width="29.42578125" bestFit="1" customWidth="1"/>
    <col min="6403" max="6403" width="26.85546875" bestFit="1" customWidth="1"/>
    <col min="6404" max="6404" width="7.7109375" bestFit="1" customWidth="1"/>
    <col min="6405" max="6405" width="6.7109375" bestFit="1" customWidth="1"/>
    <col min="6406" max="6406" width="17.28515625" bestFit="1" customWidth="1"/>
    <col min="6407" max="6407" width="33.140625" bestFit="1" customWidth="1"/>
    <col min="6408" max="6411" width="5.5703125" bestFit="1" customWidth="1"/>
    <col min="6412" max="6412" width="6.7109375" bestFit="1" customWidth="1"/>
    <col min="6413" max="6413" width="8.5703125" bestFit="1" customWidth="1"/>
    <col min="6414" max="6414" width="18.85546875" bestFit="1" customWidth="1"/>
    <col min="6658" max="6658" width="29.42578125" bestFit="1" customWidth="1"/>
    <col min="6659" max="6659" width="26.85546875" bestFit="1" customWidth="1"/>
    <col min="6660" max="6660" width="7.7109375" bestFit="1" customWidth="1"/>
    <col min="6661" max="6661" width="6.7109375" bestFit="1" customWidth="1"/>
    <col min="6662" max="6662" width="17.28515625" bestFit="1" customWidth="1"/>
    <col min="6663" max="6663" width="33.140625" bestFit="1" customWidth="1"/>
    <col min="6664" max="6667" width="5.5703125" bestFit="1" customWidth="1"/>
    <col min="6668" max="6668" width="6.7109375" bestFit="1" customWidth="1"/>
    <col min="6669" max="6669" width="8.5703125" bestFit="1" customWidth="1"/>
    <col min="6670" max="6670" width="18.85546875" bestFit="1" customWidth="1"/>
    <col min="6914" max="6914" width="29.42578125" bestFit="1" customWidth="1"/>
    <col min="6915" max="6915" width="26.85546875" bestFit="1" customWidth="1"/>
    <col min="6916" max="6916" width="7.7109375" bestFit="1" customWidth="1"/>
    <col min="6917" max="6917" width="6.7109375" bestFit="1" customWidth="1"/>
    <col min="6918" max="6918" width="17.28515625" bestFit="1" customWidth="1"/>
    <col min="6919" max="6919" width="33.140625" bestFit="1" customWidth="1"/>
    <col min="6920" max="6923" width="5.5703125" bestFit="1" customWidth="1"/>
    <col min="6924" max="6924" width="6.7109375" bestFit="1" customWidth="1"/>
    <col min="6925" max="6925" width="8.5703125" bestFit="1" customWidth="1"/>
    <col min="6926" max="6926" width="18.85546875" bestFit="1" customWidth="1"/>
    <col min="7170" max="7170" width="29.42578125" bestFit="1" customWidth="1"/>
    <col min="7171" max="7171" width="26.85546875" bestFit="1" customWidth="1"/>
    <col min="7172" max="7172" width="7.7109375" bestFit="1" customWidth="1"/>
    <col min="7173" max="7173" width="6.7109375" bestFit="1" customWidth="1"/>
    <col min="7174" max="7174" width="17.28515625" bestFit="1" customWidth="1"/>
    <col min="7175" max="7175" width="33.140625" bestFit="1" customWidth="1"/>
    <col min="7176" max="7179" width="5.5703125" bestFit="1" customWidth="1"/>
    <col min="7180" max="7180" width="6.7109375" bestFit="1" customWidth="1"/>
    <col min="7181" max="7181" width="8.5703125" bestFit="1" customWidth="1"/>
    <col min="7182" max="7182" width="18.85546875" bestFit="1" customWidth="1"/>
    <col min="7426" max="7426" width="29.42578125" bestFit="1" customWidth="1"/>
    <col min="7427" max="7427" width="26.85546875" bestFit="1" customWidth="1"/>
    <col min="7428" max="7428" width="7.7109375" bestFit="1" customWidth="1"/>
    <col min="7429" max="7429" width="6.7109375" bestFit="1" customWidth="1"/>
    <col min="7430" max="7430" width="17.28515625" bestFit="1" customWidth="1"/>
    <col min="7431" max="7431" width="33.140625" bestFit="1" customWidth="1"/>
    <col min="7432" max="7435" width="5.5703125" bestFit="1" customWidth="1"/>
    <col min="7436" max="7436" width="6.7109375" bestFit="1" customWidth="1"/>
    <col min="7437" max="7437" width="8.5703125" bestFit="1" customWidth="1"/>
    <col min="7438" max="7438" width="18.85546875" bestFit="1" customWidth="1"/>
    <col min="7682" max="7682" width="29.42578125" bestFit="1" customWidth="1"/>
    <col min="7683" max="7683" width="26.85546875" bestFit="1" customWidth="1"/>
    <col min="7684" max="7684" width="7.7109375" bestFit="1" customWidth="1"/>
    <col min="7685" max="7685" width="6.7109375" bestFit="1" customWidth="1"/>
    <col min="7686" max="7686" width="17.28515625" bestFit="1" customWidth="1"/>
    <col min="7687" max="7687" width="33.140625" bestFit="1" customWidth="1"/>
    <col min="7688" max="7691" width="5.5703125" bestFit="1" customWidth="1"/>
    <col min="7692" max="7692" width="6.7109375" bestFit="1" customWidth="1"/>
    <col min="7693" max="7693" width="8.5703125" bestFit="1" customWidth="1"/>
    <col min="7694" max="7694" width="18.85546875" bestFit="1" customWidth="1"/>
    <col min="7938" max="7938" width="29.42578125" bestFit="1" customWidth="1"/>
    <col min="7939" max="7939" width="26.85546875" bestFit="1" customWidth="1"/>
    <col min="7940" max="7940" width="7.7109375" bestFit="1" customWidth="1"/>
    <col min="7941" max="7941" width="6.7109375" bestFit="1" customWidth="1"/>
    <col min="7942" max="7942" width="17.28515625" bestFit="1" customWidth="1"/>
    <col min="7943" max="7943" width="33.140625" bestFit="1" customWidth="1"/>
    <col min="7944" max="7947" width="5.5703125" bestFit="1" customWidth="1"/>
    <col min="7948" max="7948" width="6.7109375" bestFit="1" customWidth="1"/>
    <col min="7949" max="7949" width="8.5703125" bestFit="1" customWidth="1"/>
    <col min="7950" max="7950" width="18.85546875" bestFit="1" customWidth="1"/>
    <col min="8194" max="8194" width="29.42578125" bestFit="1" customWidth="1"/>
    <col min="8195" max="8195" width="26.85546875" bestFit="1" customWidth="1"/>
    <col min="8196" max="8196" width="7.7109375" bestFit="1" customWidth="1"/>
    <col min="8197" max="8197" width="6.7109375" bestFit="1" customWidth="1"/>
    <col min="8198" max="8198" width="17.28515625" bestFit="1" customWidth="1"/>
    <col min="8199" max="8199" width="33.140625" bestFit="1" customWidth="1"/>
    <col min="8200" max="8203" width="5.5703125" bestFit="1" customWidth="1"/>
    <col min="8204" max="8204" width="6.7109375" bestFit="1" customWidth="1"/>
    <col min="8205" max="8205" width="8.5703125" bestFit="1" customWidth="1"/>
    <col min="8206" max="8206" width="18.85546875" bestFit="1" customWidth="1"/>
    <col min="8450" max="8450" width="29.42578125" bestFit="1" customWidth="1"/>
    <col min="8451" max="8451" width="26.85546875" bestFit="1" customWidth="1"/>
    <col min="8452" max="8452" width="7.7109375" bestFit="1" customWidth="1"/>
    <col min="8453" max="8453" width="6.7109375" bestFit="1" customWidth="1"/>
    <col min="8454" max="8454" width="17.28515625" bestFit="1" customWidth="1"/>
    <col min="8455" max="8455" width="33.140625" bestFit="1" customWidth="1"/>
    <col min="8456" max="8459" width="5.5703125" bestFit="1" customWidth="1"/>
    <col min="8460" max="8460" width="6.7109375" bestFit="1" customWidth="1"/>
    <col min="8461" max="8461" width="8.5703125" bestFit="1" customWidth="1"/>
    <col min="8462" max="8462" width="18.85546875" bestFit="1" customWidth="1"/>
    <col min="8706" max="8706" width="29.42578125" bestFit="1" customWidth="1"/>
    <col min="8707" max="8707" width="26.85546875" bestFit="1" customWidth="1"/>
    <col min="8708" max="8708" width="7.7109375" bestFit="1" customWidth="1"/>
    <col min="8709" max="8709" width="6.7109375" bestFit="1" customWidth="1"/>
    <col min="8710" max="8710" width="17.28515625" bestFit="1" customWidth="1"/>
    <col min="8711" max="8711" width="33.140625" bestFit="1" customWidth="1"/>
    <col min="8712" max="8715" width="5.5703125" bestFit="1" customWidth="1"/>
    <col min="8716" max="8716" width="6.7109375" bestFit="1" customWidth="1"/>
    <col min="8717" max="8717" width="8.5703125" bestFit="1" customWidth="1"/>
    <col min="8718" max="8718" width="18.85546875" bestFit="1" customWidth="1"/>
    <col min="8962" max="8962" width="29.42578125" bestFit="1" customWidth="1"/>
    <col min="8963" max="8963" width="26.85546875" bestFit="1" customWidth="1"/>
    <col min="8964" max="8964" width="7.7109375" bestFit="1" customWidth="1"/>
    <col min="8965" max="8965" width="6.7109375" bestFit="1" customWidth="1"/>
    <col min="8966" max="8966" width="17.28515625" bestFit="1" customWidth="1"/>
    <col min="8967" max="8967" width="33.140625" bestFit="1" customWidth="1"/>
    <col min="8968" max="8971" width="5.5703125" bestFit="1" customWidth="1"/>
    <col min="8972" max="8972" width="6.7109375" bestFit="1" customWidth="1"/>
    <col min="8973" max="8973" width="8.5703125" bestFit="1" customWidth="1"/>
    <col min="8974" max="8974" width="18.85546875" bestFit="1" customWidth="1"/>
    <col min="9218" max="9218" width="29.42578125" bestFit="1" customWidth="1"/>
    <col min="9219" max="9219" width="26.85546875" bestFit="1" customWidth="1"/>
    <col min="9220" max="9220" width="7.7109375" bestFit="1" customWidth="1"/>
    <col min="9221" max="9221" width="6.7109375" bestFit="1" customWidth="1"/>
    <col min="9222" max="9222" width="17.28515625" bestFit="1" customWidth="1"/>
    <col min="9223" max="9223" width="33.140625" bestFit="1" customWidth="1"/>
    <col min="9224" max="9227" width="5.5703125" bestFit="1" customWidth="1"/>
    <col min="9228" max="9228" width="6.7109375" bestFit="1" customWidth="1"/>
    <col min="9229" max="9229" width="8.5703125" bestFit="1" customWidth="1"/>
    <col min="9230" max="9230" width="18.85546875" bestFit="1" customWidth="1"/>
    <col min="9474" max="9474" width="29.42578125" bestFit="1" customWidth="1"/>
    <col min="9475" max="9475" width="26.85546875" bestFit="1" customWidth="1"/>
    <col min="9476" max="9476" width="7.7109375" bestFit="1" customWidth="1"/>
    <col min="9477" max="9477" width="6.7109375" bestFit="1" customWidth="1"/>
    <col min="9478" max="9478" width="17.28515625" bestFit="1" customWidth="1"/>
    <col min="9479" max="9479" width="33.140625" bestFit="1" customWidth="1"/>
    <col min="9480" max="9483" width="5.5703125" bestFit="1" customWidth="1"/>
    <col min="9484" max="9484" width="6.7109375" bestFit="1" customWidth="1"/>
    <col min="9485" max="9485" width="8.5703125" bestFit="1" customWidth="1"/>
    <col min="9486" max="9486" width="18.85546875" bestFit="1" customWidth="1"/>
    <col min="9730" max="9730" width="29.42578125" bestFit="1" customWidth="1"/>
    <col min="9731" max="9731" width="26.85546875" bestFit="1" customWidth="1"/>
    <col min="9732" max="9732" width="7.7109375" bestFit="1" customWidth="1"/>
    <col min="9733" max="9733" width="6.7109375" bestFit="1" customWidth="1"/>
    <col min="9734" max="9734" width="17.28515625" bestFit="1" customWidth="1"/>
    <col min="9735" max="9735" width="33.140625" bestFit="1" customWidth="1"/>
    <col min="9736" max="9739" width="5.5703125" bestFit="1" customWidth="1"/>
    <col min="9740" max="9740" width="6.7109375" bestFit="1" customWidth="1"/>
    <col min="9741" max="9741" width="8.5703125" bestFit="1" customWidth="1"/>
    <col min="9742" max="9742" width="18.85546875" bestFit="1" customWidth="1"/>
    <col min="9986" max="9986" width="29.42578125" bestFit="1" customWidth="1"/>
    <col min="9987" max="9987" width="26.85546875" bestFit="1" customWidth="1"/>
    <col min="9988" max="9988" width="7.7109375" bestFit="1" customWidth="1"/>
    <col min="9989" max="9989" width="6.7109375" bestFit="1" customWidth="1"/>
    <col min="9990" max="9990" width="17.28515625" bestFit="1" customWidth="1"/>
    <col min="9991" max="9991" width="33.140625" bestFit="1" customWidth="1"/>
    <col min="9992" max="9995" width="5.5703125" bestFit="1" customWidth="1"/>
    <col min="9996" max="9996" width="6.7109375" bestFit="1" customWidth="1"/>
    <col min="9997" max="9997" width="8.5703125" bestFit="1" customWidth="1"/>
    <col min="9998" max="9998" width="18.85546875" bestFit="1" customWidth="1"/>
    <col min="10242" max="10242" width="29.42578125" bestFit="1" customWidth="1"/>
    <col min="10243" max="10243" width="26.85546875" bestFit="1" customWidth="1"/>
    <col min="10244" max="10244" width="7.7109375" bestFit="1" customWidth="1"/>
    <col min="10245" max="10245" width="6.7109375" bestFit="1" customWidth="1"/>
    <col min="10246" max="10246" width="17.28515625" bestFit="1" customWidth="1"/>
    <col min="10247" max="10247" width="33.140625" bestFit="1" customWidth="1"/>
    <col min="10248" max="10251" width="5.5703125" bestFit="1" customWidth="1"/>
    <col min="10252" max="10252" width="6.7109375" bestFit="1" customWidth="1"/>
    <col min="10253" max="10253" width="8.5703125" bestFit="1" customWidth="1"/>
    <col min="10254" max="10254" width="18.85546875" bestFit="1" customWidth="1"/>
    <col min="10498" max="10498" width="29.42578125" bestFit="1" customWidth="1"/>
    <col min="10499" max="10499" width="26.85546875" bestFit="1" customWidth="1"/>
    <col min="10500" max="10500" width="7.7109375" bestFit="1" customWidth="1"/>
    <col min="10501" max="10501" width="6.7109375" bestFit="1" customWidth="1"/>
    <col min="10502" max="10502" width="17.28515625" bestFit="1" customWidth="1"/>
    <col min="10503" max="10503" width="33.140625" bestFit="1" customWidth="1"/>
    <col min="10504" max="10507" width="5.5703125" bestFit="1" customWidth="1"/>
    <col min="10508" max="10508" width="6.7109375" bestFit="1" customWidth="1"/>
    <col min="10509" max="10509" width="8.5703125" bestFit="1" customWidth="1"/>
    <col min="10510" max="10510" width="18.85546875" bestFit="1" customWidth="1"/>
    <col min="10754" max="10754" width="29.42578125" bestFit="1" customWidth="1"/>
    <col min="10755" max="10755" width="26.85546875" bestFit="1" customWidth="1"/>
    <col min="10756" max="10756" width="7.7109375" bestFit="1" customWidth="1"/>
    <col min="10757" max="10757" width="6.7109375" bestFit="1" customWidth="1"/>
    <col min="10758" max="10758" width="17.28515625" bestFit="1" customWidth="1"/>
    <col min="10759" max="10759" width="33.140625" bestFit="1" customWidth="1"/>
    <col min="10760" max="10763" width="5.5703125" bestFit="1" customWidth="1"/>
    <col min="10764" max="10764" width="6.7109375" bestFit="1" customWidth="1"/>
    <col min="10765" max="10765" width="8.5703125" bestFit="1" customWidth="1"/>
    <col min="10766" max="10766" width="18.85546875" bestFit="1" customWidth="1"/>
    <col min="11010" max="11010" width="29.42578125" bestFit="1" customWidth="1"/>
    <col min="11011" max="11011" width="26.85546875" bestFit="1" customWidth="1"/>
    <col min="11012" max="11012" width="7.7109375" bestFit="1" customWidth="1"/>
    <col min="11013" max="11013" width="6.7109375" bestFit="1" customWidth="1"/>
    <col min="11014" max="11014" width="17.28515625" bestFit="1" customWidth="1"/>
    <col min="11015" max="11015" width="33.140625" bestFit="1" customWidth="1"/>
    <col min="11016" max="11019" width="5.5703125" bestFit="1" customWidth="1"/>
    <col min="11020" max="11020" width="6.7109375" bestFit="1" customWidth="1"/>
    <col min="11021" max="11021" width="8.5703125" bestFit="1" customWidth="1"/>
    <col min="11022" max="11022" width="18.85546875" bestFit="1" customWidth="1"/>
    <col min="11266" max="11266" width="29.42578125" bestFit="1" customWidth="1"/>
    <col min="11267" max="11267" width="26.85546875" bestFit="1" customWidth="1"/>
    <col min="11268" max="11268" width="7.7109375" bestFit="1" customWidth="1"/>
    <col min="11269" max="11269" width="6.7109375" bestFit="1" customWidth="1"/>
    <col min="11270" max="11270" width="17.28515625" bestFit="1" customWidth="1"/>
    <col min="11271" max="11271" width="33.140625" bestFit="1" customWidth="1"/>
    <col min="11272" max="11275" width="5.5703125" bestFit="1" customWidth="1"/>
    <col min="11276" max="11276" width="6.7109375" bestFit="1" customWidth="1"/>
    <col min="11277" max="11277" width="8.5703125" bestFit="1" customWidth="1"/>
    <col min="11278" max="11278" width="18.85546875" bestFit="1" customWidth="1"/>
    <col min="11522" max="11522" width="29.42578125" bestFit="1" customWidth="1"/>
    <col min="11523" max="11523" width="26.85546875" bestFit="1" customWidth="1"/>
    <col min="11524" max="11524" width="7.7109375" bestFit="1" customWidth="1"/>
    <col min="11525" max="11525" width="6.7109375" bestFit="1" customWidth="1"/>
    <col min="11526" max="11526" width="17.28515625" bestFit="1" customWidth="1"/>
    <col min="11527" max="11527" width="33.140625" bestFit="1" customWidth="1"/>
    <col min="11528" max="11531" width="5.5703125" bestFit="1" customWidth="1"/>
    <col min="11532" max="11532" width="6.7109375" bestFit="1" customWidth="1"/>
    <col min="11533" max="11533" width="8.5703125" bestFit="1" customWidth="1"/>
    <col min="11534" max="11534" width="18.85546875" bestFit="1" customWidth="1"/>
    <col min="11778" max="11778" width="29.42578125" bestFit="1" customWidth="1"/>
    <col min="11779" max="11779" width="26.85546875" bestFit="1" customWidth="1"/>
    <col min="11780" max="11780" width="7.7109375" bestFit="1" customWidth="1"/>
    <col min="11781" max="11781" width="6.7109375" bestFit="1" customWidth="1"/>
    <col min="11782" max="11782" width="17.28515625" bestFit="1" customWidth="1"/>
    <col min="11783" max="11783" width="33.140625" bestFit="1" customWidth="1"/>
    <col min="11784" max="11787" width="5.5703125" bestFit="1" customWidth="1"/>
    <col min="11788" max="11788" width="6.7109375" bestFit="1" customWidth="1"/>
    <col min="11789" max="11789" width="8.5703125" bestFit="1" customWidth="1"/>
    <col min="11790" max="11790" width="18.85546875" bestFit="1" customWidth="1"/>
    <col min="12034" max="12034" width="29.42578125" bestFit="1" customWidth="1"/>
    <col min="12035" max="12035" width="26.85546875" bestFit="1" customWidth="1"/>
    <col min="12036" max="12036" width="7.7109375" bestFit="1" customWidth="1"/>
    <col min="12037" max="12037" width="6.7109375" bestFit="1" customWidth="1"/>
    <col min="12038" max="12038" width="17.28515625" bestFit="1" customWidth="1"/>
    <col min="12039" max="12039" width="33.140625" bestFit="1" customWidth="1"/>
    <col min="12040" max="12043" width="5.5703125" bestFit="1" customWidth="1"/>
    <col min="12044" max="12044" width="6.7109375" bestFit="1" customWidth="1"/>
    <col min="12045" max="12045" width="8.5703125" bestFit="1" customWidth="1"/>
    <col min="12046" max="12046" width="18.85546875" bestFit="1" customWidth="1"/>
    <col min="12290" max="12290" width="29.42578125" bestFit="1" customWidth="1"/>
    <col min="12291" max="12291" width="26.85546875" bestFit="1" customWidth="1"/>
    <col min="12292" max="12292" width="7.7109375" bestFit="1" customWidth="1"/>
    <col min="12293" max="12293" width="6.7109375" bestFit="1" customWidth="1"/>
    <col min="12294" max="12294" width="17.28515625" bestFit="1" customWidth="1"/>
    <col min="12295" max="12295" width="33.140625" bestFit="1" customWidth="1"/>
    <col min="12296" max="12299" width="5.5703125" bestFit="1" customWidth="1"/>
    <col min="12300" max="12300" width="6.7109375" bestFit="1" customWidth="1"/>
    <col min="12301" max="12301" width="8.5703125" bestFit="1" customWidth="1"/>
    <col min="12302" max="12302" width="18.85546875" bestFit="1" customWidth="1"/>
    <col min="12546" max="12546" width="29.42578125" bestFit="1" customWidth="1"/>
    <col min="12547" max="12547" width="26.85546875" bestFit="1" customWidth="1"/>
    <col min="12548" max="12548" width="7.7109375" bestFit="1" customWidth="1"/>
    <col min="12549" max="12549" width="6.7109375" bestFit="1" customWidth="1"/>
    <col min="12550" max="12550" width="17.28515625" bestFit="1" customWidth="1"/>
    <col min="12551" max="12551" width="33.140625" bestFit="1" customWidth="1"/>
    <col min="12552" max="12555" width="5.5703125" bestFit="1" customWidth="1"/>
    <col min="12556" max="12556" width="6.7109375" bestFit="1" customWidth="1"/>
    <col min="12557" max="12557" width="8.5703125" bestFit="1" customWidth="1"/>
    <col min="12558" max="12558" width="18.85546875" bestFit="1" customWidth="1"/>
    <col min="12802" max="12802" width="29.42578125" bestFit="1" customWidth="1"/>
    <col min="12803" max="12803" width="26.85546875" bestFit="1" customWidth="1"/>
    <col min="12804" max="12804" width="7.7109375" bestFit="1" customWidth="1"/>
    <col min="12805" max="12805" width="6.7109375" bestFit="1" customWidth="1"/>
    <col min="12806" max="12806" width="17.28515625" bestFit="1" customWidth="1"/>
    <col min="12807" max="12807" width="33.140625" bestFit="1" customWidth="1"/>
    <col min="12808" max="12811" width="5.5703125" bestFit="1" customWidth="1"/>
    <col min="12812" max="12812" width="6.7109375" bestFit="1" customWidth="1"/>
    <col min="12813" max="12813" width="8.5703125" bestFit="1" customWidth="1"/>
    <col min="12814" max="12814" width="18.85546875" bestFit="1" customWidth="1"/>
    <col min="13058" max="13058" width="29.42578125" bestFit="1" customWidth="1"/>
    <col min="13059" max="13059" width="26.85546875" bestFit="1" customWidth="1"/>
    <col min="13060" max="13060" width="7.7109375" bestFit="1" customWidth="1"/>
    <col min="13061" max="13061" width="6.7109375" bestFit="1" customWidth="1"/>
    <col min="13062" max="13062" width="17.28515625" bestFit="1" customWidth="1"/>
    <col min="13063" max="13063" width="33.140625" bestFit="1" customWidth="1"/>
    <col min="13064" max="13067" width="5.5703125" bestFit="1" customWidth="1"/>
    <col min="13068" max="13068" width="6.7109375" bestFit="1" customWidth="1"/>
    <col min="13069" max="13069" width="8.5703125" bestFit="1" customWidth="1"/>
    <col min="13070" max="13070" width="18.85546875" bestFit="1" customWidth="1"/>
    <col min="13314" max="13314" width="29.42578125" bestFit="1" customWidth="1"/>
    <col min="13315" max="13315" width="26.85546875" bestFit="1" customWidth="1"/>
    <col min="13316" max="13316" width="7.7109375" bestFit="1" customWidth="1"/>
    <col min="13317" max="13317" width="6.7109375" bestFit="1" customWidth="1"/>
    <col min="13318" max="13318" width="17.28515625" bestFit="1" customWidth="1"/>
    <col min="13319" max="13319" width="33.140625" bestFit="1" customWidth="1"/>
    <col min="13320" max="13323" width="5.5703125" bestFit="1" customWidth="1"/>
    <col min="13324" max="13324" width="6.7109375" bestFit="1" customWidth="1"/>
    <col min="13325" max="13325" width="8.5703125" bestFit="1" customWidth="1"/>
    <col min="13326" max="13326" width="18.85546875" bestFit="1" customWidth="1"/>
    <col min="13570" max="13570" width="29.42578125" bestFit="1" customWidth="1"/>
    <col min="13571" max="13571" width="26.85546875" bestFit="1" customWidth="1"/>
    <col min="13572" max="13572" width="7.7109375" bestFit="1" customWidth="1"/>
    <col min="13573" max="13573" width="6.7109375" bestFit="1" customWidth="1"/>
    <col min="13574" max="13574" width="17.28515625" bestFit="1" customWidth="1"/>
    <col min="13575" max="13575" width="33.140625" bestFit="1" customWidth="1"/>
    <col min="13576" max="13579" width="5.5703125" bestFit="1" customWidth="1"/>
    <col min="13580" max="13580" width="6.7109375" bestFit="1" customWidth="1"/>
    <col min="13581" max="13581" width="8.5703125" bestFit="1" customWidth="1"/>
    <col min="13582" max="13582" width="18.85546875" bestFit="1" customWidth="1"/>
    <col min="13826" max="13826" width="29.42578125" bestFit="1" customWidth="1"/>
    <col min="13827" max="13827" width="26.85546875" bestFit="1" customWidth="1"/>
    <col min="13828" max="13828" width="7.7109375" bestFit="1" customWidth="1"/>
    <col min="13829" max="13829" width="6.7109375" bestFit="1" customWidth="1"/>
    <col min="13830" max="13830" width="17.28515625" bestFit="1" customWidth="1"/>
    <col min="13831" max="13831" width="33.140625" bestFit="1" customWidth="1"/>
    <col min="13832" max="13835" width="5.5703125" bestFit="1" customWidth="1"/>
    <col min="13836" max="13836" width="6.7109375" bestFit="1" customWidth="1"/>
    <col min="13837" max="13837" width="8.5703125" bestFit="1" customWidth="1"/>
    <col min="13838" max="13838" width="18.85546875" bestFit="1" customWidth="1"/>
    <col min="14082" max="14082" width="29.42578125" bestFit="1" customWidth="1"/>
    <col min="14083" max="14083" width="26.85546875" bestFit="1" customWidth="1"/>
    <col min="14084" max="14084" width="7.7109375" bestFit="1" customWidth="1"/>
    <col min="14085" max="14085" width="6.7109375" bestFit="1" customWidth="1"/>
    <col min="14086" max="14086" width="17.28515625" bestFit="1" customWidth="1"/>
    <col min="14087" max="14087" width="33.140625" bestFit="1" customWidth="1"/>
    <col min="14088" max="14091" width="5.5703125" bestFit="1" customWidth="1"/>
    <col min="14092" max="14092" width="6.7109375" bestFit="1" customWidth="1"/>
    <col min="14093" max="14093" width="8.5703125" bestFit="1" customWidth="1"/>
    <col min="14094" max="14094" width="18.85546875" bestFit="1" customWidth="1"/>
    <col min="14338" max="14338" width="29.42578125" bestFit="1" customWidth="1"/>
    <col min="14339" max="14339" width="26.85546875" bestFit="1" customWidth="1"/>
    <col min="14340" max="14340" width="7.7109375" bestFit="1" customWidth="1"/>
    <col min="14341" max="14341" width="6.7109375" bestFit="1" customWidth="1"/>
    <col min="14342" max="14342" width="17.28515625" bestFit="1" customWidth="1"/>
    <col min="14343" max="14343" width="33.140625" bestFit="1" customWidth="1"/>
    <col min="14344" max="14347" width="5.5703125" bestFit="1" customWidth="1"/>
    <col min="14348" max="14348" width="6.7109375" bestFit="1" customWidth="1"/>
    <col min="14349" max="14349" width="8.5703125" bestFit="1" customWidth="1"/>
    <col min="14350" max="14350" width="18.85546875" bestFit="1" customWidth="1"/>
    <col min="14594" max="14594" width="29.42578125" bestFit="1" customWidth="1"/>
    <col min="14595" max="14595" width="26.85546875" bestFit="1" customWidth="1"/>
    <col min="14596" max="14596" width="7.7109375" bestFit="1" customWidth="1"/>
    <col min="14597" max="14597" width="6.7109375" bestFit="1" customWidth="1"/>
    <col min="14598" max="14598" width="17.28515625" bestFit="1" customWidth="1"/>
    <col min="14599" max="14599" width="33.140625" bestFit="1" customWidth="1"/>
    <col min="14600" max="14603" width="5.5703125" bestFit="1" customWidth="1"/>
    <col min="14604" max="14604" width="6.7109375" bestFit="1" customWidth="1"/>
    <col min="14605" max="14605" width="8.5703125" bestFit="1" customWidth="1"/>
    <col min="14606" max="14606" width="18.85546875" bestFit="1" customWidth="1"/>
    <col min="14850" max="14850" width="29.42578125" bestFit="1" customWidth="1"/>
    <col min="14851" max="14851" width="26.85546875" bestFit="1" customWidth="1"/>
    <col min="14852" max="14852" width="7.7109375" bestFit="1" customWidth="1"/>
    <col min="14853" max="14853" width="6.7109375" bestFit="1" customWidth="1"/>
    <col min="14854" max="14854" width="17.28515625" bestFit="1" customWidth="1"/>
    <col min="14855" max="14855" width="33.140625" bestFit="1" customWidth="1"/>
    <col min="14856" max="14859" width="5.5703125" bestFit="1" customWidth="1"/>
    <col min="14860" max="14860" width="6.7109375" bestFit="1" customWidth="1"/>
    <col min="14861" max="14861" width="8.5703125" bestFit="1" customWidth="1"/>
    <col min="14862" max="14862" width="18.85546875" bestFit="1" customWidth="1"/>
    <col min="15106" max="15106" width="29.42578125" bestFit="1" customWidth="1"/>
    <col min="15107" max="15107" width="26.85546875" bestFit="1" customWidth="1"/>
    <col min="15108" max="15108" width="7.7109375" bestFit="1" customWidth="1"/>
    <col min="15109" max="15109" width="6.7109375" bestFit="1" customWidth="1"/>
    <col min="15110" max="15110" width="17.28515625" bestFit="1" customWidth="1"/>
    <col min="15111" max="15111" width="33.140625" bestFit="1" customWidth="1"/>
    <col min="15112" max="15115" width="5.5703125" bestFit="1" customWidth="1"/>
    <col min="15116" max="15116" width="6.7109375" bestFit="1" customWidth="1"/>
    <col min="15117" max="15117" width="8.5703125" bestFit="1" customWidth="1"/>
    <col min="15118" max="15118" width="18.85546875" bestFit="1" customWidth="1"/>
    <col min="15362" max="15362" width="29.42578125" bestFit="1" customWidth="1"/>
    <col min="15363" max="15363" width="26.85546875" bestFit="1" customWidth="1"/>
    <col min="15364" max="15364" width="7.7109375" bestFit="1" customWidth="1"/>
    <col min="15365" max="15365" width="6.7109375" bestFit="1" customWidth="1"/>
    <col min="15366" max="15366" width="17.28515625" bestFit="1" customWidth="1"/>
    <col min="15367" max="15367" width="33.140625" bestFit="1" customWidth="1"/>
    <col min="15368" max="15371" width="5.5703125" bestFit="1" customWidth="1"/>
    <col min="15372" max="15372" width="6.7109375" bestFit="1" customWidth="1"/>
    <col min="15373" max="15373" width="8.5703125" bestFit="1" customWidth="1"/>
    <col min="15374" max="15374" width="18.85546875" bestFit="1" customWidth="1"/>
    <col min="15618" max="15618" width="29.42578125" bestFit="1" customWidth="1"/>
    <col min="15619" max="15619" width="26.85546875" bestFit="1" customWidth="1"/>
    <col min="15620" max="15620" width="7.7109375" bestFit="1" customWidth="1"/>
    <col min="15621" max="15621" width="6.7109375" bestFit="1" customWidth="1"/>
    <col min="15622" max="15622" width="17.28515625" bestFit="1" customWidth="1"/>
    <col min="15623" max="15623" width="33.140625" bestFit="1" customWidth="1"/>
    <col min="15624" max="15627" width="5.5703125" bestFit="1" customWidth="1"/>
    <col min="15628" max="15628" width="6.7109375" bestFit="1" customWidth="1"/>
    <col min="15629" max="15629" width="8.5703125" bestFit="1" customWidth="1"/>
    <col min="15630" max="15630" width="18.85546875" bestFit="1" customWidth="1"/>
    <col min="15874" max="15874" width="29.42578125" bestFit="1" customWidth="1"/>
    <col min="15875" max="15875" width="26.85546875" bestFit="1" customWidth="1"/>
    <col min="15876" max="15876" width="7.7109375" bestFit="1" customWidth="1"/>
    <col min="15877" max="15877" width="6.7109375" bestFit="1" customWidth="1"/>
    <col min="15878" max="15878" width="17.28515625" bestFit="1" customWidth="1"/>
    <col min="15879" max="15879" width="33.140625" bestFit="1" customWidth="1"/>
    <col min="15880" max="15883" width="5.5703125" bestFit="1" customWidth="1"/>
    <col min="15884" max="15884" width="6.7109375" bestFit="1" customWidth="1"/>
    <col min="15885" max="15885" width="8.5703125" bestFit="1" customWidth="1"/>
    <col min="15886" max="15886" width="18.85546875" bestFit="1" customWidth="1"/>
    <col min="16130" max="16130" width="29.42578125" bestFit="1" customWidth="1"/>
    <col min="16131" max="16131" width="26.85546875" bestFit="1" customWidth="1"/>
    <col min="16132" max="16132" width="7.7109375" bestFit="1" customWidth="1"/>
    <col min="16133" max="16133" width="6.7109375" bestFit="1" customWidth="1"/>
    <col min="16134" max="16134" width="17.28515625" bestFit="1" customWidth="1"/>
    <col min="16135" max="16135" width="33.140625" bestFit="1" customWidth="1"/>
    <col min="16136" max="16139" width="5.5703125" bestFit="1" customWidth="1"/>
    <col min="16140" max="16140" width="6.7109375" bestFit="1" customWidth="1"/>
    <col min="16141" max="16141" width="8.5703125" bestFit="1" customWidth="1"/>
    <col min="16142" max="16142" width="18.85546875" bestFit="1" customWidth="1"/>
  </cols>
  <sheetData>
    <row r="1" spans="1:18" s="1" customFormat="1" ht="30" customHeight="1" x14ac:dyDescent="0.2">
      <c r="A1" s="295" t="s">
        <v>4023</v>
      </c>
      <c r="B1" s="295"/>
      <c r="C1" s="295"/>
      <c r="D1" s="295"/>
      <c r="E1" s="295"/>
      <c r="F1" s="295"/>
      <c r="G1" s="295"/>
      <c r="H1" s="295"/>
      <c r="I1" s="295"/>
      <c r="J1" s="295"/>
      <c r="K1" s="295"/>
      <c r="L1" s="295"/>
      <c r="M1" s="295"/>
      <c r="N1" s="295"/>
      <c r="O1" s="241"/>
      <c r="P1" s="241"/>
      <c r="Q1" s="241"/>
      <c r="R1" s="241"/>
    </row>
    <row r="2" spans="1:18" s="1" customFormat="1" ht="30" customHeight="1" x14ac:dyDescent="0.2">
      <c r="A2" s="295" t="s">
        <v>4035</v>
      </c>
      <c r="B2" s="295"/>
      <c r="C2" s="295"/>
      <c r="D2" s="295"/>
      <c r="E2" s="295"/>
      <c r="F2" s="295"/>
      <c r="G2" s="295"/>
      <c r="H2" s="295"/>
      <c r="I2" s="295"/>
      <c r="J2" s="295"/>
      <c r="K2" s="295"/>
      <c r="L2" s="295"/>
      <c r="M2" s="295"/>
      <c r="N2" s="295"/>
      <c r="O2" s="241"/>
      <c r="P2" s="241"/>
      <c r="Q2" s="241"/>
      <c r="R2" s="241"/>
    </row>
    <row r="3" spans="1:18" s="1" customFormat="1" ht="30.75" customHeight="1" thickBot="1" x14ac:dyDescent="0.25">
      <c r="A3" s="295" t="s">
        <v>3381</v>
      </c>
      <c r="B3" s="295"/>
      <c r="C3" s="295"/>
      <c r="D3" s="295"/>
      <c r="E3" s="295"/>
      <c r="F3" s="295"/>
      <c r="G3" s="295"/>
      <c r="H3" s="295"/>
      <c r="I3" s="295"/>
      <c r="J3" s="295"/>
      <c r="K3" s="295"/>
      <c r="L3" s="295"/>
      <c r="M3" s="295"/>
      <c r="N3" s="295"/>
      <c r="O3" s="241"/>
      <c r="P3" s="241"/>
      <c r="Q3" s="241"/>
      <c r="R3" s="241"/>
    </row>
    <row r="4" spans="1:18" s="5" customFormat="1" ht="12.75" customHeight="1" x14ac:dyDescent="0.2">
      <c r="A4" s="297" t="s">
        <v>719</v>
      </c>
      <c r="B4" s="300" t="s">
        <v>0</v>
      </c>
      <c r="C4" s="302" t="s">
        <v>3382</v>
      </c>
      <c r="D4" s="302" t="s">
        <v>8</v>
      </c>
      <c r="E4" s="304" t="s">
        <v>9</v>
      </c>
      <c r="F4" s="304" t="s">
        <v>1</v>
      </c>
      <c r="G4" s="305" t="s">
        <v>795</v>
      </c>
      <c r="H4" s="300" t="s">
        <v>2</v>
      </c>
      <c r="I4" s="304"/>
      <c r="J4" s="304"/>
      <c r="K4" s="307"/>
      <c r="L4" s="308" t="s">
        <v>3593</v>
      </c>
      <c r="M4" s="304" t="s">
        <v>6</v>
      </c>
      <c r="N4" s="307" t="s">
        <v>5</v>
      </c>
    </row>
    <row r="5" spans="1:18" s="5" customFormat="1" ht="23.25" customHeight="1" thickBot="1" x14ac:dyDescent="0.25">
      <c r="A5" s="298"/>
      <c r="B5" s="301"/>
      <c r="C5" s="303"/>
      <c r="D5" s="303"/>
      <c r="E5" s="303"/>
      <c r="F5" s="303"/>
      <c r="G5" s="306"/>
      <c r="H5" s="3">
        <v>1</v>
      </c>
      <c r="I5" s="2">
        <v>2</v>
      </c>
      <c r="J5" s="2">
        <v>3</v>
      </c>
      <c r="K5" s="4" t="s">
        <v>7</v>
      </c>
      <c r="L5" s="309"/>
      <c r="M5" s="303"/>
      <c r="N5" s="310"/>
    </row>
    <row r="6" spans="1:18" ht="15" x14ac:dyDescent="0.2">
      <c r="B6" s="299" t="s">
        <v>4008</v>
      </c>
      <c r="C6" s="299"/>
      <c r="D6" s="299"/>
      <c r="E6" s="299"/>
      <c r="F6" s="299"/>
      <c r="G6" s="299"/>
      <c r="H6" s="299"/>
      <c r="I6" s="299"/>
      <c r="J6" s="299"/>
      <c r="K6" s="299"/>
      <c r="L6" s="299"/>
      <c r="M6" s="299"/>
    </row>
    <row r="7" spans="1:18" x14ac:dyDescent="0.2">
      <c r="A7" s="43">
        <v>1</v>
      </c>
      <c r="B7" s="7" t="s">
        <v>1283</v>
      </c>
      <c r="C7" s="7" t="s">
        <v>914</v>
      </c>
      <c r="D7" s="7" t="s">
        <v>915</v>
      </c>
      <c r="E7" s="7" t="str">
        <f>"1,1588"</f>
        <v>1,1588</v>
      </c>
      <c r="F7" s="7" t="s">
        <v>4020</v>
      </c>
      <c r="G7" s="7" t="s">
        <v>3186</v>
      </c>
      <c r="H7" s="34" t="s">
        <v>141</v>
      </c>
      <c r="I7" s="41" t="s">
        <v>156</v>
      </c>
      <c r="J7" s="41" t="s">
        <v>156</v>
      </c>
      <c r="K7" s="20"/>
      <c r="L7" s="28">
        <v>165</v>
      </c>
      <c r="M7" s="19" t="str">
        <f>"191,2020"</f>
        <v>191,2020</v>
      </c>
      <c r="N7" s="7" t="s">
        <v>3391</v>
      </c>
    </row>
    <row r="9" spans="1:18" ht="15" x14ac:dyDescent="0.2">
      <c r="B9" s="294" t="s">
        <v>4009</v>
      </c>
      <c r="C9" s="294"/>
      <c r="D9" s="294"/>
      <c r="E9" s="294"/>
      <c r="F9" s="294"/>
      <c r="G9" s="294"/>
      <c r="H9" s="294"/>
      <c r="I9" s="294"/>
      <c r="J9" s="294"/>
      <c r="K9" s="294"/>
      <c r="L9" s="294"/>
      <c r="M9" s="294"/>
    </row>
    <row r="10" spans="1:18" x14ac:dyDescent="0.2">
      <c r="A10" s="43">
        <v>1</v>
      </c>
      <c r="B10" s="15" t="s">
        <v>921</v>
      </c>
      <c r="C10" s="15" t="s">
        <v>932</v>
      </c>
      <c r="D10" s="15" t="s">
        <v>201</v>
      </c>
      <c r="E10" s="15" t="str">
        <f>"1,0298"</f>
        <v>1,0298</v>
      </c>
      <c r="F10" s="15" t="s">
        <v>4020</v>
      </c>
      <c r="G10" s="15" t="s">
        <v>846</v>
      </c>
      <c r="H10" s="38" t="s">
        <v>37</v>
      </c>
      <c r="I10" s="35" t="s">
        <v>37</v>
      </c>
      <c r="J10" s="22"/>
      <c r="K10" s="22"/>
      <c r="L10" s="29">
        <v>250</v>
      </c>
      <c r="M10" s="21" t="str">
        <f>"257,4500"</f>
        <v>257,4500</v>
      </c>
      <c r="N10" s="15" t="s">
        <v>3391</v>
      </c>
    </row>
    <row r="11" spans="1:18" x14ac:dyDescent="0.2">
      <c r="A11" s="43">
        <v>1</v>
      </c>
      <c r="B11" s="17" t="s">
        <v>1284</v>
      </c>
      <c r="C11" s="17" t="s">
        <v>1260</v>
      </c>
      <c r="D11" s="17" t="s">
        <v>1261</v>
      </c>
      <c r="E11" s="17" t="str">
        <f>"1,0472"</f>
        <v>1,0472</v>
      </c>
      <c r="F11" s="17" t="s">
        <v>4020</v>
      </c>
      <c r="G11" s="17" t="s">
        <v>796</v>
      </c>
      <c r="H11" s="37" t="s">
        <v>141</v>
      </c>
      <c r="I11" s="37" t="s">
        <v>156</v>
      </c>
      <c r="J11" s="37" t="s">
        <v>106</v>
      </c>
      <c r="K11" s="37" t="s">
        <v>166</v>
      </c>
      <c r="L11" s="31">
        <v>185</v>
      </c>
      <c r="M11" s="25" t="str">
        <f>"205,3559"</f>
        <v>205,3559</v>
      </c>
      <c r="N11" s="17" t="s">
        <v>3391</v>
      </c>
    </row>
    <row r="13" spans="1:18" ht="15" x14ac:dyDescent="0.2">
      <c r="B13" s="294" t="s">
        <v>4010</v>
      </c>
      <c r="C13" s="294"/>
      <c r="D13" s="294"/>
      <c r="E13" s="294"/>
      <c r="F13" s="294"/>
      <c r="G13" s="294"/>
      <c r="H13" s="294"/>
      <c r="I13" s="294"/>
      <c r="J13" s="294"/>
      <c r="K13" s="294"/>
      <c r="L13" s="294"/>
      <c r="M13" s="294"/>
    </row>
    <row r="14" spans="1:18" x14ac:dyDescent="0.2">
      <c r="A14" s="43">
        <v>1</v>
      </c>
      <c r="B14" s="15" t="s">
        <v>940</v>
      </c>
      <c r="C14" s="15" t="s">
        <v>938</v>
      </c>
      <c r="D14" s="15" t="s">
        <v>10</v>
      </c>
      <c r="E14" s="15" t="str">
        <f>"0,9736"</f>
        <v>0,9736</v>
      </c>
      <c r="F14" s="15" t="s">
        <v>4020</v>
      </c>
      <c r="G14" s="114" t="s">
        <v>3186</v>
      </c>
      <c r="H14" s="120" t="s">
        <v>37</v>
      </c>
      <c r="I14" s="38" t="s">
        <v>17</v>
      </c>
      <c r="J14" s="122" t="s">
        <v>17</v>
      </c>
      <c r="K14" s="117"/>
      <c r="L14" s="29">
        <v>250</v>
      </c>
      <c r="M14" s="21" t="str">
        <f>"243,4000"</f>
        <v>243,4000</v>
      </c>
      <c r="N14" s="15" t="s">
        <v>3391</v>
      </c>
    </row>
    <row r="15" spans="1:18" x14ac:dyDescent="0.2">
      <c r="A15" s="43">
        <v>1</v>
      </c>
      <c r="B15" s="16" t="s">
        <v>940</v>
      </c>
      <c r="C15" s="16" t="s">
        <v>941</v>
      </c>
      <c r="D15" s="16" t="s">
        <v>10</v>
      </c>
      <c r="E15" s="16" t="str">
        <f>"0,9736"</f>
        <v>0,9736</v>
      </c>
      <c r="F15" s="16" t="s">
        <v>4020</v>
      </c>
      <c r="G15" s="115" t="s">
        <v>3186</v>
      </c>
      <c r="H15" s="123" t="s">
        <v>37</v>
      </c>
      <c r="I15" s="40" t="s">
        <v>17</v>
      </c>
      <c r="J15" s="124" t="s">
        <v>17</v>
      </c>
      <c r="K15" s="118"/>
      <c r="L15" s="30">
        <v>250</v>
      </c>
      <c r="M15" s="23" t="str">
        <f>"243,4000"</f>
        <v>243,4000</v>
      </c>
      <c r="N15" s="16" t="s">
        <v>3391</v>
      </c>
    </row>
    <row r="16" spans="1:18" x14ac:dyDescent="0.2">
      <c r="A16" s="43">
        <v>2</v>
      </c>
      <c r="B16" s="16" t="s">
        <v>1279</v>
      </c>
      <c r="C16" s="16" t="s">
        <v>939</v>
      </c>
      <c r="D16" s="16" t="s">
        <v>235</v>
      </c>
      <c r="E16" s="16" t="str">
        <f>"0,9698"</f>
        <v>0,9698</v>
      </c>
      <c r="F16" s="16" t="s">
        <v>4020</v>
      </c>
      <c r="G16" s="115" t="s">
        <v>3190</v>
      </c>
      <c r="H16" s="123" t="s">
        <v>253</v>
      </c>
      <c r="I16" s="36" t="s">
        <v>37</v>
      </c>
      <c r="J16" s="124" t="s">
        <v>261</v>
      </c>
      <c r="K16" s="118"/>
      <c r="L16" s="30">
        <v>250</v>
      </c>
      <c r="M16" s="23" t="str">
        <f>"242,4500"</f>
        <v>242,4500</v>
      </c>
      <c r="N16" s="16" t="s">
        <v>3391</v>
      </c>
    </row>
    <row r="17" spans="1:14" x14ac:dyDescent="0.2">
      <c r="A17" s="43">
        <v>3</v>
      </c>
      <c r="B17" s="16" t="s">
        <v>1048</v>
      </c>
      <c r="C17" s="16" t="s">
        <v>945</v>
      </c>
      <c r="D17" s="16" t="s">
        <v>946</v>
      </c>
      <c r="E17" s="16" t="str">
        <f>"0,9744"</f>
        <v>0,9744</v>
      </c>
      <c r="F17" s="16" t="s">
        <v>492</v>
      </c>
      <c r="G17" s="115" t="s">
        <v>818</v>
      </c>
      <c r="H17" s="123" t="s">
        <v>24</v>
      </c>
      <c r="I17" s="36" t="s">
        <v>220</v>
      </c>
      <c r="J17" s="125" t="s">
        <v>208</v>
      </c>
      <c r="K17" s="118"/>
      <c r="L17" s="30">
        <v>245</v>
      </c>
      <c r="M17" s="23" t="str">
        <f>"238,7280"</f>
        <v>238,7280</v>
      </c>
      <c r="N17" s="16" t="s">
        <v>3391</v>
      </c>
    </row>
    <row r="18" spans="1:14" x14ac:dyDescent="0.2">
      <c r="A18" s="43">
        <v>4</v>
      </c>
      <c r="B18" s="16" t="s">
        <v>1281</v>
      </c>
      <c r="C18" s="16" t="s">
        <v>1262</v>
      </c>
      <c r="D18" s="16" t="s">
        <v>1263</v>
      </c>
      <c r="E18" s="16" t="str">
        <f>"0,9694"</f>
        <v>0,9694</v>
      </c>
      <c r="F18" s="16" t="s">
        <v>4020</v>
      </c>
      <c r="G18" s="115" t="s">
        <v>3236</v>
      </c>
      <c r="H18" s="126" t="s">
        <v>253</v>
      </c>
      <c r="I18" s="36" t="s">
        <v>253</v>
      </c>
      <c r="J18" s="125" t="s">
        <v>208</v>
      </c>
      <c r="K18" s="118"/>
      <c r="L18" s="30">
        <v>245</v>
      </c>
      <c r="M18" s="23" t="str">
        <f>"237,5030"</f>
        <v>237,5030</v>
      </c>
      <c r="N18" s="16" t="s">
        <v>3391</v>
      </c>
    </row>
    <row r="19" spans="1:14" x14ac:dyDescent="0.2">
      <c r="A19" s="43">
        <v>5</v>
      </c>
      <c r="B19" s="17" t="s">
        <v>1045</v>
      </c>
      <c r="C19" s="17" t="s">
        <v>28</v>
      </c>
      <c r="D19" s="17" t="s">
        <v>29</v>
      </c>
      <c r="E19" s="17" t="str">
        <f>"0,9720"</f>
        <v>0,9720</v>
      </c>
      <c r="F19" s="17" t="s">
        <v>3181</v>
      </c>
      <c r="G19" s="116" t="s">
        <v>3192</v>
      </c>
      <c r="H19" s="127" t="s">
        <v>143</v>
      </c>
      <c r="I19" s="37" t="s">
        <v>24</v>
      </c>
      <c r="J19" s="128" t="s">
        <v>144</v>
      </c>
      <c r="K19" s="119"/>
      <c r="L19" s="31">
        <v>230</v>
      </c>
      <c r="M19" s="25" t="str">
        <f>"223,5600"</f>
        <v>223,5600</v>
      </c>
      <c r="N19" s="17" t="s">
        <v>31</v>
      </c>
    </row>
    <row r="21" spans="1:14" ht="15" x14ac:dyDescent="0.2">
      <c r="B21" s="294" t="s">
        <v>4011</v>
      </c>
      <c r="C21" s="294"/>
      <c r="D21" s="294"/>
      <c r="E21" s="294"/>
      <c r="F21" s="294"/>
      <c r="G21" s="294"/>
      <c r="H21" s="294"/>
      <c r="I21" s="294"/>
      <c r="J21" s="294"/>
      <c r="K21" s="294"/>
      <c r="L21" s="294"/>
      <c r="M21" s="294"/>
    </row>
    <row r="22" spans="1:14" x14ac:dyDescent="0.2">
      <c r="A22" s="43">
        <v>1</v>
      </c>
      <c r="B22" s="15" t="s">
        <v>968</v>
      </c>
      <c r="C22" s="15" t="s">
        <v>1264</v>
      </c>
      <c r="D22" s="15" t="s">
        <v>473</v>
      </c>
      <c r="E22" s="15" t="str">
        <f>"0,9198"</f>
        <v>0,9198</v>
      </c>
      <c r="F22" s="15" t="s">
        <v>859</v>
      </c>
      <c r="G22" s="15" t="s">
        <v>804</v>
      </c>
      <c r="H22" s="35" t="s">
        <v>202</v>
      </c>
      <c r="I22" s="35" t="s">
        <v>273</v>
      </c>
      <c r="J22" s="35" t="s">
        <v>511</v>
      </c>
      <c r="K22" s="22"/>
      <c r="L22" s="29">
        <v>272.5</v>
      </c>
      <c r="M22" s="21" t="str">
        <f>"250,6455"</f>
        <v>250,6455</v>
      </c>
      <c r="N22" s="15" t="s">
        <v>3391</v>
      </c>
    </row>
    <row r="23" spans="1:14" x14ac:dyDescent="0.2">
      <c r="A23" s="43">
        <v>2</v>
      </c>
      <c r="B23" s="16" t="s">
        <v>958</v>
      </c>
      <c r="C23" s="16" t="s">
        <v>959</v>
      </c>
      <c r="D23" s="16" t="s">
        <v>960</v>
      </c>
      <c r="E23" s="16" t="str">
        <f>"0,9210"</f>
        <v>0,9210</v>
      </c>
      <c r="F23" s="16" t="s">
        <v>14</v>
      </c>
      <c r="G23" s="16" t="s">
        <v>3196</v>
      </c>
      <c r="H23" s="40" t="s">
        <v>24</v>
      </c>
      <c r="I23" s="36" t="s">
        <v>24</v>
      </c>
      <c r="J23" s="36" t="s">
        <v>220</v>
      </c>
      <c r="K23" s="24"/>
      <c r="L23" s="30">
        <v>235</v>
      </c>
      <c r="M23" s="23" t="str">
        <f>"216,4350"</f>
        <v>216,4350</v>
      </c>
      <c r="N23" s="16" t="s">
        <v>3391</v>
      </c>
    </row>
    <row r="24" spans="1:14" x14ac:dyDescent="0.2">
      <c r="A24" s="43">
        <v>3</v>
      </c>
      <c r="B24" s="16" t="s">
        <v>961</v>
      </c>
      <c r="C24" s="16" t="s">
        <v>962</v>
      </c>
      <c r="D24" s="16" t="s">
        <v>957</v>
      </c>
      <c r="E24" s="16" t="str">
        <f>"0,9202"</f>
        <v>0,9202</v>
      </c>
      <c r="F24" s="16" t="s">
        <v>4020</v>
      </c>
      <c r="G24" s="16" t="s">
        <v>889</v>
      </c>
      <c r="H24" s="36" t="s">
        <v>140</v>
      </c>
      <c r="I24" s="36" t="s">
        <v>143</v>
      </c>
      <c r="J24" s="36" t="s">
        <v>24</v>
      </c>
      <c r="K24" s="24"/>
      <c r="L24" s="30">
        <v>220</v>
      </c>
      <c r="M24" s="23" t="str">
        <f>"202,4440"</f>
        <v>202,4440</v>
      </c>
      <c r="N24" s="16" t="s">
        <v>1067</v>
      </c>
    </row>
    <row r="25" spans="1:14" x14ac:dyDescent="0.2">
      <c r="A25" s="43">
        <v>1</v>
      </c>
      <c r="B25" s="16" t="s">
        <v>968</v>
      </c>
      <c r="C25" s="16" t="s">
        <v>969</v>
      </c>
      <c r="D25" s="16" t="s">
        <v>473</v>
      </c>
      <c r="E25" s="16" t="str">
        <f>"0,9198"</f>
        <v>0,9198</v>
      </c>
      <c r="F25" s="16" t="s">
        <v>859</v>
      </c>
      <c r="G25" s="16" t="s">
        <v>804</v>
      </c>
      <c r="H25" s="129" t="s">
        <v>202</v>
      </c>
      <c r="I25" s="130" t="s">
        <v>273</v>
      </c>
      <c r="J25" s="130" t="s">
        <v>511</v>
      </c>
      <c r="K25" s="24"/>
      <c r="L25" s="30">
        <v>272.5</v>
      </c>
      <c r="M25" s="23" t="str">
        <f>"250,6455"</f>
        <v>250,6455</v>
      </c>
      <c r="N25" s="16" t="s">
        <v>3391</v>
      </c>
    </row>
    <row r="26" spans="1:14" x14ac:dyDescent="0.2">
      <c r="A26" s="43">
        <v>1</v>
      </c>
      <c r="B26" s="16" t="s">
        <v>1266</v>
      </c>
      <c r="C26" s="16" t="s">
        <v>1267</v>
      </c>
      <c r="D26" s="16" t="s">
        <v>1268</v>
      </c>
      <c r="E26" s="16" t="str">
        <f>"0,9298"</f>
        <v>0,9298</v>
      </c>
      <c r="F26" s="16" t="s">
        <v>4020</v>
      </c>
      <c r="G26" s="16" t="s">
        <v>842</v>
      </c>
      <c r="H26" s="36" t="s">
        <v>36</v>
      </c>
      <c r="I26" s="36" t="s">
        <v>127</v>
      </c>
      <c r="J26" s="36" t="s">
        <v>142</v>
      </c>
      <c r="K26" s="24"/>
      <c r="L26" s="30">
        <v>170</v>
      </c>
      <c r="M26" s="23" t="str">
        <f>"167,5500"</f>
        <v>167,5500</v>
      </c>
      <c r="N26" s="16" t="s">
        <v>1269</v>
      </c>
    </row>
    <row r="27" spans="1:14" x14ac:dyDescent="0.2">
      <c r="A27" s="43">
        <v>1</v>
      </c>
      <c r="B27" s="17" t="s">
        <v>1270</v>
      </c>
      <c r="C27" s="17" t="s">
        <v>1271</v>
      </c>
      <c r="D27" s="17" t="s">
        <v>1272</v>
      </c>
      <c r="E27" s="17" t="str">
        <f>"0,9398"</f>
        <v>0,9398</v>
      </c>
      <c r="F27" s="17" t="s">
        <v>4020</v>
      </c>
      <c r="G27" s="17" t="s">
        <v>840</v>
      </c>
      <c r="H27" s="37" t="s">
        <v>11</v>
      </c>
      <c r="I27" s="37" t="s">
        <v>107</v>
      </c>
      <c r="J27" s="37" t="s">
        <v>140</v>
      </c>
      <c r="K27" s="26"/>
      <c r="L27" s="31">
        <v>200</v>
      </c>
      <c r="M27" s="25" t="str">
        <f>"234,9500"</f>
        <v>234,9500</v>
      </c>
      <c r="N27" s="17" t="s">
        <v>1273</v>
      </c>
    </row>
    <row r="29" spans="1:14" ht="15" x14ac:dyDescent="0.2">
      <c r="B29" s="294" t="s">
        <v>4012</v>
      </c>
      <c r="C29" s="294"/>
      <c r="D29" s="294"/>
      <c r="E29" s="294"/>
      <c r="F29" s="294"/>
      <c r="G29" s="294"/>
      <c r="H29" s="294"/>
      <c r="I29" s="294"/>
      <c r="J29" s="294"/>
      <c r="K29" s="294"/>
      <c r="L29" s="294"/>
      <c r="M29" s="294"/>
    </row>
    <row r="30" spans="1:14" x14ac:dyDescent="0.2">
      <c r="A30" s="43">
        <v>1</v>
      </c>
      <c r="B30" s="7" t="s">
        <v>1285</v>
      </c>
      <c r="C30" s="7" t="s">
        <v>1274</v>
      </c>
      <c r="D30" s="7" t="s">
        <v>1275</v>
      </c>
      <c r="E30" s="7" t="str">
        <f>"0,8990"</f>
        <v>0,8990</v>
      </c>
      <c r="F30" s="7" t="s">
        <v>4020</v>
      </c>
      <c r="G30" s="7" t="s">
        <v>796</v>
      </c>
      <c r="H30" s="34" t="s">
        <v>11</v>
      </c>
      <c r="I30" s="34" t="s">
        <v>107</v>
      </c>
      <c r="J30" s="41" t="s">
        <v>140</v>
      </c>
      <c r="K30" s="20"/>
      <c r="L30" s="28">
        <v>190</v>
      </c>
      <c r="M30" s="19" t="str">
        <f>"170,8100"</f>
        <v>170,8100</v>
      </c>
      <c r="N30" s="7" t="s">
        <v>1286</v>
      </c>
    </row>
    <row r="32" spans="1:14" ht="18" x14ac:dyDescent="0.25">
      <c r="B32" s="8" t="s">
        <v>4022</v>
      </c>
      <c r="C32" s="8"/>
    </row>
    <row r="33" spans="1:6" ht="18.75" x14ac:dyDescent="0.3">
      <c r="B33" s="242" t="s">
        <v>3499</v>
      </c>
      <c r="C33" s="8"/>
    </row>
    <row r="34" spans="1:6" ht="14.25" x14ac:dyDescent="0.2">
      <c r="B34" s="11"/>
      <c r="C34" s="12" t="s">
        <v>18</v>
      </c>
    </row>
    <row r="35" spans="1:6" ht="15" x14ac:dyDescent="0.2">
      <c r="B35" s="13" t="s">
        <v>0</v>
      </c>
      <c r="C35" s="13" t="s">
        <v>19</v>
      </c>
      <c r="D35" s="13" t="s">
        <v>20</v>
      </c>
      <c r="E35" s="13" t="s">
        <v>3593</v>
      </c>
      <c r="F35" s="13" t="s">
        <v>9</v>
      </c>
    </row>
    <row r="36" spans="1:6" x14ac:dyDescent="0.2">
      <c r="A36" s="43">
        <v>1</v>
      </c>
      <c r="B36" s="10" t="s">
        <v>921</v>
      </c>
      <c r="C36" s="18" t="s">
        <v>18</v>
      </c>
      <c r="D36" s="27" t="s">
        <v>43</v>
      </c>
      <c r="E36" s="27" t="s">
        <v>37</v>
      </c>
      <c r="F36" s="27" t="s">
        <v>1277</v>
      </c>
    </row>
    <row r="37" spans="1:6" x14ac:dyDescent="0.2">
      <c r="A37" s="43">
        <v>2</v>
      </c>
      <c r="B37" s="10" t="s">
        <v>968</v>
      </c>
      <c r="C37" s="18" t="s">
        <v>18</v>
      </c>
      <c r="D37" s="27" t="s">
        <v>76</v>
      </c>
      <c r="E37" s="27" t="s">
        <v>511</v>
      </c>
      <c r="F37" s="27" t="s">
        <v>1278</v>
      </c>
    </row>
    <row r="38" spans="1:6" x14ac:dyDescent="0.2">
      <c r="A38" s="43">
        <v>3</v>
      </c>
      <c r="B38" s="10" t="s">
        <v>940</v>
      </c>
      <c r="C38" s="18" t="s">
        <v>18</v>
      </c>
      <c r="D38" s="27" t="s">
        <v>46</v>
      </c>
      <c r="E38" s="27" t="s">
        <v>37</v>
      </c>
      <c r="F38" s="27" t="s">
        <v>1276</v>
      </c>
    </row>
  </sheetData>
  <mergeCells count="19">
    <mergeCell ref="A1:N1"/>
    <mergeCell ref="A2:N2"/>
    <mergeCell ref="A3:N3"/>
    <mergeCell ref="A4:A5"/>
    <mergeCell ref="N4:N5"/>
    <mergeCell ref="B4:B5"/>
    <mergeCell ref="C4:C5"/>
    <mergeCell ref="D4:D5"/>
    <mergeCell ref="E4:E5"/>
    <mergeCell ref="F4:F5"/>
    <mergeCell ref="G4:G5"/>
    <mergeCell ref="H4:K4"/>
    <mergeCell ref="L4:L5"/>
    <mergeCell ref="M4:M5"/>
    <mergeCell ref="B6:M6"/>
    <mergeCell ref="B9:M9"/>
    <mergeCell ref="B13:M13"/>
    <mergeCell ref="B21:M21"/>
    <mergeCell ref="B29:M29"/>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topLeftCell="A9" workbookViewId="0">
      <selection sqref="A1:XFD3"/>
    </sheetView>
  </sheetViews>
  <sheetFormatPr defaultColWidth="8.7109375" defaultRowHeight="12.75" x14ac:dyDescent="0.2"/>
  <cols>
    <col min="1" max="1" width="6.5703125" style="43" bestFit="1" customWidth="1"/>
    <col min="2" max="2" width="23" style="6" bestFit="1" customWidth="1"/>
    <col min="3" max="3" width="29.140625" style="6" bestFit="1" customWidth="1"/>
    <col min="4" max="4" width="8.5703125" style="6" bestFit="1" customWidth="1"/>
    <col min="5" max="5" width="7.5703125" style="6" bestFit="1" customWidth="1"/>
    <col min="6" max="6" width="23.28515625" style="6" bestFit="1" customWidth="1"/>
    <col min="7" max="7" width="36.42578125" style="6" bestFit="1" customWidth="1"/>
    <col min="8" max="10" width="6.42578125" style="27" bestFit="1" customWidth="1"/>
    <col min="11" max="11" width="4.85546875" style="27" bestFit="1" customWidth="1"/>
    <col min="12" max="12" width="6.42578125" style="32" bestFit="1" customWidth="1"/>
    <col min="13" max="13" width="9.85546875" style="27" bestFit="1" customWidth="1"/>
    <col min="14" max="14" width="25.85546875" style="6" bestFit="1" customWidth="1"/>
  </cols>
  <sheetData>
    <row r="1" spans="1:18" s="1" customFormat="1" ht="30" customHeight="1" x14ac:dyDescent="0.2">
      <c r="A1" s="295" t="s">
        <v>4023</v>
      </c>
      <c r="B1" s="295"/>
      <c r="C1" s="295"/>
      <c r="D1" s="295"/>
      <c r="E1" s="295"/>
      <c r="F1" s="295"/>
      <c r="G1" s="295"/>
      <c r="H1" s="295"/>
      <c r="I1" s="295"/>
      <c r="J1" s="295"/>
      <c r="K1" s="295"/>
      <c r="L1" s="295"/>
      <c r="M1" s="295"/>
      <c r="N1" s="295"/>
      <c r="O1" s="241"/>
      <c r="P1" s="241"/>
      <c r="Q1" s="241"/>
      <c r="R1" s="241"/>
    </row>
    <row r="2" spans="1:18" s="1" customFormat="1" ht="30" customHeight="1" x14ac:dyDescent="0.2">
      <c r="A2" s="295" t="s">
        <v>4036</v>
      </c>
      <c r="B2" s="295"/>
      <c r="C2" s="295"/>
      <c r="D2" s="295"/>
      <c r="E2" s="295"/>
      <c r="F2" s="295"/>
      <c r="G2" s="295"/>
      <c r="H2" s="295"/>
      <c r="I2" s="295"/>
      <c r="J2" s="295"/>
      <c r="K2" s="295"/>
      <c r="L2" s="295"/>
      <c r="M2" s="295"/>
      <c r="N2" s="295"/>
      <c r="O2" s="241"/>
      <c r="P2" s="241"/>
      <c r="Q2" s="241"/>
      <c r="R2" s="241"/>
    </row>
    <row r="3" spans="1:18" s="1" customFormat="1" ht="30.75" customHeight="1" thickBot="1" x14ac:dyDescent="0.25">
      <c r="A3" s="295" t="s">
        <v>3381</v>
      </c>
      <c r="B3" s="295"/>
      <c r="C3" s="295"/>
      <c r="D3" s="295"/>
      <c r="E3" s="295"/>
      <c r="F3" s="295"/>
      <c r="G3" s="295"/>
      <c r="H3" s="295"/>
      <c r="I3" s="295"/>
      <c r="J3" s="295"/>
      <c r="K3" s="295"/>
      <c r="L3" s="295"/>
      <c r="M3" s="295"/>
      <c r="N3" s="295"/>
      <c r="O3" s="241"/>
      <c r="P3" s="241"/>
      <c r="Q3" s="241"/>
      <c r="R3" s="241"/>
    </row>
    <row r="4" spans="1:18" s="5" customFormat="1" ht="12.75" customHeight="1" x14ac:dyDescent="0.2">
      <c r="A4" s="297" t="s">
        <v>719</v>
      </c>
      <c r="B4" s="312" t="s">
        <v>0</v>
      </c>
      <c r="C4" s="302" t="s">
        <v>3382</v>
      </c>
      <c r="D4" s="302" t="s">
        <v>8</v>
      </c>
      <c r="E4" s="304" t="s">
        <v>9</v>
      </c>
      <c r="F4" s="304" t="s">
        <v>1</v>
      </c>
      <c r="G4" s="305" t="s">
        <v>795</v>
      </c>
      <c r="H4" s="300" t="s">
        <v>2</v>
      </c>
      <c r="I4" s="304"/>
      <c r="J4" s="304"/>
      <c r="K4" s="307"/>
      <c r="L4" s="308" t="s">
        <v>3593</v>
      </c>
      <c r="M4" s="304" t="s">
        <v>6</v>
      </c>
      <c r="N4" s="307" t="s">
        <v>5</v>
      </c>
    </row>
    <row r="5" spans="1:18" s="5" customFormat="1" ht="23.25" customHeight="1" thickBot="1" x14ac:dyDescent="0.25">
      <c r="A5" s="298"/>
      <c r="B5" s="313"/>
      <c r="C5" s="303"/>
      <c r="D5" s="303"/>
      <c r="E5" s="303"/>
      <c r="F5" s="303"/>
      <c r="G5" s="306"/>
      <c r="H5" s="3">
        <v>1</v>
      </c>
      <c r="I5" s="2">
        <v>2</v>
      </c>
      <c r="J5" s="2">
        <v>3</v>
      </c>
      <c r="K5" s="4" t="s">
        <v>7</v>
      </c>
      <c r="L5" s="309"/>
      <c r="M5" s="303"/>
      <c r="N5" s="310"/>
    </row>
    <row r="6" spans="1:18" ht="15" x14ac:dyDescent="0.2">
      <c r="B6" s="299" t="s">
        <v>4007</v>
      </c>
      <c r="C6" s="299"/>
      <c r="D6" s="299"/>
      <c r="E6" s="299"/>
      <c r="F6" s="299"/>
      <c r="G6" s="299"/>
      <c r="H6" s="299"/>
      <c r="I6" s="299"/>
      <c r="J6" s="299"/>
      <c r="K6" s="299"/>
      <c r="L6" s="299"/>
      <c r="M6" s="299"/>
    </row>
    <row r="7" spans="1:18" x14ac:dyDescent="0.2">
      <c r="A7" s="43">
        <v>1</v>
      </c>
      <c r="B7" s="7" t="s">
        <v>698</v>
      </c>
      <c r="C7" s="7" t="s">
        <v>699</v>
      </c>
      <c r="D7" s="7" t="s">
        <v>700</v>
      </c>
      <c r="E7" s="7" t="str">
        <f>"1,2594"</f>
        <v>1,2594</v>
      </c>
      <c r="F7" s="7" t="s">
        <v>4020</v>
      </c>
      <c r="G7" s="7" t="s">
        <v>796</v>
      </c>
      <c r="H7" s="34" t="s">
        <v>11</v>
      </c>
      <c r="I7" s="34" t="s">
        <v>107</v>
      </c>
      <c r="J7" s="41" t="s">
        <v>140</v>
      </c>
      <c r="K7" s="20"/>
      <c r="L7" s="28">
        <v>190</v>
      </c>
      <c r="M7" s="19" t="str">
        <f>"239,2860"</f>
        <v>239,2860</v>
      </c>
      <c r="N7" s="7" t="s">
        <v>721</v>
      </c>
    </row>
    <row r="9" spans="1:18" ht="15" x14ac:dyDescent="0.2">
      <c r="B9" s="294" t="s">
        <v>4008</v>
      </c>
      <c r="C9" s="294"/>
      <c r="D9" s="294"/>
      <c r="E9" s="294"/>
      <c r="F9" s="294"/>
      <c r="G9" s="294"/>
      <c r="H9" s="294"/>
      <c r="I9" s="294"/>
      <c r="J9" s="294"/>
      <c r="K9" s="294"/>
      <c r="L9" s="294"/>
      <c r="M9" s="294"/>
    </row>
    <row r="10" spans="1:18" x14ac:dyDescent="0.2">
      <c r="A10" s="43">
        <v>1</v>
      </c>
      <c r="B10" s="7" t="s">
        <v>394</v>
      </c>
      <c r="C10" s="7" t="s">
        <v>395</v>
      </c>
      <c r="D10" s="7" t="s">
        <v>396</v>
      </c>
      <c r="E10" s="7" t="str">
        <f>"1,1748"</f>
        <v>1,1748</v>
      </c>
      <c r="F10" s="7" t="s">
        <v>492</v>
      </c>
      <c r="G10" s="7" t="s">
        <v>818</v>
      </c>
      <c r="H10" s="34" t="s">
        <v>61</v>
      </c>
      <c r="I10" s="41" t="s">
        <v>65</v>
      </c>
      <c r="J10" s="34" t="s">
        <v>65</v>
      </c>
      <c r="K10" s="20"/>
      <c r="L10" s="28">
        <v>102.5</v>
      </c>
      <c r="M10" s="19" t="str">
        <f>"120,4170"</f>
        <v>120,4170</v>
      </c>
      <c r="N10" s="7" t="s">
        <v>3391</v>
      </c>
    </row>
    <row r="12" spans="1:18" ht="15" x14ac:dyDescent="0.2">
      <c r="B12" s="294" t="s">
        <v>4009</v>
      </c>
      <c r="C12" s="294"/>
      <c r="D12" s="294"/>
      <c r="E12" s="294"/>
      <c r="F12" s="294"/>
      <c r="G12" s="294"/>
      <c r="H12" s="294"/>
      <c r="I12" s="294"/>
      <c r="J12" s="294"/>
      <c r="K12" s="294"/>
      <c r="L12" s="294"/>
      <c r="M12" s="294"/>
    </row>
    <row r="13" spans="1:18" x14ac:dyDescent="0.2">
      <c r="A13" s="43">
        <v>1</v>
      </c>
      <c r="B13" s="15" t="s">
        <v>561</v>
      </c>
      <c r="C13" s="15" t="s">
        <v>562</v>
      </c>
      <c r="D13" s="15" t="s">
        <v>563</v>
      </c>
      <c r="E13" s="15" t="str">
        <f>"1,0360"</f>
        <v>1,0360</v>
      </c>
      <c r="F13" s="15" t="s">
        <v>266</v>
      </c>
      <c r="G13" s="15" t="s">
        <v>837</v>
      </c>
      <c r="H13" s="35" t="s">
        <v>17</v>
      </c>
      <c r="I13" s="38" t="s">
        <v>35</v>
      </c>
      <c r="J13" s="38" t="s">
        <v>35</v>
      </c>
      <c r="K13" s="22"/>
      <c r="L13" s="29">
        <v>260</v>
      </c>
      <c r="M13" s="21" t="str">
        <f>"269,3600"</f>
        <v>269,3600</v>
      </c>
      <c r="N13" s="15" t="s">
        <v>3391</v>
      </c>
    </row>
    <row r="14" spans="1:18" x14ac:dyDescent="0.2">
      <c r="A14" s="43">
        <v>2</v>
      </c>
      <c r="B14" s="16" t="s">
        <v>701</v>
      </c>
      <c r="C14" s="16" t="s">
        <v>702</v>
      </c>
      <c r="D14" s="16" t="s">
        <v>703</v>
      </c>
      <c r="E14" s="16" t="str">
        <f>"1,0528"</f>
        <v>1,0528</v>
      </c>
      <c r="F14" s="16" t="s">
        <v>4020</v>
      </c>
      <c r="G14" s="16" t="s">
        <v>833</v>
      </c>
      <c r="H14" s="36" t="s">
        <v>144</v>
      </c>
      <c r="I14" s="36" t="s">
        <v>202</v>
      </c>
      <c r="J14" s="36" t="s">
        <v>37</v>
      </c>
      <c r="K14" s="24"/>
      <c r="L14" s="30">
        <v>250</v>
      </c>
      <c r="M14" s="23" t="str">
        <f>"263,2000"</f>
        <v>263,2000</v>
      </c>
      <c r="N14" s="16" t="s">
        <v>3391</v>
      </c>
    </row>
    <row r="15" spans="1:18" x14ac:dyDescent="0.2">
      <c r="A15" s="43">
        <v>1</v>
      </c>
      <c r="B15" s="17" t="s">
        <v>704</v>
      </c>
      <c r="C15" s="17" t="s">
        <v>705</v>
      </c>
      <c r="D15" s="17" t="s">
        <v>185</v>
      </c>
      <c r="E15" s="17" t="str">
        <f>"1,0504"</f>
        <v>1,0504</v>
      </c>
      <c r="F15" s="17" t="s">
        <v>4020</v>
      </c>
      <c r="G15" s="17" t="s">
        <v>796</v>
      </c>
      <c r="H15" s="37" t="s">
        <v>36</v>
      </c>
      <c r="I15" s="39" t="s">
        <v>127</v>
      </c>
      <c r="J15" s="26"/>
      <c r="K15" s="26"/>
      <c r="L15" s="31">
        <v>150</v>
      </c>
      <c r="M15" s="25" t="str">
        <f>"196,9500"</f>
        <v>196,9500</v>
      </c>
      <c r="N15" s="17" t="s">
        <v>3391</v>
      </c>
    </row>
    <row r="17" spans="1:14" ht="15" x14ac:dyDescent="0.2">
      <c r="B17" s="294" t="s">
        <v>4010</v>
      </c>
      <c r="C17" s="294"/>
      <c r="D17" s="294"/>
      <c r="E17" s="294"/>
      <c r="F17" s="294"/>
      <c r="G17" s="294"/>
      <c r="H17" s="294"/>
      <c r="I17" s="294"/>
      <c r="J17" s="294"/>
      <c r="K17" s="294"/>
      <c r="L17" s="294"/>
      <c r="M17" s="294"/>
    </row>
    <row r="18" spans="1:14" x14ac:dyDescent="0.2">
      <c r="A18" s="43">
        <v>1</v>
      </c>
      <c r="B18" s="7" t="s">
        <v>458</v>
      </c>
      <c r="C18" s="7" t="s">
        <v>459</v>
      </c>
      <c r="D18" s="7" t="s">
        <v>460</v>
      </c>
      <c r="E18" s="7" t="str">
        <f>"0,9846"</f>
        <v>0,9846</v>
      </c>
      <c r="F18" s="7" t="s">
        <v>492</v>
      </c>
      <c r="G18" s="7" t="s">
        <v>819</v>
      </c>
      <c r="H18" s="41" t="s">
        <v>140</v>
      </c>
      <c r="I18" s="34" t="s">
        <v>140</v>
      </c>
      <c r="J18" s="34" t="s">
        <v>24</v>
      </c>
      <c r="K18" s="20"/>
      <c r="L18" s="28">
        <v>220</v>
      </c>
      <c r="M18" s="19" t="str">
        <f>"216,6120"</f>
        <v>216,6120</v>
      </c>
      <c r="N18" s="7" t="s">
        <v>3391</v>
      </c>
    </row>
    <row r="20" spans="1:14" ht="15" x14ac:dyDescent="0.2">
      <c r="B20" s="294" t="s">
        <v>4011</v>
      </c>
      <c r="C20" s="294"/>
      <c r="D20" s="294"/>
      <c r="E20" s="294"/>
      <c r="F20" s="294"/>
      <c r="G20" s="294"/>
      <c r="H20" s="294"/>
      <c r="I20" s="294"/>
      <c r="J20" s="294"/>
      <c r="K20" s="294"/>
      <c r="L20" s="294"/>
      <c r="M20" s="294"/>
    </row>
    <row r="21" spans="1:14" x14ac:dyDescent="0.2">
      <c r="A21" s="43">
        <v>1</v>
      </c>
      <c r="B21" s="15" t="s">
        <v>468</v>
      </c>
      <c r="C21" s="15" t="s">
        <v>469</v>
      </c>
      <c r="D21" s="15" t="s">
        <v>643</v>
      </c>
      <c r="E21" s="15" t="str">
        <f>"0,9222"</f>
        <v>0,9222</v>
      </c>
      <c r="F21" s="15" t="s">
        <v>492</v>
      </c>
      <c r="G21" s="15" t="s">
        <v>830</v>
      </c>
      <c r="H21" s="35" t="s">
        <v>35</v>
      </c>
      <c r="I21" s="38" t="s">
        <v>26</v>
      </c>
      <c r="J21" s="38" t="s">
        <v>287</v>
      </c>
      <c r="K21" s="22"/>
      <c r="L21" s="29">
        <v>270</v>
      </c>
      <c r="M21" s="21" t="str">
        <f>"248,9940"</f>
        <v>248,9940</v>
      </c>
      <c r="N21" s="15" t="s">
        <v>3391</v>
      </c>
    </row>
    <row r="22" spans="1:14" x14ac:dyDescent="0.2">
      <c r="A22" s="43">
        <v>2</v>
      </c>
      <c r="B22" s="16" t="s">
        <v>489</v>
      </c>
      <c r="C22" s="16" t="s">
        <v>568</v>
      </c>
      <c r="D22" s="16" t="s">
        <v>491</v>
      </c>
      <c r="E22" s="16" t="str">
        <f>"0,9226"</f>
        <v>0,9226</v>
      </c>
      <c r="F22" s="16" t="s">
        <v>492</v>
      </c>
      <c r="G22" s="16" t="s">
        <v>820</v>
      </c>
      <c r="H22" s="36" t="s">
        <v>220</v>
      </c>
      <c r="I22" s="36" t="s">
        <v>208</v>
      </c>
      <c r="J22" s="36" t="s">
        <v>221</v>
      </c>
      <c r="K22" s="24"/>
      <c r="L22" s="30">
        <v>252.5</v>
      </c>
      <c r="M22" s="23" t="str">
        <f>"232,9565"</f>
        <v>232,9565</v>
      </c>
      <c r="N22" s="16" t="s">
        <v>815</v>
      </c>
    </row>
    <row r="23" spans="1:14" x14ac:dyDescent="0.2">
      <c r="A23" s="43">
        <v>3</v>
      </c>
      <c r="B23" s="16" t="s">
        <v>706</v>
      </c>
      <c r="C23" s="16" t="s">
        <v>707</v>
      </c>
      <c r="D23" s="16" t="s">
        <v>708</v>
      </c>
      <c r="E23" s="16" t="str">
        <f>"0,9234"</f>
        <v>0,9234</v>
      </c>
      <c r="F23" s="16" t="s">
        <v>863</v>
      </c>
      <c r="G23" s="16" t="s">
        <v>834</v>
      </c>
      <c r="H23" s="36" t="s">
        <v>141</v>
      </c>
      <c r="I23" s="40" t="s">
        <v>106</v>
      </c>
      <c r="J23" s="36" t="s">
        <v>107</v>
      </c>
      <c r="K23" s="24"/>
      <c r="L23" s="30">
        <v>190</v>
      </c>
      <c r="M23" s="23" t="str">
        <f>"175,4460"</f>
        <v>175,4460</v>
      </c>
      <c r="N23" s="16" t="s">
        <v>3198</v>
      </c>
    </row>
    <row r="24" spans="1:14" x14ac:dyDescent="0.2">
      <c r="A24" s="43">
        <v>1</v>
      </c>
      <c r="B24" s="16" t="s">
        <v>706</v>
      </c>
      <c r="C24" s="16" t="s">
        <v>709</v>
      </c>
      <c r="D24" s="16" t="s">
        <v>708</v>
      </c>
      <c r="E24" s="16" t="str">
        <f>"0,9234"</f>
        <v>0,9234</v>
      </c>
      <c r="F24" s="16" t="s">
        <v>863</v>
      </c>
      <c r="G24" s="16" t="s">
        <v>834</v>
      </c>
      <c r="H24" s="36" t="s">
        <v>141</v>
      </c>
      <c r="I24" s="40" t="s">
        <v>106</v>
      </c>
      <c r="J24" s="36" t="s">
        <v>107</v>
      </c>
      <c r="K24" s="24"/>
      <c r="L24" s="30">
        <v>190</v>
      </c>
      <c r="M24" s="23" t="str">
        <f>"177,9022"</f>
        <v>177,9022</v>
      </c>
      <c r="N24" s="16" t="s">
        <v>3198</v>
      </c>
    </row>
    <row r="25" spans="1:14" x14ac:dyDescent="0.2">
      <c r="A25" s="43">
        <v>1</v>
      </c>
      <c r="B25" s="17" t="s">
        <v>489</v>
      </c>
      <c r="C25" s="17" t="s">
        <v>490</v>
      </c>
      <c r="D25" s="17" t="s">
        <v>491</v>
      </c>
      <c r="E25" s="17" t="str">
        <f>"0,9226"</f>
        <v>0,9226</v>
      </c>
      <c r="F25" s="17" t="s">
        <v>492</v>
      </c>
      <c r="G25" s="17" t="s">
        <v>820</v>
      </c>
      <c r="H25" s="37" t="s">
        <v>220</v>
      </c>
      <c r="I25" s="37" t="s">
        <v>208</v>
      </c>
      <c r="J25" s="37" t="s">
        <v>221</v>
      </c>
      <c r="K25" s="26"/>
      <c r="L25" s="31">
        <v>252.5</v>
      </c>
      <c r="M25" s="25" t="str">
        <f>"259,5135"</f>
        <v>259,5135</v>
      </c>
      <c r="N25" s="17" t="s">
        <v>815</v>
      </c>
    </row>
    <row r="27" spans="1:14" ht="15" x14ac:dyDescent="0.2">
      <c r="B27" s="294" t="s">
        <v>4012</v>
      </c>
      <c r="C27" s="294"/>
      <c r="D27" s="294"/>
      <c r="E27" s="294"/>
      <c r="F27" s="294"/>
      <c r="G27" s="294"/>
      <c r="H27" s="294"/>
      <c r="I27" s="294"/>
      <c r="J27" s="294"/>
      <c r="K27" s="294"/>
      <c r="L27" s="294"/>
      <c r="M27" s="294"/>
    </row>
    <row r="28" spans="1:14" x14ac:dyDescent="0.2">
      <c r="A28" s="43">
        <v>1</v>
      </c>
      <c r="B28" s="15" t="s">
        <v>710</v>
      </c>
      <c r="C28" s="15" t="s">
        <v>711</v>
      </c>
      <c r="D28" s="15" t="s">
        <v>712</v>
      </c>
      <c r="E28" s="15" t="str">
        <f>"0,9090"</f>
        <v>0,9090</v>
      </c>
      <c r="F28" s="15" t="s">
        <v>4020</v>
      </c>
      <c r="G28" s="15" t="s">
        <v>835</v>
      </c>
      <c r="H28" s="38" t="s">
        <v>140</v>
      </c>
      <c r="I28" s="35" t="s">
        <v>140</v>
      </c>
      <c r="J28" s="38" t="s">
        <v>143</v>
      </c>
      <c r="K28" s="22"/>
      <c r="L28" s="29">
        <v>200</v>
      </c>
      <c r="M28" s="21" t="str">
        <f>"181,8000"</f>
        <v>181,8000</v>
      </c>
      <c r="N28" s="15" t="s">
        <v>3391</v>
      </c>
    </row>
    <row r="29" spans="1:14" x14ac:dyDescent="0.2">
      <c r="B29" s="17" t="s">
        <v>713</v>
      </c>
      <c r="C29" s="17" t="s">
        <v>714</v>
      </c>
      <c r="D29" s="17" t="s">
        <v>715</v>
      </c>
      <c r="E29" s="17" t="str">
        <f>"0,8936"</f>
        <v>0,8936</v>
      </c>
      <c r="F29" s="17" t="s">
        <v>4020</v>
      </c>
      <c r="G29" s="17" t="s">
        <v>836</v>
      </c>
      <c r="H29" s="39" t="s">
        <v>24</v>
      </c>
      <c r="I29" s="39" t="s">
        <v>24</v>
      </c>
      <c r="J29" s="26"/>
      <c r="K29" s="26"/>
      <c r="L29" s="33">
        <v>0</v>
      </c>
      <c r="M29" s="25" t="s">
        <v>720</v>
      </c>
      <c r="N29" s="17" t="s">
        <v>3391</v>
      </c>
    </row>
    <row r="31" spans="1:14" ht="15" x14ac:dyDescent="0.2">
      <c r="B31" s="294" t="s">
        <v>4013</v>
      </c>
      <c r="C31" s="294"/>
      <c r="D31" s="294"/>
      <c r="E31" s="294"/>
      <c r="F31" s="294"/>
      <c r="G31" s="294"/>
      <c r="H31" s="294"/>
      <c r="I31" s="294"/>
      <c r="J31" s="294"/>
      <c r="K31" s="294"/>
      <c r="L31" s="294"/>
      <c r="M31" s="294"/>
    </row>
    <row r="32" spans="1:14" x14ac:dyDescent="0.2">
      <c r="A32" s="43">
        <v>1</v>
      </c>
      <c r="B32" s="7" t="s">
        <v>506</v>
      </c>
      <c r="C32" s="7" t="s">
        <v>507</v>
      </c>
      <c r="D32" s="7" t="s">
        <v>673</v>
      </c>
      <c r="E32" s="7" t="str">
        <f>"0,8750"</f>
        <v>0,8750</v>
      </c>
      <c r="F32" s="7" t="s">
        <v>492</v>
      </c>
      <c r="G32" s="7" t="s">
        <v>821</v>
      </c>
      <c r="H32" s="34" t="s">
        <v>11</v>
      </c>
      <c r="I32" s="34" t="s">
        <v>140</v>
      </c>
      <c r="J32" s="34" t="s">
        <v>24</v>
      </c>
      <c r="K32" s="20"/>
      <c r="L32" s="28">
        <v>220</v>
      </c>
      <c r="M32" s="19" t="str">
        <f>"192,5000"</f>
        <v>192,5000</v>
      </c>
      <c r="N32" s="7" t="s">
        <v>3391</v>
      </c>
    </row>
    <row r="34" spans="1:14" ht="15" x14ac:dyDescent="0.2">
      <c r="B34" s="294" t="s">
        <v>4017</v>
      </c>
      <c r="C34" s="294"/>
      <c r="D34" s="294"/>
      <c r="E34" s="294"/>
      <c r="F34" s="294"/>
      <c r="G34" s="294"/>
      <c r="H34" s="294"/>
      <c r="I34" s="294"/>
      <c r="J34" s="294"/>
      <c r="K34" s="294"/>
      <c r="L34" s="294"/>
      <c r="M34" s="294"/>
    </row>
    <row r="35" spans="1:14" x14ac:dyDescent="0.2">
      <c r="A35" s="43">
        <v>1</v>
      </c>
      <c r="B35" s="7" t="s">
        <v>508</v>
      </c>
      <c r="C35" s="7" t="s">
        <v>509</v>
      </c>
      <c r="D35" s="7" t="s">
        <v>510</v>
      </c>
      <c r="E35" s="7" t="str">
        <f>"0,8380"</f>
        <v>0,8380</v>
      </c>
      <c r="F35" s="7" t="s">
        <v>492</v>
      </c>
      <c r="G35" s="7" t="s">
        <v>821</v>
      </c>
      <c r="H35" s="34" t="s">
        <v>208</v>
      </c>
      <c r="I35" s="20"/>
      <c r="J35" s="20"/>
      <c r="K35" s="20"/>
      <c r="L35" s="28">
        <v>245</v>
      </c>
      <c r="M35" s="19" t="str">
        <f>"205,3100"</f>
        <v>205,3100</v>
      </c>
      <c r="N35" s="7" t="s">
        <v>3391</v>
      </c>
    </row>
    <row r="37" spans="1:14" ht="18" x14ac:dyDescent="0.25">
      <c r="B37" s="8" t="s">
        <v>4022</v>
      </c>
      <c r="C37" s="8"/>
    </row>
    <row r="38" spans="1:14" ht="18.75" x14ac:dyDescent="0.3">
      <c r="B38" s="242" t="s">
        <v>3499</v>
      </c>
      <c r="C38" s="8"/>
    </row>
    <row r="39" spans="1:14" ht="14.25" x14ac:dyDescent="0.2">
      <c r="B39" s="11"/>
      <c r="C39" s="12" t="s">
        <v>18</v>
      </c>
    </row>
    <row r="40" spans="1:14" ht="15" x14ac:dyDescent="0.2">
      <c r="B40" s="13" t="s">
        <v>0</v>
      </c>
      <c r="C40" s="13" t="s">
        <v>19</v>
      </c>
      <c r="D40" s="13" t="s">
        <v>20</v>
      </c>
      <c r="E40" s="13" t="s">
        <v>3593</v>
      </c>
      <c r="F40" s="13" t="s">
        <v>9</v>
      </c>
    </row>
    <row r="41" spans="1:14" x14ac:dyDescent="0.2">
      <c r="A41" s="43">
        <v>1</v>
      </c>
      <c r="B41" s="10" t="s">
        <v>561</v>
      </c>
      <c r="C41" s="18" t="s">
        <v>18</v>
      </c>
      <c r="D41" s="27" t="s">
        <v>43</v>
      </c>
      <c r="E41" s="27" t="s">
        <v>17</v>
      </c>
      <c r="F41" s="27" t="s">
        <v>716</v>
      </c>
    </row>
    <row r="42" spans="1:14" x14ac:dyDescent="0.2">
      <c r="A42" s="43">
        <v>2</v>
      </c>
      <c r="B42" s="10" t="s">
        <v>701</v>
      </c>
      <c r="C42" s="18" t="s">
        <v>18</v>
      </c>
      <c r="D42" s="27" t="s">
        <v>43</v>
      </c>
      <c r="E42" s="27" t="s">
        <v>37</v>
      </c>
      <c r="F42" s="27" t="s">
        <v>717</v>
      </c>
    </row>
    <row r="43" spans="1:14" x14ac:dyDescent="0.2">
      <c r="A43" s="43">
        <v>3</v>
      </c>
      <c r="B43" s="10" t="s">
        <v>468</v>
      </c>
      <c r="C43" s="18" t="s">
        <v>18</v>
      </c>
      <c r="D43" s="27" t="s">
        <v>76</v>
      </c>
      <c r="E43" s="27" t="s">
        <v>35</v>
      </c>
      <c r="F43" s="27" t="s">
        <v>718</v>
      </c>
    </row>
  </sheetData>
  <mergeCells count="22">
    <mergeCell ref="A1:N1"/>
    <mergeCell ref="A2:N2"/>
    <mergeCell ref="A3:N3"/>
    <mergeCell ref="B34:M34"/>
    <mergeCell ref="B12:M12"/>
    <mergeCell ref="B4:B5"/>
    <mergeCell ref="C4:C5"/>
    <mergeCell ref="D4:D5"/>
    <mergeCell ref="E4:E5"/>
    <mergeCell ref="F4:F5"/>
    <mergeCell ref="G4:G5"/>
    <mergeCell ref="H4:K4"/>
    <mergeCell ref="L4:L5"/>
    <mergeCell ref="M4:M5"/>
    <mergeCell ref="N4:N5"/>
    <mergeCell ref="B6:M6"/>
    <mergeCell ref="B31:M31"/>
    <mergeCell ref="B9:M9"/>
    <mergeCell ref="A4:A5"/>
    <mergeCell ref="B17:M17"/>
    <mergeCell ref="B20:M20"/>
    <mergeCell ref="B27:M27"/>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topLeftCell="A7" workbookViewId="0">
      <selection sqref="A1:N1"/>
    </sheetView>
  </sheetViews>
  <sheetFormatPr defaultColWidth="8.7109375" defaultRowHeight="12.75" x14ac:dyDescent="0.2"/>
  <cols>
    <col min="1" max="1" width="6.85546875" style="43" bestFit="1" customWidth="1"/>
    <col min="2" max="2" width="21.42578125" style="6" bestFit="1" customWidth="1"/>
    <col min="3" max="3" width="33.42578125" style="6" bestFit="1" customWidth="1"/>
    <col min="4" max="4" width="8.5703125" style="6" bestFit="1" customWidth="1"/>
    <col min="5" max="5" width="7.5703125" style="6" bestFit="1" customWidth="1"/>
    <col min="6" max="6" width="20" style="6" customWidth="1"/>
    <col min="7" max="7" width="42.28515625" style="6" bestFit="1" customWidth="1"/>
    <col min="8" max="10" width="6.42578125" style="27" bestFit="1" customWidth="1"/>
    <col min="11" max="11" width="4.85546875" style="27" bestFit="1" customWidth="1"/>
    <col min="12" max="12" width="6.42578125" style="32" bestFit="1" customWidth="1"/>
    <col min="13" max="13" width="9.85546875" style="27" bestFit="1" customWidth="1"/>
    <col min="14" max="14" width="25.85546875" style="6" bestFit="1" customWidth="1"/>
    <col min="258" max="258" width="27" bestFit="1" customWidth="1"/>
    <col min="259" max="259" width="30.85546875" bestFit="1" customWidth="1"/>
    <col min="260" max="260" width="7.7109375" bestFit="1" customWidth="1"/>
    <col min="261" max="261" width="6.7109375" bestFit="1" customWidth="1"/>
    <col min="262" max="262" width="17.28515625" bestFit="1" customWidth="1"/>
    <col min="263" max="263" width="33" bestFit="1" customWidth="1"/>
    <col min="264" max="266" width="5.5703125" bestFit="1" customWidth="1"/>
    <col min="267" max="267" width="4.85546875" bestFit="1" customWidth="1"/>
    <col min="268" max="268" width="6.7109375" bestFit="1" customWidth="1"/>
    <col min="269" max="269" width="8.5703125" bestFit="1" customWidth="1"/>
    <col min="270" max="270" width="30.85546875" bestFit="1" customWidth="1"/>
    <col min="514" max="514" width="27" bestFit="1" customWidth="1"/>
    <col min="515" max="515" width="30.85546875" bestFit="1" customWidth="1"/>
    <col min="516" max="516" width="7.7109375" bestFit="1" customWidth="1"/>
    <col min="517" max="517" width="6.7109375" bestFit="1" customWidth="1"/>
    <col min="518" max="518" width="17.28515625" bestFit="1" customWidth="1"/>
    <col min="519" max="519" width="33" bestFit="1" customWidth="1"/>
    <col min="520" max="522" width="5.5703125" bestFit="1" customWidth="1"/>
    <col min="523" max="523" width="4.85546875" bestFit="1" customWidth="1"/>
    <col min="524" max="524" width="6.7109375" bestFit="1" customWidth="1"/>
    <col min="525" max="525" width="8.5703125" bestFit="1" customWidth="1"/>
    <col min="526" max="526" width="30.85546875" bestFit="1" customWidth="1"/>
    <col min="770" max="770" width="27" bestFit="1" customWidth="1"/>
    <col min="771" max="771" width="30.85546875" bestFit="1" customWidth="1"/>
    <col min="772" max="772" width="7.7109375" bestFit="1" customWidth="1"/>
    <col min="773" max="773" width="6.7109375" bestFit="1" customWidth="1"/>
    <col min="774" max="774" width="17.28515625" bestFit="1" customWidth="1"/>
    <col min="775" max="775" width="33" bestFit="1" customWidth="1"/>
    <col min="776" max="778" width="5.5703125" bestFit="1" customWidth="1"/>
    <col min="779" max="779" width="4.85546875" bestFit="1" customWidth="1"/>
    <col min="780" max="780" width="6.7109375" bestFit="1" customWidth="1"/>
    <col min="781" max="781" width="8.5703125" bestFit="1" customWidth="1"/>
    <col min="782" max="782" width="30.85546875" bestFit="1" customWidth="1"/>
    <col min="1026" max="1026" width="27" bestFit="1" customWidth="1"/>
    <col min="1027" max="1027" width="30.85546875" bestFit="1" customWidth="1"/>
    <col min="1028" max="1028" width="7.7109375" bestFit="1" customWidth="1"/>
    <col min="1029" max="1029" width="6.7109375" bestFit="1" customWidth="1"/>
    <col min="1030" max="1030" width="17.28515625" bestFit="1" customWidth="1"/>
    <col min="1031" max="1031" width="33" bestFit="1" customWidth="1"/>
    <col min="1032" max="1034" width="5.5703125" bestFit="1" customWidth="1"/>
    <col min="1035" max="1035" width="4.85546875" bestFit="1" customWidth="1"/>
    <col min="1036" max="1036" width="6.7109375" bestFit="1" customWidth="1"/>
    <col min="1037" max="1037" width="8.5703125" bestFit="1" customWidth="1"/>
    <col min="1038" max="1038" width="30.85546875" bestFit="1" customWidth="1"/>
    <col min="1282" max="1282" width="27" bestFit="1" customWidth="1"/>
    <col min="1283" max="1283" width="30.85546875" bestFit="1" customWidth="1"/>
    <col min="1284" max="1284" width="7.7109375" bestFit="1" customWidth="1"/>
    <col min="1285" max="1285" width="6.7109375" bestFit="1" customWidth="1"/>
    <col min="1286" max="1286" width="17.28515625" bestFit="1" customWidth="1"/>
    <col min="1287" max="1287" width="33" bestFit="1" customWidth="1"/>
    <col min="1288" max="1290" width="5.5703125" bestFit="1" customWidth="1"/>
    <col min="1291" max="1291" width="4.85546875" bestFit="1" customWidth="1"/>
    <col min="1292" max="1292" width="6.7109375" bestFit="1" customWidth="1"/>
    <col min="1293" max="1293" width="8.5703125" bestFit="1" customWidth="1"/>
    <col min="1294" max="1294" width="30.85546875" bestFit="1" customWidth="1"/>
    <col min="1538" max="1538" width="27" bestFit="1" customWidth="1"/>
    <col min="1539" max="1539" width="30.85546875" bestFit="1" customWidth="1"/>
    <col min="1540" max="1540" width="7.7109375" bestFit="1" customWidth="1"/>
    <col min="1541" max="1541" width="6.7109375" bestFit="1" customWidth="1"/>
    <col min="1542" max="1542" width="17.28515625" bestFit="1" customWidth="1"/>
    <col min="1543" max="1543" width="33" bestFit="1" customWidth="1"/>
    <col min="1544" max="1546" width="5.5703125" bestFit="1" customWidth="1"/>
    <col min="1547" max="1547" width="4.85546875" bestFit="1" customWidth="1"/>
    <col min="1548" max="1548" width="6.7109375" bestFit="1" customWidth="1"/>
    <col min="1549" max="1549" width="8.5703125" bestFit="1" customWidth="1"/>
    <col min="1550" max="1550" width="30.85546875" bestFit="1" customWidth="1"/>
    <col min="1794" max="1794" width="27" bestFit="1" customWidth="1"/>
    <col min="1795" max="1795" width="30.85546875" bestFit="1" customWidth="1"/>
    <col min="1796" max="1796" width="7.7109375" bestFit="1" customWidth="1"/>
    <col min="1797" max="1797" width="6.7109375" bestFit="1" customWidth="1"/>
    <col min="1798" max="1798" width="17.28515625" bestFit="1" customWidth="1"/>
    <col min="1799" max="1799" width="33" bestFit="1" customWidth="1"/>
    <col min="1800" max="1802" width="5.5703125" bestFit="1" customWidth="1"/>
    <col min="1803" max="1803" width="4.85546875" bestFit="1" customWidth="1"/>
    <col min="1804" max="1804" width="6.7109375" bestFit="1" customWidth="1"/>
    <col min="1805" max="1805" width="8.5703125" bestFit="1" customWidth="1"/>
    <col min="1806" max="1806" width="30.85546875" bestFit="1" customWidth="1"/>
    <col min="2050" max="2050" width="27" bestFit="1" customWidth="1"/>
    <col min="2051" max="2051" width="30.85546875" bestFit="1" customWidth="1"/>
    <col min="2052" max="2052" width="7.7109375" bestFit="1" customWidth="1"/>
    <col min="2053" max="2053" width="6.7109375" bestFit="1" customWidth="1"/>
    <col min="2054" max="2054" width="17.28515625" bestFit="1" customWidth="1"/>
    <col min="2055" max="2055" width="33" bestFit="1" customWidth="1"/>
    <col min="2056" max="2058" width="5.5703125" bestFit="1" customWidth="1"/>
    <col min="2059" max="2059" width="4.85546875" bestFit="1" customWidth="1"/>
    <col min="2060" max="2060" width="6.7109375" bestFit="1" customWidth="1"/>
    <col min="2061" max="2061" width="8.5703125" bestFit="1" customWidth="1"/>
    <col min="2062" max="2062" width="30.85546875" bestFit="1" customWidth="1"/>
    <col min="2306" max="2306" width="27" bestFit="1" customWidth="1"/>
    <col min="2307" max="2307" width="30.85546875" bestFit="1" customWidth="1"/>
    <col min="2308" max="2308" width="7.7109375" bestFit="1" customWidth="1"/>
    <col min="2309" max="2309" width="6.7109375" bestFit="1" customWidth="1"/>
    <col min="2310" max="2310" width="17.28515625" bestFit="1" customWidth="1"/>
    <col min="2311" max="2311" width="33" bestFit="1" customWidth="1"/>
    <col min="2312" max="2314" width="5.5703125" bestFit="1" customWidth="1"/>
    <col min="2315" max="2315" width="4.85546875" bestFit="1" customWidth="1"/>
    <col min="2316" max="2316" width="6.7109375" bestFit="1" customWidth="1"/>
    <col min="2317" max="2317" width="8.5703125" bestFit="1" customWidth="1"/>
    <col min="2318" max="2318" width="30.85546875" bestFit="1" customWidth="1"/>
    <col min="2562" max="2562" width="27" bestFit="1" customWidth="1"/>
    <col min="2563" max="2563" width="30.85546875" bestFit="1" customWidth="1"/>
    <col min="2564" max="2564" width="7.7109375" bestFit="1" customWidth="1"/>
    <col min="2565" max="2565" width="6.7109375" bestFit="1" customWidth="1"/>
    <col min="2566" max="2566" width="17.28515625" bestFit="1" customWidth="1"/>
    <col min="2567" max="2567" width="33" bestFit="1" customWidth="1"/>
    <col min="2568" max="2570" width="5.5703125" bestFit="1" customWidth="1"/>
    <col min="2571" max="2571" width="4.85546875" bestFit="1" customWidth="1"/>
    <col min="2572" max="2572" width="6.7109375" bestFit="1" customWidth="1"/>
    <col min="2573" max="2573" width="8.5703125" bestFit="1" customWidth="1"/>
    <col min="2574" max="2574" width="30.85546875" bestFit="1" customWidth="1"/>
    <col min="2818" max="2818" width="27" bestFit="1" customWidth="1"/>
    <col min="2819" max="2819" width="30.85546875" bestFit="1" customWidth="1"/>
    <col min="2820" max="2820" width="7.7109375" bestFit="1" customWidth="1"/>
    <col min="2821" max="2821" width="6.7109375" bestFit="1" customWidth="1"/>
    <col min="2822" max="2822" width="17.28515625" bestFit="1" customWidth="1"/>
    <col min="2823" max="2823" width="33" bestFit="1" customWidth="1"/>
    <col min="2824" max="2826" width="5.5703125" bestFit="1" customWidth="1"/>
    <col min="2827" max="2827" width="4.85546875" bestFit="1" customWidth="1"/>
    <col min="2828" max="2828" width="6.7109375" bestFit="1" customWidth="1"/>
    <col min="2829" max="2829" width="8.5703125" bestFit="1" customWidth="1"/>
    <col min="2830" max="2830" width="30.85546875" bestFit="1" customWidth="1"/>
    <col min="3074" max="3074" width="27" bestFit="1" customWidth="1"/>
    <col min="3075" max="3075" width="30.85546875" bestFit="1" customWidth="1"/>
    <col min="3076" max="3076" width="7.7109375" bestFit="1" customWidth="1"/>
    <col min="3077" max="3077" width="6.7109375" bestFit="1" customWidth="1"/>
    <col min="3078" max="3078" width="17.28515625" bestFit="1" customWidth="1"/>
    <col min="3079" max="3079" width="33" bestFit="1" customWidth="1"/>
    <col min="3080" max="3082" width="5.5703125" bestFit="1" customWidth="1"/>
    <col min="3083" max="3083" width="4.85546875" bestFit="1" customWidth="1"/>
    <col min="3084" max="3084" width="6.7109375" bestFit="1" customWidth="1"/>
    <col min="3085" max="3085" width="8.5703125" bestFit="1" customWidth="1"/>
    <col min="3086" max="3086" width="30.85546875" bestFit="1" customWidth="1"/>
    <col min="3330" max="3330" width="27" bestFit="1" customWidth="1"/>
    <col min="3331" max="3331" width="30.85546875" bestFit="1" customWidth="1"/>
    <col min="3332" max="3332" width="7.7109375" bestFit="1" customWidth="1"/>
    <col min="3333" max="3333" width="6.7109375" bestFit="1" customWidth="1"/>
    <col min="3334" max="3334" width="17.28515625" bestFit="1" customWidth="1"/>
    <col min="3335" max="3335" width="33" bestFit="1" customWidth="1"/>
    <col min="3336" max="3338" width="5.5703125" bestFit="1" customWidth="1"/>
    <col min="3339" max="3339" width="4.85546875" bestFit="1" customWidth="1"/>
    <col min="3340" max="3340" width="6.7109375" bestFit="1" customWidth="1"/>
    <col min="3341" max="3341" width="8.5703125" bestFit="1" customWidth="1"/>
    <col min="3342" max="3342" width="30.85546875" bestFit="1" customWidth="1"/>
    <col min="3586" max="3586" width="27" bestFit="1" customWidth="1"/>
    <col min="3587" max="3587" width="30.85546875" bestFit="1" customWidth="1"/>
    <col min="3588" max="3588" width="7.7109375" bestFit="1" customWidth="1"/>
    <col min="3589" max="3589" width="6.7109375" bestFit="1" customWidth="1"/>
    <col min="3590" max="3590" width="17.28515625" bestFit="1" customWidth="1"/>
    <col min="3591" max="3591" width="33" bestFit="1" customWidth="1"/>
    <col min="3592" max="3594" width="5.5703125" bestFit="1" customWidth="1"/>
    <col min="3595" max="3595" width="4.85546875" bestFit="1" customWidth="1"/>
    <col min="3596" max="3596" width="6.7109375" bestFit="1" customWidth="1"/>
    <col min="3597" max="3597" width="8.5703125" bestFit="1" customWidth="1"/>
    <col min="3598" max="3598" width="30.85546875" bestFit="1" customWidth="1"/>
    <col min="3842" max="3842" width="27" bestFit="1" customWidth="1"/>
    <col min="3843" max="3843" width="30.85546875" bestFit="1" customWidth="1"/>
    <col min="3844" max="3844" width="7.7109375" bestFit="1" customWidth="1"/>
    <col min="3845" max="3845" width="6.7109375" bestFit="1" customWidth="1"/>
    <col min="3846" max="3846" width="17.28515625" bestFit="1" customWidth="1"/>
    <col min="3847" max="3847" width="33" bestFit="1" customWidth="1"/>
    <col min="3848" max="3850" width="5.5703125" bestFit="1" customWidth="1"/>
    <col min="3851" max="3851" width="4.85546875" bestFit="1" customWidth="1"/>
    <col min="3852" max="3852" width="6.7109375" bestFit="1" customWidth="1"/>
    <col min="3853" max="3853" width="8.5703125" bestFit="1" customWidth="1"/>
    <col min="3854" max="3854" width="30.85546875" bestFit="1" customWidth="1"/>
    <col min="4098" max="4098" width="27" bestFit="1" customWidth="1"/>
    <col min="4099" max="4099" width="30.85546875" bestFit="1" customWidth="1"/>
    <col min="4100" max="4100" width="7.7109375" bestFit="1" customWidth="1"/>
    <col min="4101" max="4101" width="6.7109375" bestFit="1" customWidth="1"/>
    <col min="4102" max="4102" width="17.28515625" bestFit="1" customWidth="1"/>
    <col min="4103" max="4103" width="33" bestFit="1" customWidth="1"/>
    <col min="4104" max="4106" width="5.5703125" bestFit="1" customWidth="1"/>
    <col min="4107" max="4107" width="4.85546875" bestFit="1" customWidth="1"/>
    <col min="4108" max="4108" width="6.7109375" bestFit="1" customWidth="1"/>
    <col min="4109" max="4109" width="8.5703125" bestFit="1" customWidth="1"/>
    <col min="4110" max="4110" width="30.85546875" bestFit="1" customWidth="1"/>
    <col min="4354" max="4354" width="27" bestFit="1" customWidth="1"/>
    <col min="4355" max="4355" width="30.85546875" bestFit="1" customWidth="1"/>
    <col min="4356" max="4356" width="7.7109375" bestFit="1" customWidth="1"/>
    <col min="4357" max="4357" width="6.7109375" bestFit="1" customWidth="1"/>
    <col min="4358" max="4358" width="17.28515625" bestFit="1" customWidth="1"/>
    <col min="4359" max="4359" width="33" bestFit="1" customWidth="1"/>
    <col min="4360" max="4362" width="5.5703125" bestFit="1" customWidth="1"/>
    <col min="4363" max="4363" width="4.85546875" bestFit="1" customWidth="1"/>
    <col min="4364" max="4364" width="6.7109375" bestFit="1" customWidth="1"/>
    <col min="4365" max="4365" width="8.5703125" bestFit="1" customWidth="1"/>
    <col min="4366" max="4366" width="30.85546875" bestFit="1" customWidth="1"/>
    <col min="4610" max="4610" width="27" bestFit="1" customWidth="1"/>
    <col min="4611" max="4611" width="30.85546875" bestFit="1" customWidth="1"/>
    <col min="4612" max="4612" width="7.7109375" bestFit="1" customWidth="1"/>
    <col min="4613" max="4613" width="6.7109375" bestFit="1" customWidth="1"/>
    <col min="4614" max="4614" width="17.28515625" bestFit="1" customWidth="1"/>
    <col min="4615" max="4615" width="33" bestFit="1" customWidth="1"/>
    <col min="4616" max="4618" width="5.5703125" bestFit="1" customWidth="1"/>
    <col min="4619" max="4619" width="4.85546875" bestFit="1" customWidth="1"/>
    <col min="4620" max="4620" width="6.7109375" bestFit="1" customWidth="1"/>
    <col min="4621" max="4621" width="8.5703125" bestFit="1" customWidth="1"/>
    <col min="4622" max="4622" width="30.85546875" bestFit="1" customWidth="1"/>
    <col min="4866" max="4866" width="27" bestFit="1" customWidth="1"/>
    <col min="4867" max="4867" width="30.85546875" bestFit="1" customWidth="1"/>
    <col min="4868" max="4868" width="7.7109375" bestFit="1" customWidth="1"/>
    <col min="4869" max="4869" width="6.7109375" bestFit="1" customWidth="1"/>
    <col min="4870" max="4870" width="17.28515625" bestFit="1" customWidth="1"/>
    <col min="4871" max="4871" width="33" bestFit="1" customWidth="1"/>
    <col min="4872" max="4874" width="5.5703125" bestFit="1" customWidth="1"/>
    <col min="4875" max="4875" width="4.85546875" bestFit="1" customWidth="1"/>
    <col min="4876" max="4876" width="6.7109375" bestFit="1" customWidth="1"/>
    <col min="4877" max="4877" width="8.5703125" bestFit="1" customWidth="1"/>
    <col min="4878" max="4878" width="30.85546875" bestFit="1" customWidth="1"/>
    <col min="5122" max="5122" width="27" bestFit="1" customWidth="1"/>
    <col min="5123" max="5123" width="30.85546875" bestFit="1" customWidth="1"/>
    <col min="5124" max="5124" width="7.7109375" bestFit="1" customWidth="1"/>
    <col min="5125" max="5125" width="6.7109375" bestFit="1" customWidth="1"/>
    <col min="5126" max="5126" width="17.28515625" bestFit="1" customWidth="1"/>
    <col min="5127" max="5127" width="33" bestFit="1" customWidth="1"/>
    <col min="5128" max="5130" width="5.5703125" bestFit="1" customWidth="1"/>
    <col min="5131" max="5131" width="4.85546875" bestFit="1" customWidth="1"/>
    <col min="5132" max="5132" width="6.7109375" bestFit="1" customWidth="1"/>
    <col min="5133" max="5133" width="8.5703125" bestFit="1" customWidth="1"/>
    <col min="5134" max="5134" width="30.85546875" bestFit="1" customWidth="1"/>
    <col min="5378" max="5378" width="27" bestFit="1" customWidth="1"/>
    <col min="5379" max="5379" width="30.85546875" bestFit="1" customWidth="1"/>
    <col min="5380" max="5380" width="7.7109375" bestFit="1" customWidth="1"/>
    <col min="5381" max="5381" width="6.7109375" bestFit="1" customWidth="1"/>
    <col min="5382" max="5382" width="17.28515625" bestFit="1" customWidth="1"/>
    <col min="5383" max="5383" width="33" bestFit="1" customWidth="1"/>
    <col min="5384" max="5386" width="5.5703125" bestFit="1" customWidth="1"/>
    <col min="5387" max="5387" width="4.85546875" bestFit="1" customWidth="1"/>
    <col min="5388" max="5388" width="6.7109375" bestFit="1" customWidth="1"/>
    <col min="5389" max="5389" width="8.5703125" bestFit="1" customWidth="1"/>
    <col min="5390" max="5390" width="30.85546875" bestFit="1" customWidth="1"/>
    <col min="5634" max="5634" width="27" bestFit="1" customWidth="1"/>
    <col min="5635" max="5635" width="30.85546875" bestFit="1" customWidth="1"/>
    <col min="5636" max="5636" width="7.7109375" bestFit="1" customWidth="1"/>
    <col min="5637" max="5637" width="6.7109375" bestFit="1" customWidth="1"/>
    <col min="5638" max="5638" width="17.28515625" bestFit="1" customWidth="1"/>
    <col min="5639" max="5639" width="33" bestFit="1" customWidth="1"/>
    <col min="5640" max="5642" width="5.5703125" bestFit="1" customWidth="1"/>
    <col min="5643" max="5643" width="4.85546875" bestFit="1" customWidth="1"/>
    <col min="5644" max="5644" width="6.7109375" bestFit="1" customWidth="1"/>
    <col min="5645" max="5645" width="8.5703125" bestFit="1" customWidth="1"/>
    <col min="5646" max="5646" width="30.85546875" bestFit="1" customWidth="1"/>
    <col min="5890" max="5890" width="27" bestFit="1" customWidth="1"/>
    <col min="5891" max="5891" width="30.85546875" bestFit="1" customWidth="1"/>
    <col min="5892" max="5892" width="7.7109375" bestFit="1" customWidth="1"/>
    <col min="5893" max="5893" width="6.7109375" bestFit="1" customWidth="1"/>
    <col min="5894" max="5894" width="17.28515625" bestFit="1" customWidth="1"/>
    <col min="5895" max="5895" width="33" bestFit="1" customWidth="1"/>
    <col min="5896" max="5898" width="5.5703125" bestFit="1" customWidth="1"/>
    <col min="5899" max="5899" width="4.85546875" bestFit="1" customWidth="1"/>
    <col min="5900" max="5900" width="6.7109375" bestFit="1" customWidth="1"/>
    <col min="5901" max="5901" width="8.5703125" bestFit="1" customWidth="1"/>
    <col min="5902" max="5902" width="30.85546875" bestFit="1" customWidth="1"/>
    <col min="6146" max="6146" width="27" bestFit="1" customWidth="1"/>
    <col min="6147" max="6147" width="30.85546875" bestFit="1" customWidth="1"/>
    <col min="6148" max="6148" width="7.7109375" bestFit="1" customWidth="1"/>
    <col min="6149" max="6149" width="6.7109375" bestFit="1" customWidth="1"/>
    <col min="6150" max="6150" width="17.28515625" bestFit="1" customWidth="1"/>
    <col min="6151" max="6151" width="33" bestFit="1" customWidth="1"/>
    <col min="6152" max="6154" width="5.5703125" bestFit="1" customWidth="1"/>
    <col min="6155" max="6155" width="4.85546875" bestFit="1" customWidth="1"/>
    <col min="6156" max="6156" width="6.7109375" bestFit="1" customWidth="1"/>
    <col min="6157" max="6157" width="8.5703125" bestFit="1" customWidth="1"/>
    <col min="6158" max="6158" width="30.85546875" bestFit="1" customWidth="1"/>
    <col min="6402" max="6402" width="27" bestFit="1" customWidth="1"/>
    <col min="6403" max="6403" width="30.85546875" bestFit="1" customWidth="1"/>
    <col min="6404" max="6404" width="7.7109375" bestFit="1" customWidth="1"/>
    <col min="6405" max="6405" width="6.7109375" bestFit="1" customWidth="1"/>
    <col min="6406" max="6406" width="17.28515625" bestFit="1" customWidth="1"/>
    <col min="6407" max="6407" width="33" bestFit="1" customWidth="1"/>
    <col min="6408" max="6410" width="5.5703125" bestFit="1" customWidth="1"/>
    <col min="6411" max="6411" width="4.85546875" bestFit="1" customWidth="1"/>
    <col min="6412" max="6412" width="6.7109375" bestFit="1" customWidth="1"/>
    <col min="6413" max="6413" width="8.5703125" bestFit="1" customWidth="1"/>
    <col min="6414" max="6414" width="30.85546875" bestFit="1" customWidth="1"/>
    <col min="6658" max="6658" width="27" bestFit="1" customWidth="1"/>
    <col min="6659" max="6659" width="30.85546875" bestFit="1" customWidth="1"/>
    <col min="6660" max="6660" width="7.7109375" bestFit="1" customWidth="1"/>
    <col min="6661" max="6661" width="6.7109375" bestFit="1" customWidth="1"/>
    <col min="6662" max="6662" width="17.28515625" bestFit="1" customWidth="1"/>
    <col min="6663" max="6663" width="33" bestFit="1" customWidth="1"/>
    <col min="6664" max="6666" width="5.5703125" bestFit="1" customWidth="1"/>
    <col min="6667" max="6667" width="4.85546875" bestFit="1" customWidth="1"/>
    <col min="6668" max="6668" width="6.7109375" bestFit="1" customWidth="1"/>
    <col min="6669" max="6669" width="8.5703125" bestFit="1" customWidth="1"/>
    <col min="6670" max="6670" width="30.85546875" bestFit="1" customWidth="1"/>
    <col min="6914" max="6914" width="27" bestFit="1" customWidth="1"/>
    <col min="6915" max="6915" width="30.85546875" bestFit="1" customWidth="1"/>
    <col min="6916" max="6916" width="7.7109375" bestFit="1" customWidth="1"/>
    <col min="6917" max="6917" width="6.7109375" bestFit="1" customWidth="1"/>
    <col min="6918" max="6918" width="17.28515625" bestFit="1" customWidth="1"/>
    <col min="6919" max="6919" width="33" bestFit="1" customWidth="1"/>
    <col min="6920" max="6922" width="5.5703125" bestFit="1" customWidth="1"/>
    <col min="6923" max="6923" width="4.85546875" bestFit="1" customWidth="1"/>
    <col min="6924" max="6924" width="6.7109375" bestFit="1" customWidth="1"/>
    <col min="6925" max="6925" width="8.5703125" bestFit="1" customWidth="1"/>
    <col min="6926" max="6926" width="30.85546875" bestFit="1" customWidth="1"/>
    <col min="7170" max="7170" width="27" bestFit="1" customWidth="1"/>
    <col min="7171" max="7171" width="30.85546875" bestFit="1" customWidth="1"/>
    <col min="7172" max="7172" width="7.7109375" bestFit="1" customWidth="1"/>
    <col min="7173" max="7173" width="6.7109375" bestFit="1" customWidth="1"/>
    <col min="7174" max="7174" width="17.28515625" bestFit="1" customWidth="1"/>
    <col min="7175" max="7175" width="33" bestFit="1" customWidth="1"/>
    <col min="7176" max="7178" width="5.5703125" bestFit="1" customWidth="1"/>
    <col min="7179" max="7179" width="4.85546875" bestFit="1" customWidth="1"/>
    <col min="7180" max="7180" width="6.7109375" bestFit="1" customWidth="1"/>
    <col min="7181" max="7181" width="8.5703125" bestFit="1" customWidth="1"/>
    <col min="7182" max="7182" width="30.85546875" bestFit="1" customWidth="1"/>
    <col min="7426" max="7426" width="27" bestFit="1" customWidth="1"/>
    <col min="7427" max="7427" width="30.85546875" bestFit="1" customWidth="1"/>
    <col min="7428" max="7428" width="7.7109375" bestFit="1" customWidth="1"/>
    <col min="7429" max="7429" width="6.7109375" bestFit="1" customWidth="1"/>
    <col min="7430" max="7430" width="17.28515625" bestFit="1" customWidth="1"/>
    <col min="7431" max="7431" width="33" bestFit="1" customWidth="1"/>
    <col min="7432" max="7434" width="5.5703125" bestFit="1" customWidth="1"/>
    <col min="7435" max="7435" width="4.85546875" bestFit="1" customWidth="1"/>
    <col min="7436" max="7436" width="6.7109375" bestFit="1" customWidth="1"/>
    <col min="7437" max="7437" width="8.5703125" bestFit="1" customWidth="1"/>
    <col min="7438" max="7438" width="30.85546875" bestFit="1" customWidth="1"/>
    <col min="7682" max="7682" width="27" bestFit="1" customWidth="1"/>
    <col min="7683" max="7683" width="30.85546875" bestFit="1" customWidth="1"/>
    <col min="7684" max="7684" width="7.7109375" bestFit="1" customWidth="1"/>
    <col min="7685" max="7685" width="6.7109375" bestFit="1" customWidth="1"/>
    <col min="7686" max="7686" width="17.28515625" bestFit="1" customWidth="1"/>
    <col min="7687" max="7687" width="33" bestFit="1" customWidth="1"/>
    <col min="7688" max="7690" width="5.5703125" bestFit="1" customWidth="1"/>
    <col min="7691" max="7691" width="4.85546875" bestFit="1" customWidth="1"/>
    <col min="7692" max="7692" width="6.7109375" bestFit="1" customWidth="1"/>
    <col min="7693" max="7693" width="8.5703125" bestFit="1" customWidth="1"/>
    <col min="7694" max="7694" width="30.85546875" bestFit="1" customWidth="1"/>
    <col min="7938" max="7938" width="27" bestFit="1" customWidth="1"/>
    <col min="7939" max="7939" width="30.85546875" bestFit="1" customWidth="1"/>
    <col min="7940" max="7940" width="7.7109375" bestFit="1" customWidth="1"/>
    <col min="7941" max="7941" width="6.7109375" bestFit="1" customWidth="1"/>
    <col min="7942" max="7942" width="17.28515625" bestFit="1" customWidth="1"/>
    <col min="7943" max="7943" width="33" bestFit="1" customWidth="1"/>
    <col min="7944" max="7946" width="5.5703125" bestFit="1" customWidth="1"/>
    <col min="7947" max="7947" width="4.85546875" bestFit="1" customWidth="1"/>
    <col min="7948" max="7948" width="6.7109375" bestFit="1" customWidth="1"/>
    <col min="7949" max="7949" width="8.5703125" bestFit="1" customWidth="1"/>
    <col min="7950" max="7950" width="30.85546875" bestFit="1" customWidth="1"/>
    <col min="8194" max="8194" width="27" bestFit="1" customWidth="1"/>
    <col min="8195" max="8195" width="30.85546875" bestFit="1" customWidth="1"/>
    <col min="8196" max="8196" width="7.7109375" bestFit="1" customWidth="1"/>
    <col min="8197" max="8197" width="6.7109375" bestFit="1" customWidth="1"/>
    <col min="8198" max="8198" width="17.28515625" bestFit="1" customWidth="1"/>
    <col min="8199" max="8199" width="33" bestFit="1" customWidth="1"/>
    <col min="8200" max="8202" width="5.5703125" bestFit="1" customWidth="1"/>
    <col min="8203" max="8203" width="4.85546875" bestFit="1" customWidth="1"/>
    <col min="8204" max="8204" width="6.7109375" bestFit="1" customWidth="1"/>
    <col min="8205" max="8205" width="8.5703125" bestFit="1" customWidth="1"/>
    <col min="8206" max="8206" width="30.85546875" bestFit="1" customWidth="1"/>
    <col min="8450" max="8450" width="27" bestFit="1" customWidth="1"/>
    <col min="8451" max="8451" width="30.85546875" bestFit="1" customWidth="1"/>
    <col min="8452" max="8452" width="7.7109375" bestFit="1" customWidth="1"/>
    <col min="8453" max="8453" width="6.7109375" bestFit="1" customWidth="1"/>
    <col min="8454" max="8454" width="17.28515625" bestFit="1" customWidth="1"/>
    <col min="8455" max="8455" width="33" bestFit="1" customWidth="1"/>
    <col min="8456" max="8458" width="5.5703125" bestFit="1" customWidth="1"/>
    <col min="8459" max="8459" width="4.85546875" bestFit="1" customWidth="1"/>
    <col min="8460" max="8460" width="6.7109375" bestFit="1" customWidth="1"/>
    <col min="8461" max="8461" width="8.5703125" bestFit="1" customWidth="1"/>
    <col min="8462" max="8462" width="30.85546875" bestFit="1" customWidth="1"/>
    <col min="8706" max="8706" width="27" bestFit="1" customWidth="1"/>
    <col min="8707" max="8707" width="30.85546875" bestFit="1" customWidth="1"/>
    <col min="8708" max="8708" width="7.7109375" bestFit="1" customWidth="1"/>
    <col min="8709" max="8709" width="6.7109375" bestFit="1" customWidth="1"/>
    <col min="8710" max="8710" width="17.28515625" bestFit="1" customWidth="1"/>
    <col min="8711" max="8711" width="33" bestFit="1" customWidth="1"/>
    <col min="8712" max="8714" width="5.5703125" bestFit="1" customWidth="1"/>
    <col min="8715" max="8715" width="4.85546875" bestFit="1" customWidth="1"/>
    <col min="8716" max="8716" width="6.7109375" bestFit="1" customWidth="1"/>
    <col min="8717" max="8717" width="8.5703125" bestFit="1" customWidth="1"/>
    <col min="8718" max="8718" width="30.85546875" bestFit="1" customWidth="1"/>
    <col min="8962" max="8962" width="27" bestFit="1" customWidth="1"/>
    <col min="8963" max="8963" width="30.85546875" bestFit="1" customWidth="1"/>
    <col min="8964" max="8964" width="7.7109375" bestFit="1" customWidth="1"/>
    <col min="8965" max="8965" width="6.7109375" bestFit="1" customWidth="1"/>
    <col min="8966" max="8966" width="17.28515625" bestFit="1" customWidth="1"/>
    <col min="8967" max="8967" width="33" bestFit="1" customWidth="1"/>
    <col min="8968" max="8970" width="5.5703125" bestFit="1" customWidth="1"/>
    <col min="8971" max="8971" width="4.85546875" bestFit="1" customWidth="1"/>
    <col min="8972" max="8972" width="6.7109375" bestFit="1" customWidth="1"/>
    <col min="8973" max="8973" width="8.5703125" bestFit="1" customWidth="1"/>
    <col min="8974" max="8974" width="30.85546875" bestFit="1" customWidth="1"/>
    <col min="9218" max="9218" width="27" bestFit="1" customWidth="1"/>
    <col min="9219" max="9219" width="30.85546875" bestFit="1" customWidth="1"/>
    <col min="9220" max="9220" width="7.7109375" bestFit="1" customWidth="1"/>
    <col min="9221" max="9221" width="6.7109375" bestFit="1" customWidth="1"/>
    <col min="9222" max="9222" width="17.28515625" bestFit="1" customWidth="1"/>
    <col min="9223" max="9223" width="33" bestFit="1" customWidth="1"/>
    <col min="9224" max="9226" width="5.5703125" bestFit="1" customWidth="1"/>
    <col min="9227" max="9227" width="4.85546875" bestFit="1" customWidth="1"/>
    <col min="9228" max="9228" width="6.7109375" bestFit="1" customWidth="1"/>
    <col min="9229" max="9229" width="8.5703125" bestFit="1" customWidth="1"/>
    <col min="9230" max="9230" width="30.85546875" bestFit="1" customWidth="1"/>
    <col min="9474" max="9474" width="27" bestFit="1" customWidth="1"/>
    <col min="9475" max="9475" width="30.85546875" bestFit="1" customWidth="1"/>
    <col min="9476" max="9476" width="7.7109375" bestFit="1" customWidth="1"/>
    <col min="9477" max="9477" width="6.7109375" bestFit="1" customWidth="1"/>
    <col min="9478" max="9478" width="17.28515625" bestFit="1" customWidth="1"/>
    <col min="9479" max="9479" width="33" bestFit="1" customWidth="1"/>
    <col min="9480" max="9482" width="5.5703125" bestFit="1" customWidth="1"/>
    <col min="9483" max="9483" width="4.85546875" bestFit="1" customWidth="1"/>
    <col min="9484" max="9484" width="6.7109375" bestFit="1" customWidth="1"/>
    <col min="9485" max="9485" width="8.5703125" bestFit="1" customWidth="1"/>
    <col min="9486" max="9486" width="30.85546875" bestFit="1" customWidth="1"/>
    <col min="9730" max="9730" width="27" bestFit="1" customWidth="1"/>
    <col min="9731" max="9731" width="30.85546875" bestFit="1" customWidth="1"/>
    <col min="9732" max="9732" width="7.7109375" bestFit="1" customWidth="1"/>
    <col min="9733" max="9733" width="6.7109375" bestFit="1" customWidth="1"/>
    <col min="9734" max="9734" width="17.28515625" bestFit="1" customWidth="1"/>
    <col min="9735" max="9735" width="33" bestFit="1" customWidth="1"/>
    <col min="9736" max="9738" width="5.5703125" bestFit="1" customWidth="1"/>
    <col min="9739" max="9739" width="4.85546875" bestFit="1" customWidth="1"/>
    <col min="9740" max="9740" width="6.7109375" bestFit="1" customWidth="1"/>
    <col min="9741" max="9741" width="8.5703125" bestFit="1" customWidth="1"/>
    <col min="9742" max="9742" width="30.85546875" bestFit="1" customWidth="1"/>
    <col min="9986" max="9986" width="27" bestFit="1" customWidth="1"/>
    <col min="9987" max="9987" width="30.85546875" bestFit="1" customWidth="1"/>
    <col min="9988" max="9988" width="7.7109375" bestFit="1" customWidth="1"/>
    <col min="9989" max="9989" width="6.7109375" bestFit="1" customWidth="1"/>
    <col min="9990" max="9990" width="17.28515625" bestFit="1" customWidth="1"/>
    <col min="9991" max="9991" width="33" bestFit="1" customWidth="1"/>
    <col min="9992" max="9994" width="5.5703125" bestFit="1" customWidth="1"/>
    <col min="9995" max="9995" width="4.85546875" bestFit="1" customWidth="1"/>
    <col min="9996" max="9996" width="6.7109375" bestFit="1" customWidth="1"/>
    <col min="9997" max="9997" width="8.5703125" bestFit="1" customWidth="1"/>
    <col min="9998" max="9998" width="30.85546875" bestFit="1" customWidth="1"/>
    <col min="10242" max="10242" width="27" bestFit="1" customWidth="1"/>
    <col min="10243" max="10243" width="30.85546875" bestFit="1" customWidth="1"/>
    <col min="10244" max="10244" width="7.7109375" bestFit="1" customWidth="1"/>
    <col min="10245" max="10245" width="6.7109375" bestFit="1" customWidth="1"/>
    <col min="10246" max="10246" width="17.28515625" bestFit="1" customWidth="1"/>
    <col min="10247" max="10247" width="33" bestFit="1" customWidth="1"/>
    <col min="10248" max="10250" width="5.5703125" bestFit="1" customWidth="1"/>
    <col min="10251" max="10251" width="4.85546875" bestFit="1" customWidth="1"/>
    <col min="10252" max="10252" width="6.7109375" bestFit="1" customWidth="1"/>
    <col min="10253" max="10253" width="8.5703125" bestFit="1" customWidth="1"/>
    <col min="10254" max="10254" width="30.85546875" bestFit="1" customWidth="1"/>
    <col min="10498" max="10498" width="27" bestFit="1" customWidth="1"/>
    <col min="10499" max="10499" width="30.85546875" bestFit="1" customWidth="1"/>
    <col min="10500" max="10500" width="7.7109375" bestFit="1" customWidth="1"/>
    <col min="10501" max="10501" width="6.7109375" bestFit="1" customWidth="1"/>
    <col min="10502" max="10502" width="17.28515625" bestFit="1" customWidth="1"/>
    <col min="10503" max="10503" width="33" bestFit="1" customWidth="1"/>
    <col min="10504" max="10506" width="5.5703125" bestFit="1" customWidth="1"/>
    <col min="10507" max="10507" width="4.85546875" bestFit="1" customWidth="1"/>
    <col min="10508" max="10508" width="6.7109375" bestFit="1" customWidth="1"/>
    <col min="10509" max="10509" width="8.5703125" bestFit="1" customWidth="1"/>
    <col min="10510" max="10510" width="30.85546875" bestFit="1" customWidth="1"/>
    <col min="10754" max="10754" width="27" bestFit="1" customWidth="1"/>
    <col min="10755" max="10755" width="30.85546875" bestFit="1" customWidth="1"/>
    <col min="10756" max="10756" width="7.7109375" bestFit="1" customWidth="1"/>
    <col min="10757" max="10757" width="6.7109375" bestFit="1" customWidth="1"/>
    <col min="10758" max="10758" width="17.28515625" bestFit="1" customWidth="1"/>
    <col min="10759" max="10759" width="33" bestFit="1" customWidth="1"/>
    <col min="10760" max="10762" width="5.5703125" bestFit="1" customWidth="1"/>
    <col min="10763" max="10763" width="4.85546875" bestFit="1" customWidth="1"/>
    <col min="10764" max="10764" width="6.7109375" bestFit="1" customWidth="1"/>
    <col min="10765" max="10765" width="8.5703125" bestFit="1" customWidth="1"/>
    <col min="10766" max="10766" width="30.85546875" bestFit="1" customWidth="1"/>
    <col min="11010" max="11010" width="27" bestFit="1" customWidth="1"/>
    <col min="11011" max="11011" width="30.85546875" bestFit="1" customWidth="1"/>
    <col min="11012" max="11012" width="7.7109375" bestFit="1" customWidth="1"/>
    <col min="11013" max="11013" width="6.7109375" bestFit="1" customWidth="1"/>
    <col min="11014" max="11014" width="17.28515625" bestFit="1" customWidth="1"/>
    <col min="11015" max="11015" width="33" bestFit="1" customWidth="1"/>
    <col min="11016" max="11018" width="5.5703125" bestFit="1" customWidth="1"/>
    <col min="11019" max="11019" width="4.85546875" bestFit="1" customWidth="1"/>
    <col min="11020" max="11020" width="6.7109375" bestFit="1" customWidth="1"/>
    <col min="11021" max="11021" width="8.5703125" bestFit="1" customWidth="1"/>
    <col min="11022" max="11022" width="30.85546875" bestFit="1" customWidth="1"/>
    <col min="11266" max="11266" width="27" bestFit="1" customWidth="1"/>
    <col min="11267" max="11267" width="30.85546875" bestFit="1" customWidth="1"/>
    <col min="11268" max="11268" width="7.7109375" bestFit="1" customWidth="1"/>
    <col min="11269" max="11269" width="6.7109375" bestFit="1" customWidth="1"/>
    <col min="11270" max="11270" width="17.28515625" bestFit="1" customWidth="1"/>
    <col min="11271" max="11271" width="33" bestFit="1" customWidth="1"/>
    <col min="11272" max="11274" width="5.5703125" bestFit="1" customWidth="1"/>
    <col min="11275" max="11275" width="4.85546875" bestFit="1" customWidth="1"/>
    <col min="11276" max="11276" width="6.7109375" bestFit="1" customWidth="1"/>
    <col min="11277" max="11277" width="8.5703125" bestFit="1" customWidth="1"/>
    <col min="11278" max="11278" width="30.85546875" bestFit="1" customWidth="1"/>
    <col min="11522" max="11522" width="27" bestFit="1" customWidth="1"/>
    <col min="11523" max="11523" width="30.85546875" bestFit="1" customWidth="1"/>
    <col min="11524" max="11524" width="7.7109375" bestFit="1" customWidth="1"/>
    <col min="11525" max="11525" width="6.7109375" bestFit="1" customWidth="1"/>
    <col min="11526" max="11526" width="17.28515625" bestFit="1" customWidth="1"/>
    <col min="11527" max="11527" width="33" bestFit="1" customWidth="1"/>
    <col min="11528" max="11530" width="5.5703125" bestFit="1" customWidth="1"/>
    <col min="11531" max="11531" width="4.85546875" bestFit="1" customWidth="1"/>
    <col min="11532" max="11532" width="6.7109375" bestFit="1" customWidth="1"/>
    <col min="11533" max="11533" width="8.5703125" bestFit="1" customWidth="1"/>
    <col min="11534" max="11534" width="30.85546875" bestFit="1" customWidth="1"/>
    <col min="11778" max="11778" width="27" bestFit="1" customWidth="1"/>
    <col min="11779" max="11779" width="30.85546875" bestFit="1" customWidth="1"/>
    <col min="11780" max="11780" width="7.7109375" bestFit="1" customWidth="1"/>
    <col min="11781" max="11781" width="6.7109375" bestFit="1" customWidth="1"/>
    <col min="11782" max="11782" width="17.28515625" bestFit="1" customWidth="1"/>
    <col min="11783" max="11783" width="33" bestFit="1" customWidth="1"/>
    <col min="11784" max="11786" width="5.5703125" bestFit="1" customWidth="1"/>
    <col min="11787" max="11787" width="4.85546875" bestFit="1" customWidth="1"/>
    <col min="11788" max="11788" width="6.7109375" bestFit="1" customWidth="1"/>
    <col min="11789" max="11789" width="8.5703125" bestFit="1" customWidth="1"/>
    <col min="11790" max="11790" width="30.85546875" bestFit="1" customWidth="1"/>
    <col min="12034" max="12034" width="27" bestFit="1" customWidth="1"/>
    <col min="12035" max="12035" width="30.85546875" bestFit="1" customWidth="1"/>
    <col min="12036" max="12036" width="7.7109375" bestFit="1" customWidth="1"/>
    <col min="12037" max="12037" width="6.7109375" bestFit="1" customWidth="1"/>
    <col min="12038" max="12038" width="17.28515625" bestFit="1" customWidth="1"/>
    <col min="12039" max="12039" width="33" bestFit="1" customWidth="1"/>
    <col min="12040" max="12042" width="5.5703125" bestFit="1" customWidth="1"/>
    <col min="12043" max="12043" width="4.85546875" bestFit="1" customWidth="1"/>
    <col min="12044" max="12044" width="6.7109375" bestFit="1" customWidth="1"/>
    <col min="12045" max="12045" width="8.5703125" bestFit="1" customWidth="1"/>
    <col min="12046" max="12046" width="30.85546875" bestFit="1" customWidth="1"/>
    <col min="12290" max="12290" width="27" bestFit="1" customWidth="1"/>
    <col min="12291" max="12291" width="30.85546875" bestFit="1" customWidth="1"/>
    <col min="12292" max="12292" width="7.7109375" bestFit="1" customWidth="1"/>
    <col min="12293" max="12293" width="6.7109375" bestFit="1" customWidth="1"/>
    <col min="12294" max="12294" width="17.28515625" bestFit="1" customWidth="1"/>
    <col min="12295" max="12295" width="33" bestFit="1" customWidth="1"/>
    <col min="12296" max="12298" width="5.5703125" bestFit="1" customWidth="1"/>
    <col min="12299" max="12299" width="4.85546875" bestFit="1" customWidth="1"/>
    <col min="12300" max="12300" width="6.7109375" bestFit="1" customWidth="1"/>
    <col min="12301" max="12301" width="8.5703125" bestFit="1" customWidth="1"/>
    <col min="12302" max="12302" width="30.85546875" bestFit="1" customWidth="1"/>
    <col min="12546" max="12546" width="27" bestFit="1" customWidth="1"/>
    <col min="12547" max="12547" width="30.85546875" bestFit="1" customWidth="1"/>
    <col min="12548" max="12548" width="7.7109375" bestFit="1" customWidth="1"/>
    <col min="12549" max="12549" width="6.7109375" bestFit="1" customWidth="1"/>
    <col min="12550" max="12550" width="17.28515625" bestFit="1" customWidth="1"/>
    <col min="12551" max="12551" width="33" bestFit="1" customWidth="1"/>
    <col min="12552" max="12554" width="5.5703125" bestFit="1" customWidth="1"/>
    <col min="12555" max="12555" width="4.85546875" bestFit="1" customWidth="1"/>
    <col min="12556" max="12556" width="6.7109375" bestFit="1" customWidth="1"/>
    <col min="12557" max="12557" width="8.5703125" bestFit="1" customWidth="1"/>
    <col min="12558" max="12558" width="30.85546875" bestFit="1" customWidth="1"/>
    <col min="12802" max="12802" width="27" bestFit="1" customWidth="1"/>
    <col min="12803" max="12803" width="30.85546875" bestFit="1" customWidth="1"/>
    <col min="12804" max="12804" width="7.7109375" bestFit="1" customWidth="1"/>
    <col min="12805" max="12805" width="6.7109375" bestFit="1" customWidth="1"/>
    <col min="12806" max="12806" width="17.28515625" bestFit="1" customWidth="1"/>
    <col min="12807" max="12807" width="33" bestFit="1" customWidth="1"/>
    <col min="12808" max="12810" width="5.5703125" bestFit="1" customWidth="1"/>
    <col min="12811" max="12811" width="4.85546875" bestFit="1" customWidth="1"/>
    <col min="12812" max="12812" width="6.7109375" bestFit="1" customWidth="1"/>
    <col min="12813" max="12813" width="8.5703125" bestFit="1" customWidth="1"/>
    <col min="12814" max="12814" width="30.85546875" bestFit="1" customWidth="1"/>
    <col min="13058" max="13058" width="27" bestFit="1" customWidth="1"/>
    <col min="13059" max="13059" width="30.85546875" bestFit="1" customWidth="1"/>
    <col min="13060" max="13060" width="7.7109375" bestFit="1" customWidth="1"/>
    <col min="13061" max="13061" width="6.7109375" bestFit="1" customWidth="1"/>
    <col min="13062" max="13062" width="17.28515625" bestFit="1" customWidth="1"/>
    <col min="13063" max="13063" width="33" bestFit="1" customWidth="1"/>
    <col min="13064" max="13066" width="5.5703125" bestFit="1" customWidth="1"/>
    <col min="13067" max="13067" width="4.85546875" bestFit="1" customWidth="1"/>
    <col min="13068" max="13068" width="6.7109375" bestFit="1" customWidth="1"/>
    <col min="13069" max="13069" width="8.5703125" bestFit="1" customWidth="1"/>
    <col min="13070" max="13070" width="30.85546875" bestFit="1" customWidth="1"/>
    <col min="13314" max="13314" width="27" bestFit="1" customWidth="1"/>
    <col min="13315" max="13315" width="30.85546875" bestFit="1" customWidth="1"/>
    <col min="13316" max="13316" width="7.7109375" bestFit="1" customWidth="1"/>
    <col min="13317" max="13317" width="6.7109375" bestFit="1" customWidth="1"/>
    <col min="13318" max="13318" width="17.28515625" bestFit="1" customWidth="1"/>
    <col min="13319" max="13319" width="33" bestFit="1" customWidth="1"/>
    <col min="13320" max="13322" width="5.5703125" bestFit="1" customWidth="1"/>
    <col min="13323" max="13323" width="4.85546875" bestFit="1" customWidth="1"/>
    <col min="13324" max="13324" width="6.7109375" bestFit="1" customWidth="1"/>
    <col min="13325" max="13325" width="8.5703125" bestFit="1" customWidth="1"/>
    <col min="13326" max="13326" width="30.85546875" bestFit="1" customWidth="1"/>
    <col min="13570" max="13570" width="27" bestFit="1" customWidth="1"/>
    <col min="13571" max="13571" width="30.85546875" bestFit="1" customWidth="1"/>
    <col min="13572" max="13572" width="7.7109375" bestFit="1" customWidth="1"/>
    <col min="13573" max="13573" width="6.7109375" bestFit="1" customWidth="1"/>
    <col min="13574" max="13574" width="17.28515625" bestFit="1" customWidth="1"/>
    <col min="13575" max="13575" width="33" bestFit="1" customWidth="1"/>
    <col min="13576" max="13578" width="5.5703125" bestFit="1" customWidth="1"/>
    <col min="13579" max="13579" width="4.85546875" bestFit="1" customWidth="1"/>
    <col min="13580" max="13580" width="6.7109375" bestFit="1" customWidth="1"/>
    <col min="13581" max="13581" width="8.5703125" bestFit="1" customWidth="1"/>
    <col min="13582" max="13582" width="30.85546875" bestFit="1" customWidth="1"/>
    <col min="13826" max="13826" width="27" bestFit="1" customWidth="1"/>
    <col min="13827" max="13827" width="30.85546875" bestFit="1" customWidth="1"/>
    <col min="13828" max="13828" width="7.7109375" bestFit="1" customWidth="1"/>
    <col min="13829" max="13829" width="6.7109375" bestFit="1" customWidth="1"/>
    <col min="13830" max="13830" width="17.28515625" bestFit="1" customWidth="1"/>
    <col min="13831" max="13831" width="33" bestFit="1" customWidth="1"/>
    <col min="13832" max="13834" width="5.5703125" bestFit="1" customWidth="1"/>
    <col min="13835" max="13835" width="4.85546875" bestFit="1" customWidth="1"/>
    <col min="13836" max="13836" width="6.7109375" bestFit="1" customWidth="1"/>
    <col min="13837" max="13837" width="8.5703125" bestFit="1" customWidth="1"/>
    <col min="13838" max="13838" width="30.85546875" bestFit="1" customWidth="1"/>
    <col min="14082" max="14082" width="27" bestFit="1" customWidth="1"/>
    <col min="14083" max="14083" width="30.85546875" bestFit="1" customWidth="1"/>
    <col min="14084" max="14084" width="7.7109375" bestFit="1" customWidth="1"/>
    <col min="14085" max="14085" width="6.7109375" bestFit="1" customWidth="1"/>
    <col min="14086" max="14086" width="17.28515625" bestFit="1" customWidth="1"/>
    <col min="14087" max="14087" width="33" bestFit="1" customWidth="1"/>
    <col min="14088" max="14090" width="5.5703125" bestFit="1" customWidth="1"/>
    <col min="14091" max="14091" width="4.85546875" bestFit="1" customWidth="1"/>
    <col min="14092" max="14092" width="6.7109375" bestFit="1" customWidth="1"/>
    <col min="14093" max="14093" width="8.5703125" bestFit="1" customWidth="1"/>
    <col min="14094" max="14094" width="30.85546875" bestFit="1" customWidth="1"/>
    <col min="14338" max="14338" width="27" bestFit="1" customWidth="1"/>
    <col min="14339" max="14339" width="30.85546875" bestFit="1" customWidth="1"/>
    <col min="14340" max="14340" width="7.7109375" bestFit="1" customWidth="1"/>
    <col min="14341" max="14341" width="6.7109375" bestFit="1" customWidth="1"/>
    <col min="14342" max="14342" width="17.28515625" bestFit="1" customWidth="1"/>
    <col min="14343" max="14343" width="33" bestFit="1" customWidth="1"/>
    <col min="14344" max="14346" width="5.5703125" bestFit="1" customWidth="1"/>
    <col min="14347" max="14347" width="4.85546875" bestFit="1" customWidth="1"/>
    <col min="14348" max="14348" width="6.7109375" bestFit="1" customWidth="1"/>
    <col min="14349" max="14349" width="8.5703125" bestFit="1" customWidth="1"/>
    <col min="14350" max="14350" width="30.85546875" bestFit="1" customWidth="1"/>
    <col min="14594" max="14594" width="27" bestFit="1" customWidth="1"/>
    <col min="14595" max="14595" width="30.85546875" bestFit="1" customWidth="1"/>
    <col min="14596" max="14596" width="7.7109375" bestFit="1" customWidth="1"/>
    <col min="14597" max="14597" width="6.7109375" bestFit="1" customWidth="1"/>
    <col min="14598" max="14598" width="17.28515625" bestFit="1" customWidth="1"/>
    <col min="14599" max="14599" width="33" bestFit="1" customWidth="1"/>
    <col min="14600" max="14602" width="5.5703125" bestFit="1" customWidth="1"/>
    <col min="14603" max="14603" width="4.85546875" bestFit="1" customWidth="1"/>
    <col min="14604" max="14604" width="6.7109375" bestFit="1" customWidth="1"/>
    <col min="14605" max="14605" width="8.5703125" bestFit="1" customWidth="1"/>
    <col min="14606" max="14606" width="30.85546875" bestFit="1" customWidth="1"/>
    <col min="14850" max="14850" width="27" bestFit="1" customWidth="1"/>
    <col min="14851" max="14851" width="30.85546875" bestFit="1" customWidth="1"/>
    <col min="14852" max="14852" width="7.7109375" bestFit="1" customWidth="1"/>
    <col min="14853" max="14853" width="6.7109375" bestFit="1" customWidth="1"/>
    <col min="14854" max="14854" width="17.28515625" bestFit="1" customWidth="1"/>
    <col min="14855" max="14855" width="33" bestFit="1" customWidth="1"/>
    <col min="14856" max="14858" width="5.5703125" bestFit="1" customWidth="1"/>
    <col min="14859" max="14859" width="4.85546875" bestFit="1" customWidth="1"/>
    <col min="14860" max="14860" width="6.7109375" bestFit="1" customWidth="1"/>
    <col min="14861" max="14861" width="8.5703125" bestFit="1" customWidth="1"/>
    <col min="14862" max="14862" width="30.85546875" bestFit="1" customWidth="1"/>
    <col min="15106" max="15106" width="27" bestFit="1" customWidth="1"/>
    <col min="15107" max="15107" width="30.85546875" bestFit="1" customWidth="1"/>
    <col min="15108" max="15108" width="7.7109375" bestFit="1" customWidth="1"/>
    <col min="15109" max="15109" width="6.7109375" bestFit="1" customWidth="1"/>
    <col min="15110" max="15110" width="17.28515625" bestFit="1" customWidth="1"/>
    <col min="15111" max="15111" width="33" bestFit="1" customWidth="1"/>
    <col min="15112" max="15114" width="5.5703125" bestFit="1" customWidth="1"/>
    <col min="15115" max="15115" width="4.85546875" bestFit="1" customWidth="1"/>
    <col min="15116" max="15116" width="6.7109375" bestFit="1" customWidth="1"/>
    <col min="15117" max="15117" width="8.5703125" bestFit="1" customWidth="1"/>
    <col min="15118" max="15118" width="30.85546875" bestFit="1" customWidth="1"/>
    <col min="15362" max="15362" width="27" bestFit="1" customWidth="1"/>
    <col min="15363" max="15363" width="30.85546875" bestFit="1" customWidth="1"/>
    <col min="15364" max="15364" width="7.7109375" bestFit="1" customWidth="1"/>
    <col min="15365" max="15365" width="6.7109375" bestFit="1" customWidth="1"/>
    <col min="15366" max="15366" width="17.28515625" bestFit="1" customWidth="1"/>
    <col min="15367" max="15367" width="33" bestFit="1" customWidth="1"/>
    <col min="15368" max="15370" width="5.5703125" bestFit="1" customWidth="1"/>
    <col min="15371" max="15371" width="4.85546875" bestFit="1" customWidth="1"/>
    <col min="15372" max="15372" width="6.7109375" bestFit="1" customWidth="1"/>
    <col min="15373" max="15373" width="8.5703125" bestFit="1" customWidth="1"/>
    <col min="15374" max="15374" width="30.85546875" bestFit="1" customWidth="1"/>
    <col min="15618" max="15618" width="27" bestFit="1" customWidth="1"/>
    <col min="15619" max="15619" width="30.85546875" bestFit="1" customWidth="1"/>
    <col min="15620" max="15620" width="7.7109375" bestFit="1" customWidth="1"/>
    <col min="15621" max="15621" width="6.7109375" bestFit="1" customWidth="1"/>
    <col min="15622" max="15622" width="17.28515625" bestFit="1" customWidth="1"/>
    <col min="15623" max="15623" width="33" bestFit="1" customWidth="1"/>
    <col min="15624" max="15626" width="5.5703125" bestFit="1" customWidth="1"/>
    <col min="15627" max="15627" width="4.85546875" bestFit="1" customWidth="1"/>
    <col min="15628" max="15628" width="6.7109375" bestFit="1" customWidth="1"/>
    <col min="15629" max="15629" width="8.5703125" bestFit="1" customWidth="1"/>
    <col min="15630" max="15630" width="30.85546875" bestFit="1" customWidth="1"/>
    <col min="15874" max="15874" width="27" bestFit="1" customWidth="1"/>
    <col min="15875" max="15875" width="30.85546875" bestFit="1" customWidth="1"/>
    <col min="15876" max="15876" width="7.7109375" bestFit="1" customWidth="1"/>
    <col min="15877" max="15877" width="6.7109375" bestFit="1" customWidth="1"/>
    <col min="15878" max="15878" width="17.28515625" bestFit="1" customWidth="1"/>
    <col min="15879" max="15879" width="33" bestFit="1" customWidth="1"/>
    <col min="15880" max="15882" width="5.5703125" bestFit="1" customWidth="1"/>
    <col min="15883" max="15883" width="4.85546875" bestFit="1" customWidth="1"/>
    <col min="15884" max="15884" width="6.7109375" bestFit="1" customWidth="1"/>
    <col min="15885" max="15885" width="8.5703125" bestFit="1" customWidth="1"/>
    <col min="15886" max="15886" width="30.85546875" bestFit="1" customWidth="1"/>
    <col min="16130" max="16130" width="27" bestFit="1" customWidth="1"/>
    <col min="16131" max="16131" width="30.85546875" bestFit="1" customWidth="1"/>
    <col min="16132" max="16132" width="7.7109375" bestFit="1" customWidth="1"/>
    <col min="16133" max="16133" width="6.7109375" bestFit="1" customWidth="1"/>
    <col min="16134" max="16134" width="17.28515625" bestFit="1" customWidth="1"/>
    <col min="16135" max="16135" width="33" bestFit="1" customWidth="1"/>
    <col min="16136" max="16138" width="5.5703125" bestFit="1" customWidth="1"/>
    <col min="16139" max="16139" width="4.85546875" bestFit="1" customWidth="1"/>
    <col min="16140" max="16140" width="6.7109375" bestFit="1" customWidth="1"/>
    <col min="16141" max="16141" width="8.5703125" bestFit="1" customWidth="1"/>
    <col min="16142" max="16142" width="30.85546875" bestFit="1" customWidth="1"/>
  </cols>
  <sheetData>
    <row r="1" spans="1:18" s="1" customFormat="1" ht="30" customHeight="1" x14ac:dyDescent="0.2">
      <c r="A1" s="295" t="s">
        <v>4023</v>
      </c>
      <c r="B1" s="295"/>
      <c r="C1" s="295"/>
      <c r="D1" s="295"/>
      <c r="E1" s="295"/>
      <c r="F1" s="295"/>
      <c r="G1" s="295"/>
      <c r="H1" s="295"/>
      <c r="I1" s="295"/>
      <c r="J1" s="295"/>
      <c r="K1" s="295"/>
      <c r="L1" s="295"/>
      <c r="M1" s="295"/>
      <c r="N1" s="295"/>
      <c r="O1" s="241"/>
      <c r="P1" s="241"/>
      <c r="Q1" s="241"/>
      <c r="R1" s="241"/>
    </row>
    <row r="2" spans="1:18" s="1" customFormat="1" ht="30" customHeight="1" x14ac:dyDescent="0.2">
      <c r="A2" s="295" t="s">
        <v>4037</v>
      </c>
      <c r="B2" s="295"/>
      <c r="C2" s="295"/>
      <c r="D2" s="295"/>
      <c r="E2" s="295"/>
      <c r="F2" s="295"/>
      <c r="G2" s="295"/>
      <c r="H2" s="295"/>
      <c r="I2" s="295"/>
      <c r="J2" s="295"/>
      <c r="K2" s="295"/>
      <c r="L2" s="295"/>
      <c r="M2" s="295"/>
      <c r="N2" s="295"/>
      <c r="O2" s="241"/>
      <c r="P2" s="241"/>
      <c r="Q2" s="241"/>
      <c r="R2" s="241"/>
    </row>
    <row r="3" spans="1:18" s="1" customFormat="1" ht="30.75" customHeight="1" thickBot="1" x14ac:dyDescent="0.25">
      <c r="A3" s="295" t="s">
        <v>3381</v>
      </c>
      <c r="B3" s="295"/>
      <c r="C3" s="295"/>
      <c r="D3" s="295"/>
      <c r="E3" s="295"/>
      <c r="F3" s="295"/>
      <c r="G3" s="295"/>
      <c r="H3" s="295"/>
      <c r="I3" s="295"/>
      <c r="J3" s="295"/>
      <c r="K3" s="295"/>
      <c r="L3" s="295"/>
      <c r="M3" s="295"/>
      <c r="N3" s="295"/>
      <c r="O3" s="241"/>
      <c r="P3" s="241"/>
      <c r="Q3" s="241"/>
      <c r="R3" s="241"/>
    </row>
    <row r="4" spans="1:18" s="5" customFormat="1" ht="12.75" customHeight="1" x14ac:dyDescent="0.2">
      <c r="A4" s="297" t="s">
        <v>719</v>
      </c>
      <c r="B4" s="300" t="s">
        <v>0</v>
      </c>
      <c r="C4" s="302" t="s">
        <v>3382</v>
      </c>
      <c r="D4" s="302" t="s">
        <v>8</v>
      </c>
      <c r="E4" s="304" t="s">
        <v>9</v>
      </c>
      <c r="F4" s="304" t="s">
        <v>1</v>
      </c>
      <c r="G4" s="305" t="s">
        <v>795</v>
      </c>
      <c r="H4" s="300" t="s">
        <v>2</v>
      </c>
      <c r="I4" s="304"/>
      <c r="J4" s="304"/>
      <c r="K4" s="307"/>
      <c r="L4" s="308" t="s">
        <v>3593</v>
      </c>
      <c r="M4" s="304" t="s">
        <v>6</v>
      </c>
      <c r="N4" s="307" t="s">
        <v>5</v>
      </c>
    </row>
    <row r="5" spans="1:18" s="5" customFormat="1" ht="23.25" customHeight="1" thickBot="1" x14ac:dyDescent="0.25">
      <c r="A5" s="298"/>
      <c r="B5" s="301"/>
      <c r="C5" s="303"/>
      <c r="D5" s="303"/>
      <c r="E5" s="303"/>
      <c r="F5" s="303"/>
      <c r="G5" s="306"/>
      <c r="H5" s="3">
        <v>1</v>
      </c>
      <c r="I5" s="2">
        <v>2</v>
      </c>
      <c r="J5" s="2">
        <v>3</v>
      </c>
      <c r="K5" s="4" t="s">
        <v>7</v>
      </c>
      <c r="L5" s="309"/>
      <c r="M5" s="303"/>
      <c r="N5" s="310"/>
    </row>
    <row r="6" spans="1:18" ht="15" x14ac:dyDescent="0.2">
      <c r="B6" s="299" t="s">
        <v>4014</v>
      </c>
      <c r="C6" s="299"/>
      <c r="D6" s="299"/>
      <c r="E6" s="299"/>
      <c r="F6" s="299"/>
      <c r="G6" s="299"/>
      <c r="H6" s="299"/>
      <c r="I6" s="299"/>
      <c r="J6" s="299"/>
      <c r="K6" s="299"/>
      <c r="L6" s="299"/>
      <c r="M6" s="299"/>
    </row>
    <row r="7" spans="1:18" x14ac:dyDescent="0.2">
      <c r="A7" s="43">
        <v>1</v>
      </c>
      <c r="B7" s="7" t="s">
        <v>1245</v>
      </c>
      <c r="C7" s="7" t="s">
        <v>1213</v>
      </c>
      <c r="D7" s="7" t="s">
        <v>1214</v>
      </c>
      <c r="E7" s="7" t="str">
        <f>"1,9340"</f>
        <v>1,9340</v>
      </c>
      <c r="F7" s="7" t="s">
        <v>1242</v>
      </c>
      <c r="G7" s="7" t="s">
        <v>3199</v>
      </c>
      <c r="H7" s="34" t="s">
        <v>126</v>
      </c>
      <c r="I7" s="41" t="s">
        <v>25</v>
      </c>
      <c r="J7" s="41" t="s">
        <v>25</v>
      </c>
      <c r="K7" s="20"/>
      <c r="L7" s="28">
        <v>145</v>
      </c>
      <c r="M7" s="19" t="str">
        <f>"280,4300"</f>
        <v>280,4300</v>
      </c>
      <c r="N7" s="7" t="s">
        <v>1247</v>
      </c>
    </row>
    <row r="9" spans="1:18" ht="15" x14ac:dyDescent="0.2">
      <c r="B9" s="294" t="s">
        <v>4007</v>
      </c>
      <c r="C9" s="294"/>
      <c r="D9" s="294"/>
      <c r="E9" s="294"/>
      <c r="F9" s="294"/>
      <c r="G9" s="294"/>
      <c r="H9" s="294"/>
      <c r="I9" s="294"/>
      <c r="J9" s="294"/>
      <c r="K9" s="294"/>
      <c r="L9" s="294"/>
      <c r="M9" s="294"/>
    </row>
    <row r="10" spans="1:18" x14ac:dyDescent="0.2">
      <c r="A10" s="43">
        <v>1</v>
      </c>
      <c r="B10" s="7" t="s">
        <v>1246</v>
      </c>
      <c r="C10" s="7" t="s">
        <v>1215</v>
      </c>
      <c r="D10" s="7" t="s">
        <v>154</v>
      </c>
      <c r="E10" s="7" t="str">
        <f>"1,2428"</f>
        <v>1,2428</v>
      </c>
      <c r="F10" s="7" t="s">
        <v>1056</v>
      </c>
      <c r="G10" s="7" t="s">
        <v>796</v>
      </c>
      <c r="H10" s="34" t="s">
        <v>389</v>
      </c>
      <c r="I10" s="34" t="s">
        <v>296</v>
      </c>
      <c r="J10" s="41" t="s">
        <v>246</v>
      </c>
      <c r="K10" s="20"/>
      <c r="L10" s="28">
        <v>217.5</v>
      </c>
      <c r="M10" s="19" t="str">
        <f>"270,3090"</f>
        <v>270,3090</v>
      </c>
      <c r="N10" s="7" t="s">
        <v>3391</v>
      </c>
    </row>
    <row r="12" spans="1:18" ht="15" x14ac:dyDescent="0.2">
      <c r="B12" s="294" t="s">
        <v>4008</v>
      </c>
      <c r="C12" s="294"/>
      <c r="D12" s="294"/>
      <c r="E12" s="294"/>
      <c r="F12" s="294"/>
      <c r="G12" s="294"/>
      <c r="H12" s="294"/>
      <c r="I12" s="294"/>
      <c r="J12" s="294"/>
      <c r="K12" s="294"/>
      <c r="L12" s="294"/>
      <c r="M12" s="294"/>
    </row>
    <row r="13" spans="1:18" x14ac:dyDescent="0.2">
      <c r="A13" s="43">
        <v>1</v>
      </c>
      <c r="B13" s="7" t="s">
        <v>1247</v>
      </c>
      <c r="C13" s="7" t="s">
        <v>1216</v>
      </c>
      <c r="D13" s="7" t="s">
        <v>22</v>
      </c>
      <c r="E13" s="7" t="str">
        <f>"1,1256"</f>
        <v>1,1256</v>
      </c>
      <c r="F13" s="7" t="s">
        <v>1242</v>
      </c>
      <c r="G13" s="7" t="s">
        <v>3205</v>
      </c>
      <c r="H13" s="34" t="s">
        <v>11</v>
      </c>
      <c r="I13" s="34" t="s">
        <v>140</v>
      </c>
      <c r="J13" s="41" t="s">
        <v>135</v>
      </c>
      <c r="K13" s="20"/>
      <c r="L13" s="28">
        <v>200</v>
      </c>
      <c r="M13" s="19" t="str">
        <f>"225,1200"</f>
        <v>225,1200</v>
      </c>
      <c r="N13" s="7" t="s">
        <v>3391</v>
      </c>
    </row>
    <row r="15" spans="1:18" ht="15" x14ac:dyDescent="0.2">
      <c r="B15" s="294" t="s">
        <v>4009</v>
      </c>
      <c r="C15" s="294"/>
      <c r="D15" s="294"/>
      <c r="E15" s="294"/>
      <c r="F15" s="294"/>
      <c r="G15" s="294"/>
      <c r="H15" s="294"/>
      <c r="I15" s="294"/>
      <c r="J15" s="294"/>
      <c r="K15" s="294"/>
      <c r="L15" s="294"/>
      <c r="M15" s="294"/>
    </row>
    <row r="16" spans="1:18" x14ac:dyDescent="0.2">
      <c r="A16" s="43">
        <v>1</v>
      </c>
      <c r="B16" s="15" t="s">
        <v>1248</v>
      </c>
      <c r="C16" s="15" t="s">
        <v>1217</v>
      </c>
      <c r="D16" s="15" t="s">
        <v>1218</v>
      </c>
      <c r="E16" s="15" t="str">
        <f>"1,0406"</f>
        <v>1,0406</v>
      </c>
      <c r="F16" s="15" t="s">
        <v>4020</v>
      </c>
      <c r="G16" s="15" t="s">
        <v>796</v>
      </c>
      <c r="H16" s="36" t="s">
        <v>1110</v>
      </c>
      <c r="I16" s="40" t="s">
        <v>1323</v>
      </c>
      <c r="J16" s="40" t="s">
        <v>1323</v>
      </c>
      <c r="K16" s="22"/>
      <c r="L16" s="29">
        <v>330</v>
      </c>
      <c r="M16" s="21" t="str">
        <f>"343,3980"</f>
        <v>343,3980</v>
      </c>
      <c r="N16" s="15" t="s">
        <v>1243</v>
      </c>
    </row>
    <row r="17" spans="1:14" x14ac:dyDescent="0.2">
      <c r="A17" s="43">
        <v>2</v>
      </c>
      <c r="B17" s="16" t="s">
        <v>1249</v>
      </c>
      <c r="C17" s="16" t="s">
        <v>1219</v>
      </c>
      <c r="D17" s="16" t="s">
        <v>420</v>
      </c>
      <c r="E17" s="16" t="str">
        <f>"1,0356"</f>
        <v>1,0356</v>
      </c>
      <c r="F17" s="16" t="s">
        <v>1242</v>
      </c>
      <c r="G17" s="16" t="s">
        <v>3204</v>
      </c>
      <c r="H17" s="36" t="s">
        <v>262</v>
      </c>
      <c r="I17" s="36" t="s">
        <v>926</v>
      </c>
      <c r="J17" s="40" t="s">
        <v>1325</v>
      </c>
      <c r="K17" s="24"/>
      <c r="L17" s="30">
        <v>295</v>
      </c>
      <c r="M17" s="23" t="str">
        <f>"295,1460"</f>
        <v>295,1460</v>
      </c>
      <c r="N17" s="16" t="s">
        <v>3207</v>
      </c>
    </row>
    <row r="18" spans="1:14" x14ac:dyDescent="0.2">
      <c r="A18" s="43">
        <v>3</v>
      </c>
      <c r="B18" s="16" t="s">
        <v>1250</v>
      </c>
      <c r="C18" s="16" t="s">
        <v>1221</v>
      </c>
      <c r="D18" s="16" t="s">
        <v>1222</v>
      </c>
      <c r="E18" s="16" t="str">
        <f>"1,0348"</f>
        <v>1,0348</v>
      </c>
      <c r="F18" s="16" t="s">
        <v>4020</v>
      </c>
      <c r="G18" s="16" t="s">
        <v>3201</v>
      </c>
      <c r="H18" s="36" t="s">
        <v>208</v>
      </c>
      <c r="I18" s="40" t="s">
        <v>35</v>
      </c>
      <c r="J18" s="40" t="s">
        <v>35</v>
      </c>
      <c r="K18" s="24"/>
      <c r="L18" s="30">
        <v>245</v>
      </c>
      <c r="M18" s="23" t="str">
        <f>"253,5260"</f>
        <v>253,5260</v>
      </c>
      <c r="N18" s="16" t="s">
        <v>3391</v>
      </c>
    </row>
    <row r="19" spans="1:14" x14ac:dyDescent="0.2">
      <c r="A19" s="43">
        <v>4</v>
      </c>
      <c r="B19" s="17" t="s">
        <v>917</v>
      </c>
      <c r="C19" s="17" t="s">
        <v>1223</v>
      </c>
      <c r="D19" s="17" t="s">
        <v>201</v>
      </c>
      <c r="E19" s="17" t="str">
        <f>"1,0298"</f>
        <v>1,0298</v>
      </c>
      <c r="F19" s="17" t="s">
        <v>857</v>
      </c>
      <c r="G19" s="17" t="s">
        <v>796</v>
      </c>
      <c r="H19" s="37" t="s">
        <v>187</v>
      </c>
      <c r="I19" s="39" t="s">
        <v>232</v>
      </c>
      <c r="J19" s="39" t="s">
        <v>232</v>
      </c>
      <c r="K19" s="26"/>
      <c r="L19" s="31">
        <v>215</v>
      </c>
      <c r="M19" s="25" t="str">
        <f>"221,4070"</f>
        <v>221,4070</v>
      </c>
      <c r="N19" s="17" t="s">
        <v>3391</v>
      </c>
    </row>
    <row r="21" spans="1:14" ht="15" x14ac:dyDescent="0.2">
      <c r="B21" s="294" t="s">
        <v>4011</v>
      </c>
      <c r="C21" s="294"/>
      <c r="D21" s="294"/>
      <c r="E21" s="294"/>
      <c r="F21" s="294"/>
      <c r="G21" s="294"/>
      <c r="H21" s="294"/>
      <c r="I21" s="294"/>
      <c r="J21" s="294"/>
      <c r="K21" s="294"/>
      <c r="L21" s="294"/>
      <c r="M21" s="294"/>
      <c r="N21" s="50"/>
    </row>
    <row r="22" spans="1:14" x14ac:dyDescent="0.2">
      <c r="A22" s="43">
        <v>1</v>
      </c>
      <c r="B22" s="15" t="s">
        <v>1224</v>
      </c>
      <c r="C22" s="15" t="s">
        <v>1225</v>
      </c>
      <c r="D22" s="15" t="s">
        <v>1226</v>
      </c>
      <c r="E22" s="15" t="str">
        <f>"0,9162"</f>
        <v>0,9162</v>
      </c>
      <c r="F22" s="15" t="s">
        <v>4020</v>
      </c>
      <c r="G22" s="15" t="s">
        <v>3202</v>
      </c>
      <c r="H22" s="35" t="s">
        <v>127</v>
      </c>
      <c r="I22" s="35" t="s">
        <v>11</v>
      </c>
      <c r="J22" s="38" t="s">
        <v>140</v>
      </c>
      <c r="K22" s="22"/>
      <c r="L22" s="29">
        <v>180</v>
      </c>
      <c r="M22" s="21" t="str">
        <f>"164,9160"</f>
        <v>164,9160</v>
      </c>
      <c r="N22" s="16" t="s">
        <v>3391</v>
      </c>
    </row>
    <row r="23" spans="1:14" x14ac:dyDescent="0.2">
      <c r="A23" s="43">
        <v>1</v>
      </c>
      <c r="B23" s="17" t="s">
        <v>1224</v>
      </c>
      <c r="C23" s="17" t="s">
        <v>1227</v>
      </c>
      <c r="D23" s="17" t="s">
        <v>1226</v>
      </c>
      <c r="E23" s="17" t="str">
        <f>"0,9162"</f>
        <v>0,9162</v>
      </c>
      <c r="F23" s="17" t="s">
        <v>4020</v>
      </c>
      <c r="G23" s="17" t="s">
        <v>3202</v>
      </c>
      <c r="H23" s="37" t="s">
        <v>127</v>
      </c>
      <c r="I23" s="37" t="s">
        <v>11</v>
      </c>
      <c r="J23" s="39" t="s">
        <v>140</v>
      </c>
      <c r="K23" s="26"/>
      <c r="L23" s="31">
        <v>180</v>
      </c>
      <c r="M23" s="25" t="str">
        <f>"164,9160"</f>
        <v>164,9160</v>
      </c>
      <c r="N23" s="17" t="s">
        <v>3391</v>
      </c>
    </row>
    <row r="25" spans="1:14" ht="15" x14ac:dyDescent="0.2">
      <c r="B25" s="294" t="s">
        <v>4012</v>
      </c>
      <c r="C25" s="294"/>
      <c r="D25" s="294"/>
      <c r="E25" s="294"/>
      <c r="F25" s="294"/>
      <c r="G25" s="294"/>
      <c r="H25" s="294"/>
      <c r="I25" s="294"/>
      <c r="J25" s="294"/>
      <c r="K25" s="294"/>
      <c r="L25" s="294"/>
      <c r="M25" s="294"/>
      <c r="N25" s="50"/>
    </row>
    <row r="26" spans="1:14" x14ac:dyDescent="0.2">
      <c r="A26" s="43">
        <v>1</v>
      </c>
      <c r="B26" s="15" t="s">
        <v>1251</v>
      </c>
      <c r="C26" s="15" t="s">
        <v>1228</v>
      </c>
      <c r="D26" s="15" t="s">
        <v>1229</v>
      </c>
      <c r="E26" s="15" t="str">
        <f>"0,9082"</f>
        <v>0,9082</v>
      </c>
      <c r="F26" s="15" t="s">
        <v>4020</v>
      </c>
      <c r="G26" s="15" t="s">
        <v>3203</v>
      </c>
      <c r="H26" s="35" t="s">
        <v>26</v>
      </c>
      <c r="I26" s="35" t="s">
        <v>287</v>
      </c>
      <c r="J26" s="35" t="s">
        <v>274</v>
      </c>
      <c r="K26" s="22"/>
      <c r="L26" s="29">
        <v>300</v>
      </c>
      <c r="M26" s="21" t="str">
        <f>"272,4600"</f>
        <v>272,4600</v>
      </c>
      <c r="N26" s="16" t="s">
        <v>3391</v>
      </c>
    </row>
    <row r="27" spans="1:14" x14ac:dyDescent="0.2">
      <c r="A27" s="43">
        <v>2</v>
      </c>
      <c r="B27" s="17" t="s">
        <v>1252</v>
      </c>
      <c r="C27" s="17" t="s">
        <v>1230</v>
      </c>
      <c r="D27" s="17" t="s">
        <v>265</v>
      </c>
      <c r="E27" s="17" t="str">
        <f>"0,8850"</f>
        <v>0,8850</v>
      </c>
      <c r="F27" s="17" t="s">
        <v>4020</v>
      </c>
      <c r="G27" s="17" t="s">
        <v>796</v>
      </c>
      <c r="H27" s="37" t="s">
        <v>144</v>
      </c>
      <c r="I27" s="39" t="s">
        <v>208</v>
      </c>
      <c r="J27" s="37" t="s">
        <v>37</v>
      </c>
      <c r="K27" s="26"/>
      <c r="L27" s="31">
        <v>250</v>
      </c>
      <c r="M27" s="25" t="str">
        <f>"221,2500"</f>
        <v>221,2500</v>
      </c>
      <c r="N27" s="17" t="s">
        <v>1244</v>
      </c>
    </row>
    <row r="29" spans="1:14" ht="15" x14ac:dyDescent="0.2">
      <c r="B29" s="294" t="s">
        <v>4013</v>
      </c>
      <c r="C29" s="294"/>
      <c r="D29" s="294"/>
      <c r="E29" s="294"/>
      <c r="F29" s="294"/>
      <c r="G29" s="294"/>
      <c r="H29" s="294"/>
      <c r="I29" s="294"/>
      <c r="J29" s="294"/>
      <c r="K29" s="294"/>
      <c r="L29" s="294"/>
      <c r="M29" s="294"/>
    </row>
    <row r="30" spans="1:14" x14ac:dyDescent="0.2">
      <c r="A30" s="43">
        <v>1</v>
      </c>
      <c r="B30" s="15" t="s">
        <v>1253</v>
      </c>
      <c r="C30" s="15" t="s">
        <v>1231</v>
      </c>
      <c r="D30" s="15" t="s">
        <v>1232</v>
      </c>
      <c r="E30" s="15" t="str">
        <f>"0,8674"</f>
        <v>0,8674</v>
      </c>
      <c r="F30" s="15" t="s">
        <v>492</v>
      </c>
      <c r="G30" s="15" t="s">
        <v>3200</v>
      </c>
      <c r="H30" s="35" t="s">
        <v>1007</v>
      </c>
      <c r="I30" s="38" t="s">
        <v>1110</v>
      </c>
      <c r="J30" s="38" t="s">
        <v>1110</v>
      </c>
      <c r="K30" s="22"/>
      <c r="L30" s="29">
        <v>320</v>
      </c>
      <c r="M30" s="21" t="str">
        <f>"277,5680"</f>
        <v>277,5680</v>
      </c>
      <c r="N30" s="15" t="s">
        <v>3206</v>
      </c>
    </row>
    <row r="31" spans="1:14" x14ac:dyDescent="0.2">
      <c r="A31" s="43">
        <v>2</v>
      </c>
      <c r="B31" s="16" t="s">
        <v>1254</v>
      </c>
      <c r="C31" s="16" t="s">
        <v>1233</v>
      </c>
      <c r="D31" s="16" t="s">
        <v>1234</v>
      </c>
      <c r="E31" s="16" t="str">
        <f>"0,8660"</f>
        <v>0,8660</v>
      </c>
      <c r="F31" s="16" t="s">
        <v>492</v>
      </c>
      <c r="G31" s="16" t="s">
        <v>829</v>
      </c>
      <c r="H31" s="36" t="s">
        <v>17</v>
      </c>
      <c r="I31" s="36" t="s">
        <v>16</v>
      </c>
      <c r="J31" s="36" t="s">
        <v>970</v>
      </c>
      <c r="K31" s="24"/>
      <c r="L31" s="30">
        <v>282.5</v>
      </c>
      <c r="M31" s="23" t="str">
        <f>"244,6450"</f>
        <v>244,6450</v>
      </c>
      <c r="N31" s="16" t="s">
        <v>815</v>
      </c>
    </row>
    <row r="32" spans="1:14" x14ac:dyDescent="0.2">
      <c r="A32" s="43">
        <v>1</v>
      </c>
      <c r="B32" s="17" t="s">
        <v>1235</v>
      </c>
      <c r="C32" s="17" t="s">
        <v>1236</v>
      </c>
      <c r="D32" s="17" t="s">
        <v>1232</v>
      </c>
      <c r="E32" s="17" t="str">
        <f>"0,8674"</f>
        <v>0,8674</v>
      </c>
      <c r="F32" s="17" t="s">
        <v>492</v>
      </c>
      <c r="G32" s="17" t="s">
        <v>3200</v>
      </c>
      <c r="H32" s="37" t="s">
        <v>1007</v>
      </c>
      <c r="I32" s="39" t="s">
        <v>1110</v>
      </c>
      <c r="J32" s="39" t="s">
        <v>1110</v>
      </c>
      <c r="K32" s="26"/>
      <c r="L32" s="31">
        <v>320</v>
      </c>
      <c r="M32" s="25" t="str">
        <f>"277,5680"</f>
        <v>277,5680</v>
      </c>
      <c r="N32" s="17" t="s">
        <v>3206</v>
      </c>
    </row>
    <row r="34" spans="1:6" ht="18" x14ac:dyDescent="0.25">
      <c r="B34" s="8" t="s">
        <v>4022</v>
      </c>
      <c r="C34" s="8"/>
    </row>
    <row r="35" spans="1:6" ht="18.75" x14ac:dyDescent="0.3">
      <c r="B35" s="242" t="s">
        <v>3499</v>
      </c>
      <c r="C35" s="8"/>
    </row>
    <row r="36" spans="1:6" ht="14.25" x14ac:dyDescent="0.2">
      <c r="B36" s="11"/>
      <c r="C36" s="12" t="s">
        <v>18</v>
      </c>
    </row>
    <row r="37" spans="1:6" ht="15" x14ac:dyDescent="0.2">
      <c r="B37" s="13" t="s">
        <v>0</v>
      </c>
      <c r="C37" s="13" t="s">
        <v>19</v>
      </c>
      <c r="D37" s="13" t="s">
        <v>20</v>
      </c>
      <c r="E37" s="13" t="s">
        <v>3593</v>
      </c>
      <c r="F37" s="13" t="s">
        <v>9</v>
      </c>
    </row>
    <row r="38" spans="1:6" x14ac:dyDescent="0.2">
      <c r="A38" s="43">
        <v>1</v>
      </c>
      <c r="B38" s="10" t="s">
        <v>1237</v>
      </c>
      <c r="C38" s="18" t="s">
        <v>18</v>
      </c>
      <c r="D38" s="27" t="s">
        <v>43</v>
      </c>
      <c r="E38" s="27" t="s">
        <v>1110</v>
      </c>
      <c r="F38" s="27" t="s">
        <v>1238</v>
      </c>
    </row>
    <row r="39" spans="1:6" x14ac:dyDescent="0.2">
      <c r="A39" s="43">
        <v>2</v>
      </c>
      <c r="B39" s="10" t="s">
        <v>1239</v>
      </c>
      <c r="C39" s="18" t="s">
        <v>18</v>
      </c>
      <c r="D39" s="27" t="s">
        <v>43</v>
      </c>
      <c r="E39" s="27" t="s">
        <v>926</v>
      </c>
      <c r="F39" s="27" t="s">
        <v>1240</v>
      </c>
    </row>
    <row r="40" spans="1:6" x14ac:dyDescent="0.2">
      <c r="A40" s="43">
        <v>3</v>
      </c>
      <c r="B40" s="10" t="s">
        <v>1235</v>
      </c>
      <c r="C40" s="18" t="s">
        <v>18</v>
      </c>
      <c r="D40" s="27" t="s">
        <v>112</v>
      </c>
      <c r="E40" s="27" t="s">
        <v>1007</v>
      </c>
      <c r="F40" s="27" t="s">
        <v>1241</v>
      </c>
    </row>
    <row r="41" spans="1:6" x14ac:dyDescent="0.2">
      <c r="D41" s="14"/>
      <c r="E41" s="14"/>
      <c r="F41" s="14"/>
    </row>
  </sheetData>
  <mergeCells count="21">
    <mergeCell ref="A1:N1"/>
    <mergeCell ref="A2:N2"/>
    <mergeCell ref="A3:N3"/>
    <mergeCell ref="B25:M25"/>
    <mergeCell ref="B29:M29"/>
    <mergeCell ref="A4:A5"/>
    <mergeCell ref="N4:N5"/>
    <mergeCell ref="B6:M6"/>
    <mergeCell ref="B9:M9"/>
    <mergeCell ref="B12:M12"/>
    <mergeCell ref="B15:M15"/>
    <mergeCell ref="B21:M21"/>
    <mergeCell ref="B4:B5"/>
    <mergeCell ref="C4:C5"/>
    <mergeCell ref="D4:D5"/>
    <mergeCell ref="E4:E5"/>
    <mergeCell ref="F4:F5"/>
    <mergeCell ref="G4:G5"/>
    <mergeCell ref="H4:K4"/>
    <mergeCell ref="L4:L5"/>
    <mergeCell ref="M4:M5"/>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F7" sqref="F7"/>
    </sheetView>
  </sheetViews>
  <sheetFormatPr defaultColWidth="8.7109375" defaultRowHeight="12.75" x14ac:dyDescent="0.2"/>
  <cols>
    <col min="1" max="1" width="6.85546875" style="43" bestFit="1" customWidth="1"/>
    <col min="2" max="2" width="28" style="6" bestFit="1" customWidth="1"/>
    <col min="3" max="3" width="28.7109375" style="6" bestFit="1" customWidth="1"/>
    <col min="4" max="4" width="8.5703125" style="6" bestFit="1" customWidth="1"/>
    <col min="5" max="5" width="7.5703125" style="6" bestFit="1" customWidth="1"/>
    <col min="6" max="6" width="26.42578125" style="6" bestFit="1" customWidth="1"/>
    <col min="7" max="7" width="43.42578125" style="6" bestFit="1" customWidth="1"/>
    <col min="8" max="10" width="6.42578125" style="27" bestFit="1" customWidth="1"/>
    <col min="11" max="11" width="4.85546875" style="27" bestFit="1" customWidth="1"/>
    <col min="12" max="12" width="6.42578125" style="32" bestFit="1" customWidth="1"/>
    <col min="13" max="13" width="9.85546875" style="27" bestFit="1" customWidth="1"/>
    <col min="14" max="14" width="27" style="6" bestFit="1" customWidth="1"/>
    <col min="258" max="258" width="31.140625" bestFit="1" customWidth="1"/>
    <col min="259" max="259" width="26" bestFit="1" customWidth="1"/>
    <col min="260" max="260" width="7.7109375" bestFit="1" customWidth="1"/>
    <col min="261" max="261" width="6.7109375" bestFit="1" customWidth="1"/>
    <col min="262" max="262" width="18.5703125" bestFit="1" customWidth="1"/>
    <col min="263" max="263" width="24.140625" bestFit="1" customWidth="1"/>
    <col min="264" max="266" width="5.5703125" bestFit="1" customWidth="1"/>
    <col min="267" max="267" width="4.85546875" bestFit="1" customWidth="1"/>
    <col min="268" max="268" width="6.7109375" bestFit="1" customWidth="1"/>
    <col min="269" max="269" width="8.5703125" bestFit="1" customWidth="1"/>
    <col min="270" max="270" width="27.7109375" bestFit="1" customWidth="1"/>
    <col min="514" max="514" width="31.140625" bestFit="1" customWidth="1"/>
    <col min="515" max="515" width="26" bestFit="1" customWidth="1"/>
    <col min="516" max="516" width="7.7109375" bestFit="1" customWidth="1"/>
    <col min="517" max="517" width="6.7109375" bestFit="1" customWidth="1"/>
    <col min="518" max="518" width="18.5703125" bestFit="1" customWidth="1"/>
    <col min="519" max="519" width="24.140625" bestFit="1" customWidth="1"/>
    <col min="520" max="522" width="5.5703125" bestFit="1" customWidth="1"/>
    <col min="523" max="523" width="4.85546875" bestFit="1" customWidth="1"/>
    <col min="524" max="524" width="6.7109375" bestFit="1" customWidth="1"/>
    <col min="525" max="525" width="8.5703125" bestFit="1" customWidth="1"/>
    <col min="526" max="526" width="27.7109375" bestFit="1" customWidth="1"/>
    <col min="770" max="770" width="31.140625" bestFit="1" customWidth="1"/>
    <col min="771" max="771" width="26" bestFit="1" customWidth="1"/>
    <col min="772" max="772" width="7.7109375" bestFit="1" customWidth="1"/>
    <col min="773" max="773" width="6.7109375" bestFit="1" customWidth="1"/>
    <col min="774" max="774" width="18.5703125" bestFit="1" customWidth="1"/>
    <col min="775" max="775" width="24.140625" bestFit="1" customWidth="1"/>
    <col min="776" max="778" width="5.5703125" bestFit="1" customWidth="1"/>
    <col min="779" max="779" width="4.85546875" bestFit="1" customWidth="1"/>
    <col min="780" max="780" width="6.7109375" bestFit="1" customWidth="1"/>
    <col min="781" max="781" width="8.5703125" bestFit="1" customWidth="1"/>
    <col min="782" max="782" width="27.7109375" bestFit="1" customWidth="1"/>
    <col min="1026" max="1026" width="31.140625" bestFit="1" customWidth="1"/>
    <col min="1027" max="1027" width="26" bestFit="1" customWidth="1"/>
    <col min="1028" max="1028" width="7.7109375" bestFit="1" customWidth="1"/>
    <col min="1029" max="1029" width="6.7109375" bestFit="1" customWidth="1"/>
    <col min="1030" max="1030" width="18.5703125" bestFit="1" customWidth="1"/>
    <col min="1031" max="1031" width="24.140625" bestFit="1" customWidth="1"/>
    <col min="1032" max="1034" width="5.5703125" bestFit="1" customWidth="1"/>
    <col min="1035" max="1035" width="4.85546875" bestFit="1" customWidth="1"/>
    <col min="1036" max="1036" width="6.7109375" bestFit="1" customWidth="1"/>
    <col min="1037" max="1037" width="8.5703125" bestFit="1" customWidth="1"/>
    <col min="1038" max="1038" width="27.7109375" bestFit="1" customWidth="1"/>
    <col min="1282" max="1282" width="31.140625" bestFit="1" customWidth="1"/>
    <col min="1283" max="1283" width="26" bestFit="1" customWidth="1"/>
    <col min="1284" max="1284" width="7.7109375" bestFit="1" customWidth="1"/>
    <col min="1285" max="1285" width="6.7109375" bestFit="1" customWidth="1"/>
    <col min="1286" max="1286" width="18.5703125" bestFit="1" customWidth="1"/>
    <col min="1287" max="1287" width="24.140625" bestFit="1" customWidth="1"/>
    <col min="1288" max="1290" width="5.5703125" bestFit="1" customWidth="1"/>
    <col min="1291" max="1291" width="4.85546875" bestFit="1" customWidth="1"/>
    <col min="1292" max="1292" width="6.7109375" bestFit="1" customWidth="1"/>
    <col min="1293" max="1293" width="8.5703125" bestFit="1" customWidth="1"/>
    <col min="1294" max="1294" width="27.7109375" bestFit="1" customWidth="1"/>
    <col min="1538" max="1538" width="31.140625" bestFit="1" customWidth="1"/>
    <col min="1539" max="1539" width="26" bestFit="1" customWidth="1"/>
    <col min="1540" max="1540" width="7.7109375" bestFit="1" customWidth="1"/>
    <col min="1541" max="1541" width="6.7109375" bestFit="1" customWidth="1"/>
    <col min="1542" max="1542" width="18.5703125" bestFit="1" customWidth="1"/>
    <col min="1543" max="1543" width="24.140625" bestFit="1" customWidth="1"/>
    <col min="1544" max="1546" width="5.5703125" bestFit="1" customWidth="1"/>
    <col min="1547" max="1547" width="4.85546875" bestFit="1" customWidth="1"/>
    <col min="1548" max="1548" width="6.7109375" bestFit="1" customWidth="1"/>
    <col min="1549" max="1549" width="8.5703125" bestFit="1" customWidth="1"/>
    <col min="1550" max="1550" width="27.7109375" bestFit="1" customWidth="1"/>
    <col min="1794" max="1794" width="31.140625" bestFit="1" customWidth="1"/>
    <col min="1795" max="1795" width="26" bestFit="1" customWidth="1"/>
    <col min="1796" max="1796" width="7.7109375" bestFit="1" customWidth="1"/>
    <col min="1797" max="1797" width="6.7109375" bestFit="1" customWidth="1"/>
    <col min="1798" max="1798" width="18.5703125" bestFit="1" customWidth="1"/>
    <col min="1799" max="1799" width="24.140625" bestFit="1" customWidth="1"/>
    <col min="1800" max="1802" width="5.5703125" bestFit="1" customWidth="1"/>
    <col min="1803" max="1803" width="4.85546875" bestFit="1" customWidth="1"/>
    <col min="1804" max="1804" width="6.7109375" bestFit="1" customWidth="1"/>
    <col min="1805" max="1805" width="8.5703125" bestFit="1" customWidth="1"/>
    <col min="1806" max="1806" width="27.7109375" bestFit="1" customWidth="1"/>
    <col min="2050" max="2050" width="31.140625" bestFit="1" customWidth="1"/>
    <col min="2051" max="2051" width="26" bestFit="1" customWidth="1"/>
    <col min="2052" max="2052" width="7.7109375" bestFit="1" customWidth="1"/>
    <col min="2053" max="2053" width="6.7109375" bestFit="1" customWidth="1"/>
    <col min="2054" max="2054" width="18.5703125" bestFit="1" customWidth="1"/>
    <col min="2055" max="2055" width="24.140625" bestFit="1" customWidth="1"/>
    <col min="2056" max="2058" width="5.5703125" bestFit="1" customWidth="1"/>
    <col min="2059" max="2059" width="4.85546875" bestFit="1" customWidth="1"/>
    <col min="2060" max="2060" width="6.7109375" bestFit="1" customWidth="1"/>
    <col min="2061" max="2061" width="8.5703125" bestFit="1" customWidth="1"/>
    <col min="2062" max="2062" width="27.7109375" bestFit="1" customWidth="1"/>
    <col min="2306" max="2306" width="31.140625" bestFit="1" customWidth="1"/>
    <col min="2307" max="2307" width="26" bestFit="1" customWidth="1"/>
    <col min="2308" max="2308" width="7.7109375" bestFit="1" customWidth="1"/>
    <col min="2309" max="2309" width="6.7109375" bestFit="1" customWidth="1"/>
    <col min="2310" max="2310" width="18.5703125" bestFit="1" customWidth="1"/>
    <col min="2311" max="2311" width="24.140625" bestFit="1" customWidth="1"/>
    <col min="2312" max="2314" width="5.5703125" bestFit="1" customWidth="1"/>
    <col min="2315" max="2315" width="4.85546875" bestFit="1" customWidth="1"/>
    <col min="2316" max="2316" width="6.7109375" bestFit="1" customWidth="1"/>
    <col min="2317" max="2317" width="8.5703125" bestFit="1" customWidth="1"/>
    <col min="2318" max="2318" width="27.7109375" bestFit="1" customWidth="1"/>
    <col min="2562" max="2562" width="31.140625" bestFit="1" customWidth="1"/>
    <col min="2563" max="2563" width="26" bestFit="1" customWidth="1"/>
    <col min="2564" max="2564" width="7.7109375" bestFit="1" customWidth="1"/>
    <col min="2565" max="2565" width="6.7109375" bestFit="1" customWidth="1"/>
    <col min="2566" max="2566" width="18.5703125" bestFit="1" customWidth="1"/>
    <col min="2567" max="2567" width="24.140625" bestFit="1" customWidth="1"/>
    <col min="2568" max="2570" width="5.5703125" bestFit="1" customWidth="1"/>
    <col min="2571" max="2571" width="4.85546875" bestFit="1" customWidth="1"/>
    <col min="2572" max="2572" width="6.7109375" bestFit="1" customWidth="1"/>
    <col min="2573" max="2573" width="8.5703125" bestFit="1" customWidth="1"/>
    <col min="2574" max="2574" width="27.7109375" bestFit="1" customWidth="1"/>
    <col min="2818" max="2818" width="31.140625" bestFit="1" customWidth="1"/>
    <col min="2819" max="2819" width="26" bestFit="1" customWidth="1"/>
    <col min="2820" max="2820" width="7.7109375" bestFit="1" customWidth="1"/>
    <col min="2821" max="2821" width="6.7109375" bestFit="1" customWidth="1"/>
    <col min="2822" max="2822" width="18.5703125" bestFit="1" customWidth="1"/>
    <col min="2823" max="2823" width="24.140625" bestFit="1" customWidth="1"/>
    <col min="2824" max="2826" width="5.5703125" bestFit="1" customWidth="1"/>
    <col min="2827" max="2827" width="4.85546875" bestFit="1" customWidth="1"/>
    <col min="2828" max="2828" width="6.7109375" bestFit="1" customWidth="1"/>
    <col min="2829" max="2829" width="8.5703125" bestFit="1" customWidth="1"/>
    <col min="2830" max="2830" width="27.7109375" bestFit="1" customWidth="1"/>
    <col min="3074" max="3074" width="31.140625" bestFit="1" customWidth="1"/>
    <col min="3075" max="3075" width="26" bestFit="1" customWidth="1"/>
    <col min="3076" max="3076" width="7.7109375" bestFit="1" customWidth="1"/>
    <col min="3077" max="3077" width="6.7109375" bestFit="1" customWidth="1"/>
    <col min="3078" max="3078" width="18.5703125" bestFit="1" customWidth="1"/>
    <col min="3079" max="3079" width="24.140625" bestFit="1" customWidth="1"/>
    <col min="3080" max="3082" width="5.5703125" bestFit="1" customWidth="1"/>
    <col min="3083" max="3083" width="4.85546875" bestFit="1" customWidth="1"/>
    <col min="3084" max="3084" width="6.7109375" bestFit="1" customWidth="1"/>
    <col min="3085" max="3085" width="8.5703125" bestFit="1" customWidth="1"/>
    <col min="3086" max="3086" width="27.7109375" bestFit="1" customWidth="1"/>
    <col min="3330" max="3330" width="31.140625" bestFit="1" customWidth="1"/>
    <col min="3331" max="3331" width="26" bestFit="1" customWidth="1"/>
    <col min="3332" max="3332" width="7.7109375" bestFit="1" customWidth="1"/>
    <col min="3333" max="3333" width="6.7109375" bestFit="1" customWidth="1"/>
    <col min="3334" max="3334" width="18.5703125" bestFit="1" customWidth="1"/>
    <col min="3335" max="3335" width="24.140625" bestFit="1" customWidth="1"/>
    <col min="3336" max="3338" width="5.5703125" bestFit="1" customWidth="1"/>
    <col min="3339" max="3339" width="4.85546875" bestFit="1" customWidth="1"/>
    <col min="3340" max="3340" width="6.7109375" bestFit="1" customWidth="1"/>
    <col min="3341" max="3341" width="8.5703125" bestFit="1" customWidth="1"/>
    <col min="3342" max="3342" width="27.7109375" bestFit="1" customWidth="1"/>
    <col min="3586" max="3586" width="31.140625" bestFit="1" customWidth="1"/>
    <col min="3587" max="3587" width="26" bestFit="1" customWidth="1"/>
    <col min="3588" max="3588" width="7.7109375" bestFit="1" customWidth="1"/>
    <col min="3589" max="3589" width="6.7109375" bestFit="1" customWidth="1"/>
    <col min="3590" max="3590" width="18.5703125" bestFit="1" customWidth="1"/>
    <col min="3591" max="3591" width="24.140625" bestFit="1" customWidth="1"/>
    <col min="3592" max="3594" width="5.5703125" bestFit="1" customWidth="1"/>
    <col min="3595" max="3595" width="4.85546875" bestFit="1" customWidth="1"/>
    <col min="3596" max="3596" width="6.7109375" bestFit="1" customWidth="1"/>
    <col min="3597" max="3597" width="8.5703125" bestFit="1" customWidth="1"/>
    <col min="3598" max="3598" width="27.7109375" bestFit="1" customWidth="1"/>
    <col min="3842" max="3842" width="31.140625" bestFit="1" customWidth="1"/>
    <col min="3843" max="3843" width="26" bestFit="1" customWidth="1"/>
    <col min="3844" max="3844" width="7.7109375" bestFit="1" customWidth="1"/>
    <col min="3845" max="3845" width="6.7109375" bestFit="1" customWidth="1"/>
    <col min="3846" max="3846" width="18.5703125" bestFit="1" customWidth="1"/>
    <col min="3847" max="3847" width="24.140625" bestFit="1" customWidth="1"/>
    <col min="3848" max="3850" width="5.5703125" bestFit="1" customWidth="1"/>
    <col min="3851" max="3851" width="4.85546875" bestFit="1" customWidth="1"/>
    <col min="3852" max="3852" width="6.7109375" bestFit="1" customWidth="1"/>
    <col min="3853" max="3853" width="8.5703125" bestFit="1" customWidth="1"/>
    <col min="3854" max="3854" width="27.7109375" bestFit="1" customWidth="1"/>
    <col min="4098" max="4098" width="31.140625" bestFit="1" customWidth="1"/>
    <col min="4099" max="4099" width="26" bestFit="1" customWidth="1"/>
    <col min="4100" max="4100" width="7.7109375" bestFit="1" customWidth="1"/>
    <col min="4101" max="4101" width="6.7109375" bestFit="1" customWidth="1"/>
    <col min="4102" max="4102" width="18.5703125" bestFit="1" customWidth="1"/>
    <col min="4103" max="4103" width="24.140625" bestFit="1" customWidth="1"/>
    <col min="4104" max="4106" width="5.5703125" bestFit="1" customWidth="1"/>
    <col min="4107" max="4107" width="4.85546875" bestFit="1" customWidth="1"/>
    <col min="4108" max="4108" width="6.7109375" bestFit="1" customWidth="1"/>
    <col min="4109" max="4109" width="8.5703125" bestFit="1" customWidth="1"/>
    <col min="4110" max="4110" width="27.7109375" bestFit="1" customWidth="1"/>
    <col min="4354" max="4354" width="31.140625" bestFit="1" customWidth="1"/>
    <col min="4355" max="4355" width="26" bestFit="1" customWidth="1"/>
    <col min="4356" max="4356" width="7.7109375" bestFit="1" customWidth="1"/>
    <col min="4357" max="4357" width="6.7109375" bestFit="1" customWidth="1"/>
    <col min="4358" max="4358" width="18.5703125" bestFit="1" customWidth="1"/>
    <col min="4359" max="4359" width="24.140625" bestFit="1" customWidth="1"/>
    <col min="4360" max="4362" width="5.5703125" bestFit="1" customWidth="1"/>
    <col min="4363" max="4363" width="4.85546875" bestFit="1" customWidth="1"/>
    <col min="4364" max="4364" width="6.7109375" bestFit="1" customWidth="1"/>
    <col min="4365" max="4365" width="8.5703125" bestFit="1" customWidth="1"/>
    <col min="4366" max="4366" width="27.7109375" bestFit="1" customWidth="1"/>
    <col min="4610" max="4610" width="31.140625" bestFit="1" customWidth="1"/>
    <col min="4611" max="4611" width="26" bestFit="1" customWidth="1"/>
    <col min="4612" max="4612" width="7.7109375" bestFit="1" customWidth="1"/>
    <col min="4613" max="4613" width="6.7109375" bestFit="1" customWidth="1"/>
    <col min="4614" max="4614" width="18.5703125" bestFit="1" customWidth="1"/>
    <col min="4615" max="4615" width="24.140625" bestFit="1" customWidth="1"/>
    <col min="4616" max="4618" width="5.5703125" bestFit="1" customWidth="1"/>
    <col min="4619" max="4619" width="4.85546875" bestFit="1" customWidth="1"/>
    <col min="4620" max="4620" width="6.7109375" bestFit="1" customWidth="1"/>
    <col min="4621" max="4621" width="8.5703125" bestFit="1" customWidth="1"/>
    <col min="4622" max="4622" width="27.7109375" bestFit="1" customWidth="1"/>
    <col min="4866" max="4866" width="31.140625" bestFit="1" customWidth="1"/>
    <col min="4867" max="4867" width="26" bestFit="1" customWidth="1"/>
    <col min="4868" max="4868" width="7.7109375" bestFit="1" customWidth="1"/>
    <col min="4869" max="4869" width="6.7109375" bestFit="1" customWidth="1"/>
    <col min="4870" max="4870" width="18.5703125" bestFit="1" customWidth="1"/>
    <col min="4871" max="4871" width="24.140625" bestFit="1" customWidth="1"/>
    <col min="4872" max="4874" width="5.5703125" bestFit="1" customWidth="1"/>
    <col min="4875" max="4875" width="4.85546875" bestFit="1" customWidth="1"/>
    <col min="4876" max="4876" width="6.7109375" bestFit="1" customWidth="1"/>
    <col min="4877" max="4877" width="8.5703125" bestFit="1" customWidth="1"/>
    <col min="4878" max="4878" width="27.7109375" bestFit="1" customWidth="1"/>
    <col min="5122" max="5122" width="31.140625" bestFit="1" customWidth="1"/>
    <col min="5123" max="5123" width="26" bestFit="1" customWidth="1"/>
    <col min="5124" max="5124" width="7.7109375" bestFit="1" customWidth="1"/>
    <col min="5125" max="5125" width="6.7109375" bestFit="1" customWidth="1"/>
    <col min="5126" max="5126" width="18.5703125" bestFit="1" customWidth="1"/>
    <col min="5127" max="5127" width="24.140625" bestFit="1" customWidth="1"/>
    <col min="5128" max="5130" width="5.5703125" bestFit="1" customWidth="1"/>
    <col min="5131" max="5131" width="4.85546875" bestFit="1" customWidth="1"/>
    <col min="5132" max="5132" width="6.7109375" bestFit="1" customWidth="1"/>
    <col min="5133" max="5133" width="8.5703125" bestFit="1" customWidth="1"/>
    <col min="5134" max="5134" width="27.7109375" bestFit="1" customWidth="1"/>
    <col min="5378" max="5378" width="31.140625" bestFit="1" customWidth="1"/>
    <col min="5379" max="5379" width="26" bestFit="1" customWidth="1"/>
    <col min="5380" max="5380" width="7.7109375" bestFit="1" customWidth="1"/>
    <col min="5381" max="5381" width="6.7109375" bestFit="1" customWidth="1"/>
    <col min="5382" max="5382" width="18.5703125" bestFit="1" customWidth="1"/>
    <col min="5383" max="5383" width="24.140625" bestFit="1" customWidth="1"/>
    <col min="5384" max="5386" width="5.5703125" bestFit="1" customWidth="1"/>
    <col min="5387" max="5387" width="4.85546875" bestFit="1" customWidth="1"/>
    <col min="5388" max="5388" width="6.7109375" bestFit="1" customWidth="1"/>
    <col min="5389" max="5389" width="8.5703125" bestFit="1" customWidth="1"/>
    <col min="5390" max="5390" width="27.7109375" bestFit="1" customWidth="1"/>
    <col min="5634" max="5634" width="31.140625" bestFit="1" customWidth="1"/>
    <col min="5635" max="5635" width="26" bestFit="1" customWidth="1"/>
    <col min="5636" max="5636" width="7.7109375" bestFit="1" customWidth="1"/>
    <col min="5637" max="5637" width="6.7109375" bestFit="1" customWidth="1"/>
    <col min="5638" max="5638" width="18.5703125" bestFit="1" customWidth="1"/>
    <col min="5639" max="5639" width="24.140625" bestFit="1" customWidth="1"/>
    <col min="5640" max="5642" width="5.5703125" bestFit="1" customWidth="1"/>
    <col min="5643" max="5643" width="4.85546875" bestFit="1" customWidth="1"/>
    <col min="5644" max="5644" width="6.7109375" bestFit="1" customWidth="1"/>
    <col min="5645" max="5645" width="8.5703125" bestFit="1" customWidth="1"/>
    <col min="5646" max="5646" width="27.7109375" bestFit="1" customWidth="1"/>
    <col min="5890" max="5890" width="31.140625" bestFit="1" customWidth="1"/>
    <col min="5891" max="5891" width="26" bestFit="1" customWidth="1"/>
    <col min="5892" max="5892" width="7.7109375" bestFit="1" customWidth="1"/>
    <col min="5893" max="5893" width="6.7109375" bestFit="1" customWidth="1"/>
    <col min="5894" max="5894" width="18.5703125" bestFit="1" customWidth="1"/>
    <col min="5895" max="5895" width="24.140625" bestFit="1" customWidth="1"/>
    <col min="5896" max="5898" width="5.5703125" bestFit="1" customWidth="1"/>
    <col min="5899" max="5899" width="4.85546875" bestFit="1" customWidth="1"/>
    <col min="5900" max="5900" width="6.7109375" bestFit="1" customWidth="1"/>
    <col min="5901" max="5901" width="8.5703125" bestFit="1" customWidth="1"/>
    <col min="5902" max="5902" width="27.7109375" bestFit="1" customWidth="1"/>
    <col min="6146" max="6146" width="31.140625" bestFit="1" customWidth="1"/>
    <col min="6147" max="6147" width="26" bestFit="1" customWidth="1"/>
    <col min="6148" max="6148" width="7.7109375" bestFit="1" customWidth="1"/>
    <col min="6149" max="6149" width="6.7109375" bestFit="1" customWidth="1"/>
    <col min="6150" max="6150" width="18.5703125" bestFit="1" customWidth="1"/>
    <col min="6151" max="6151" width="24.140625" bestFit="1" customWidth="1"/>
    <col min="6152" max="6154" width="5.5703125" bestFit="1" customWidth="1"/>
    <col min="6155" max="6155" width="4.85546875" bestFit="1" customWidth="1"/>
    <col min="6156" max="6156" width="6.7109375" bestFit="1" customWidth="1"/>
    <col min="6157" max="6157" width="8.5703125" bestFit="1" customWidth="1"/>
    <col min="6158" max="6158" width="27.7109375" bestFit="1" customWidth="1"/>
    <col min="6402" max="6402" width="31.140625" bestFit="1" customWidth="1"/>
    <col min="6403" max="6403" width="26" bestFit="1" customWidth="1"/>
    <col min="6404" max="6404" width="7.7109375" bestFit="1" customWidth="1"/>
    <col min="6405" max="6405" width="6.7109375" bestFit="1" customWidth="1"/>
    <col min="6406" max="6406" width="18.5703125" bestFit="1" customWidth="1"/>
    <col min="6407" max="6407" width="24.140625" bestFit="1" customWidth="1"/>
    <col min="6408" max="6410" width="5.5703125" bestFit="1" customWidth="1"/>
    <col min="6411" max="6411" width="4.85546875" bestFit="1" customWidth="1"/>
    <col min="6412" max="6412" width="6.7109375" bestFit="1" customWidth="1"/>
    <col min="6413" max="6413" width="8.5703125" bestFit="1" customWidth="1"/>
    <col min="6414" max="6414" width="27.7109375" bestFit="1" customWidth="1"/>
    <col min="6658" max="6658" width="31.140625" bestFit="1" customWidth="1"/>
    <col min="6659" max="6659" width="26" bestFit="1" customWidth="1"/>
    <col min="6660" max="6660" width="7.7109375" bestFit="1" customWidth="1"/>
    <col min="6661" max="6661" width="6.7109375" bestFit="1" customWidth="1"/>
    <col min="6662" max="6662" width="18.5703125" bestFit="1" customWidth="1"/>
    <col min="6663" max="6663" width="24.140625" bestFit="1" customWidth="1"/>
    <col min="6664" max="6666" width="5.5703125" bestFit="1" customWidth="1"/>
    <col min="6667" max="6667" width="4.85546875" bestFit="1" customWidth="1"/>
    <col min="6668" max="6668" width="6.7109375" bestFit="1" customWidth="1"/>
    <col min="6669" max="6669" width="8.5703125" bestFit="1" customWidth="1"/>
    <col min="6670" max="6670" width="27.7109375" bestFit="1" customWidth="1"/>
    <col min="6914" max="6914" width="31.140625" bestFit="1" customWidth="1"/>
    <col min="6915" max="6915" width="26" bestFit="1" customWidth="1"/>
    <col min="6916" max="6916" width="7.7109375" bestFit="1" customWidth="1"/>
    <col min="6917" max="6917" width="6.7109375" bestFit="1" customWidth="1"/>
    <col min="6918" max="6918" width="18.5703125" bestFit="1" customWidth="1"/>
    <col min="6919" max="6919" width="24.140625" bestFit="1" customWidth="1"/>
    <col min="6920" max="6922" width="5.5703125" bestFit="1" customWidth="1"/>
    <col min="6923" max="6923" width="4.85546875" bestFit="1" customWidth="1"/>
    <col min="6924" max="6924" width="6.7109375" bestFit="1" customWidth="1"/>
    <col min="6925" max="6925" width="8.5703125" bestFit="1" customWidth="1"/>
    <col min="6926" max="6926" width="27.7109375" bestFit="1" customWidth="1"/>
    <col min="7170" max="7170" width="31.140625" bestFit="1" customWidth="1"/>
    <col min="7171" max="7171" width="26" bestFit="1" customWidth="1"/>
    <col min="7172" max="7172" width="7.7109375" bestFit="1" customWidth="1"/>
    <col min="7173" max="7173" width="6.7109375" bestFit="1" customWidth="1"/>
    <col min="7174" max="7174" width="18.5703125" bestFit="1" customWidth="1"/>
    <col min="7175" max="7175" width="24.140625" bestFit="1" customWidth="1"/>
    <col min="7176" max="7178" width="5.5703125" bestFit="1" customWidth="1"/>
    <col min="7179" max="7179" width="4.85546875" bestFit="1" customWidth="1"/>
    <col min="7180" max="7180" width="6.7109375" bestFit="1" customWidth="1"/>
    <col min="7181" max="7181" width="8.5703125" bestFit="1" customWidth="1"/>
    <col min="7182" max="7182" width="27.7109375" bestFit="1" customWidth="1"/>
    <col min="7426" max="7426" width="31.140625" bestFit="1" customWidth="1"/>
    <col min="7427" max="7427" width="26" bestFit="1" customWidth="1"/>
    <col min="7428" max="7428" width="7.7109375" bestFit="1" customWidth="1"/>
    <col min="7429" max="7429" width="6.7109375" bestFit="1" customWidth="1"/>
    <col min="7430" max="7430" width="18.5703125" bestFit="1" customWidth="1"/>
    <col min="7431" max="7431" width="24.140625" bestFit="1" customWidth="1"/>
    <col min="7432" max="7434" width="5.5703125" bestFit="1" customWidth="1"/>
    <col min="7435" max="7435" width="4.85546875" bestFit="1" customWidth="1"/>
    <col min="7436" max="7436" width="6.7109375" bestFit="1" customWidth="1"/>
    <col min="7437" max="7437" width="8.5703125" bestFit="1" customWidth="1"/>
    <col min="7438" max="7438" width="27.7109375" bestFit="1" customWidth="1"/>
    <col min="7682" max="7682" width="31.140625" bestFit="1" customWidth="1"/>
    <col min="7683" max="7683" width="26" bestFit="1" customWidth="1"/>
    <col min="7684" max="7684" width="7.7109375" bestFit="1" customWidth="1"/>
    <col min="7685" max="7685" width="6.7109375" bestFit="1" customWidth="1"/>
    <col min="7686" max="7686" width="18.5703125" bestFit="1" customWidth="1"/>
    <col min="7687" max="7687" width="24.140625" bestFit="1" customWidth="1"/>
    <col min="7688" max="7690" width="5.5703125" bestFit="1" customWidth="1"/>
    <col min="7691" max="7691" width="4.85546875" bestFit="1" customWidth="1"/>
    <col min="7692" max="7692" width="6.7109375" bestFit="1" customWidth="1"/>
    <col min="7693" max="7693" width="8.5703125" bestFit="1" customWidth="1"/>
    <col min="7694" max="7694" width="27.7109375" bestFit="1" customWidth="1"/>
    <col min="7938" max="7938" width="31.140625" bestFit="1" customWidth="1"/>
    <col min="7939" max="7939" width="26" bestFit="1" customWidth="1"/>
    <col min="7940" max="7940" width="7.7109375" bestFit="1" customWidth="1"/>
    <col min="7941" max="7941" width="6.7109375" bestFit="1" customWidth="1"/>
    <col min="7942" max="7942" width="18.5703125" bestFit="1" customWidth="1"/>
    <col min="7943" max="7943" width="24.140625" bestFit="1" customWidth="1"/>
    <col min="7944" max="7946" width="5.5703125" bestFit="1" customWidth="1"/>
    <col min="7947" max="7947" width="4.85546875" bestFit="1" customWidth="1"/>
    <col min="7948" max="7948" width="6.7109375" bestFit="1" customWidth="1"/>
    <col min="7949" max="7949" width="8.5703125" bestFit="1" customWidth="1"/>
    <col min="7950" max="7950" width="27.7109375" bestFit="1" customWidth="1"/>
    <col min="8194" max="8194" width="31.140625" bestFit="1" customWidth="1"/>
    <col min="8195" max="8195" width="26" bestFit="1" customWidth="1"/>
    <col min="8196" max="8196" width="7.7109375" bestFit="1" customWidth="1"/>
    <col min="8197" max="8197" width="6.7109375" bestFit="1" customWidth="1"/>
    <col min="8198" max="8198" width="18.5703125" bestFit="1" customWidth="1"/>
    <col min="8199" max="8199" width="24.140625" bestFit="1" customWidth="1"/>
    <col min="8200" max="8202" width="5.5703125" bestFit="1" customWidth="1"/>
    <col min="8203" max="8203" width="4.85546875" bestFit="1" customWidth="1"/>
    <col min="8204" max="8204" width="6.7109375" bestFit="1" customWidth="1"/>
    <col min="8205" max="8205" width="8.5703125" bestFit="1" customWidth="1"/>
    <col min="8206" max="8206" width="27.7109375" bestFit="1" customWidth="1"/>
    <col min="8450" max="8450" width="31.140625" bestFit="1" customWidth="1"/>
    <col min="8451" max="8451" width="26" bestFit="1" customWidth="1"/>
    <col min="8452" max="8452" width="7.7109375" bestFit="1" customWidth="1"/>
    <col min="8453" max="8453" width="6.7109375" bestFit="1" customWidth="1"/>
    <col min="8454" max="8454" width="18.5703125" bestFit="1" customWidth="1"/>
    <col min="8455" max="8455" width="24.140625" bestFit="1" customWidth="1"/>
    <col min="8456" max="8458" width="5.5703125" bestFit="1" customWidth="1"/>
    <col min="8459" max="8459" width="4.85546875" bestFit="1" customWidth="1"/>
    <col min="8460" max="8460" width="6.7109375" bestFit="1" customWidth="1"/>
    <col min="8461" max="8461" width="8.5703125" bestFit="1" customWidth="1"/>
    <col min="8462" max="8462" width="27.7109375" bestFit="1" customWidth="1"/>
    <col min="8706" max="8706" width="31.140625" bestFit="1" customWidth="1"/>
    <col min="8707" max="8707" width="26" bestFit="1" customWidth="1"/>
    <col min="8708" max="8708" width="7.7109375" bestFit="1" customWidth="1"/>
    <col min="8709" max="8709" width="6.7109375" bestFit="1" customWidth="1"/>
    <col min="8710" max="8710" width="18.5703125" bestFit="1" customWidth="1"/>
    <col min="8711" max="8711" width="24.140625" bestFit="1" customWidth="1"/>
    <col min="8712" max="8714" width="5.5703125" bestFit="1" customWidth="1"/>
    <col min="8715" max="8715" width="4.85546875" bestFit="1" customWidth="1"/>
    <col min="8716" max="8716" width="6.7109375" bestFit="1" customWidth="1"/>
    <col min="8717" max="8717" width="8.5703125" bestFit="1" customWidth="1"/>
    <col min="8718" max="8718" width="27.7109375" bestFit="1" customWidth="1"/>
    <col min="8962" max="8962" width="31.140625" bestFit="1" customWidth="1"/>
    <col min="8963" max="8963" width="26" bestFit="1" customWidth="1"/>
    <col min="8964" max="8964" width="7.7109375" bestFit="1" customWidth="1"/>
    <col min="8965" max="8965" width="6.7109375" bestFit="1" customWidth="1"/>
    <col min="8966" max="8966" width="18.5703125" bestFit="1" customWidth="1"/>
    <col min="8967" max="8967" width="24.140625" bestFit="1" customWidth="1"/>
    <col min="8968" max="8970" width="5.5703125" bestFit="1" customWidth="1"/>
    <col min="8971" max="8971" width="4.85546875" bestFit="1" customWidth="1"/>
    <col min="8972" max="8972" width="6.7109375" bestFit="1" customWidth="1"/>
    <col min="8973" max="8973" width="8.5703125" bestFit="1" customWidth="1"/>
    <col min="8974" max="8974" width="27.7109375" bestFit="1" customWidth="1"/>
    <col min="9218" max="9218" width="31.140625" bestFit="1" customWidth="1"/>
    <col min="9219" max="9219" width="26" bestFit="1" customWidth="1"/>
    <col min="9220" max="9220" width="7.7109375" bestFit="1" customWidth="1"/>
    <col min="9221" max="9221" width="6.7109375" bestFit="1" customWidth="1"/>
    <col min="9222" max="9222" width="18.5703125" bestFit="1" customWidth="1"/>
    <col min="9223" max="9223" width="24.140625" bestFit="1" customWidth="1"/>
    <col min="9224" max="9226" width="5.5703125" bestFit="1" customWidth="1"/>
    <col min="9227" max="9227" width="4.85546875" bestFit="1" customWidth="1"/>
    <col min="9228" max="9228" width="6.7109375" bestFit="1" customWidth="1"/>
    <col min="9229" max="9229" width="8.5703125" bestFit="1" customWidth="1"/>
    <col min="9230" max="9230" width="27.7109375" bestFit="1" customWidth="1"/>
    <col min="9474" max="9474" width="31.140625" bestFit="1" customWidth="1"/>
    <col min="9475" max="9475" width="26" bestFit="1" customWidth="1"/>
    <col min="9476" max="9476" width="7.7109375" bestFit="1" customWidth="1"/>
    <col min="9477" max="9477" width="6.7109375" bestFit="1" customWidth="1"/>
    <col min="9478" max="9478" width="18.5703125" bestFit="1" customWidth="1"/>
    <col min="9479" max="9479" width="24.140625" bestFit="1" customWidth="1"/>
    <col min="9480" max="9482" width="5.5703125" bestFit="1" customWidth="1"/>
    <col min="9483" max="9483" width="4.85546875" bestFit="1" customWidth="1"/>
    <col min="9484" max="9484" width="6.7109375" bestFit="1" customWidth="1"/>
    <col min="9485" max="9485" width="8.5703125" bestFit="1" customWidth="1"/>
    <col min="9486" max="9486" width="27.7109375" bestFit="1" customWidth="1"/>
    <col min="9730" max="9730" width="31.140625" bestFit="1" customWidth="1"/>
    <col min="9731" max="9731" width="26" bestFit="1" customWidth="1"/>
    <col min="9732" max="9732" width="7.7109375" bestFit="1" customWidth="1"/>
    <col min="9733" max="9733" width="6.7109375" bestFit="1" customWidth="1"/>
    <col min="9734" max="9734" width="18.5703125" bestFit="1" customWidth="1"/>
    <col min="9735" max="9735" width="24.140625" bestFit="1" customWidth="1"/>
    <col min="9736" max="9738" width="5.5703125" bestFit="1" customWidth="1"/>
    <col min="9739" max="9739" width="4.85546875" bestFit="1" customWidth="1"/>
    <col min="9740" max="9740" width="6.7109375" bestFit="1" customWidth="1"/>
    <col min="9741" max="9741" width="8.5703125" bestFit="1" customWidth="1"/>
    <col min="9742" max="9742" width="27.7109375" bestFit="1" customWidth="1"/>
    <col min="9986" max="9986" width="31.140625" bestFit="1" customWidth="1"/>
    <col min="9987" max="9987" width="26" bestFit="1" customWidth="1"/>
    <col min="9988" max="9988" width="7.7109375" bestFit="1" customWidth="1"/>
    <col min="9989" max="9989" width="6.7109375" bestFit="1" customWidth="1"/>
    <col min="9990" max="9990" width="18.5703125" bestFit="1" customWidth="1"/>
    <col min="9991" max="9991" width="24.140625" bestFit="1" customWidth="1"/>
    <col min="9992" max="9994" width="5.5703125" bestFit="1" customWidth="1"/>
    <col min="9995" max="9995" width="4.85546875" bestFit="1" customWidth="1"/>
    <col min="9996" max="9996" width="6.7109375" bestFit="1" customWidth="1"/>
    <col min="9997" max="9997" width="8.5703125" bestFit="1" customWidth="1"/>
    <col min="9998" max="9998" width="27.7109375" bestFit="1" customWidth="1"/>
    <col min="10242" max="10242" width="31.140625" bestFit="1" customWidth="1"/>
    <col min="10243" max="10243" width="26" bestFit="1" customWidth="1"/>
    <col min="10244" max="10244" width="7.7109375" bestFit="1" customWidth="1"/>
    <col min="10245" max="10245" width="6.7109375" bestFit="1" customWidth="1"/>
    <col min="10246" max="10246" width="18.5703125" bestFit="1" customWidth="1"/>
    <col min="10247" max="10247" width="24.140625" bestFit="1" customWidth="1"/>
    <col min="10248" max="10250" width="5.5703125" bestFit="1" customWidth="1"/>
    <col min="10251" max="10251" width="4.85546875" bestFit="1" customWidth="1"/>
    <col min="10252" max="10252" width="6.7109375" bestFit="1" customWidth="1"/>
    <col min="10253" max="10253" width="8.5703125" bestFit="1" customWidth="1"/>
    <col min="10254" max="10254" width="27.7109375" bestFit="1" customWidth="1"/>
    <col min="10498" max="10498" width="31.140625" bestFit="1" customWidth="1"/>
    <col min="10499" max="10499" width="26" bestFit="1" customWidth="1"/>
    <col min="10500" max="10500" width="7.7109375" bestFit="1" customWidth="1"/>
    <col min="10501" max="10501" width="6.7109375" bestFit="1" customWidth="1"/>
    <col min="10502" max="10502" width="18.5703125" bestFit="1" customWidth="1"/>
    <col min="10503" max="10503" width="24.140625" bestFit="1" customWidth="1"/>
    <col min="10504" max="10506" width="5.5703125" bestFit="1" customWidth="1"/>
    <col min="10507" max="10507" width="4.85546875" bestFit="1" customWidth="1"/>
    <col min="10508" max="10508" width="6.7109375" bestFit="1" customWidth="1"/>
    <col min="10509" max="10509" width="8.5703125" bestFit="1" customWidth="1"/>
    <col min="10510" max="10510" width="27.7109375" bestFit="1" customWidth="1"/>
    <col min="10754" max="10754" width="31.140625" bestFit="1" customWidth="1"/>
    <col min="10755" max="10755" width="26" bestFit="1" customWidth="1"/>
    <col min="10756" max="10756" width="7.7109375" bestFit="1" customWidth="1"/>
    <col min="10757" max="10757" width="6.7109375" bestFit="1" customWidth="1"/>
    <col min="10758" max="10758" width="18.5703125" bestFit="1" customWidth="1"/>
    <col min="10759" max="10759" width="24.140625" bestFit="1" customWidth="1"/>
    <col min="10760" max="10762" width="5.5703125" bestFit="1" customWidth="1"/>
    <col min="10763" max="10763" width="4.85546875" bestFit="1" customWidth="1"/>
    <col min="10764" max="10764" width="6.7109375" bestFit="1" customWidth="1"/>
    <col min="10765" max="10765" width="8.5703125" bestFit="1" customWidth="1"/>
    <col min="10766" max="10766" width="27.7109375" bestFit="1" customWidth="1"/>
    <col min="11010" max="11010" width="31.140625" bestFit="1" customWidth="1"/>
    <col min="11011" max="11011" width="26" bestFit="1" customWidth="1"/>
    <col min="11012" max="11012" width="7.7109375" bestFit="1" customWidth="1"/>
    <col min="11013" max="11013" width="6.7109375" bestFit="1" customWidth="1"/>
    <col min="11014" max="11014" width="18.5703125" bestFit="1" customWidth="1"/>
    <col min="11015" max="11015" width="24.140625" bestFit="1" customWidth="1"/>
    <col min="11016" max="11018" width="5.5703125" bestFit="1" customWidth="1"/>
    <col min="11019" max="11019" width="4.85546875" bestFit="1" customWidth="1"/>
    <col min="11020" max="11020" width="6.7109375" bestFit="1" customWidth="1"/>
    <col min="11021" max="11021" width="8.5703125" bestFit="1" customWidth="1"/>
    <col min="11022" max="11022" width="27.7109375" bestFit="1" customWidth="1"/>
    <col min="11266" max="11266" width="31.140625" bestFit="1" customWidth="1"/>
    <col min="11267" max="11267" width="26" bestFit="1" customWidth="1"/>
    <col min="11268" max="11268" width="7.7109375" bestFit="1" customWidth="1"/>
    <col min="11269" max="11269" width="6.7109375" bestFit="1" customWidth="1"/>
    <col min="11270" max="11270" width="18.5703125" bestFit="1" customWidth="1"/>
    <col min="11271" max="11271" width="24.140625" bestFit="1" customWidth="1"/>
    <col min="11272" max="11274" width="5.5703125" bestFit="1" customWidth="1"/>
    <col min="11275" max="11275" width="4.85546875" bestFit="1" customWidth="1"/>
    <col min="11276" max="11276" width="6.7109375" bestFit="1" customWidth="1"/>
    <col min="11277" max="11277" width="8.5703125" bestFit="1" customWidth="1"/>
    <col min="11278" max="11278" width="27.7109375" bestFit="1" customWidth="1"/>
    <col min="11522" max="11522" width="31.140625" bestFit="1" customWidth="1"/>
    <col min="11523" max="11523" width="26" bestFit="1" customWidth="1"/>
    <col min="11524" max="11524" width="7.7109375" bestFit="1" customWidth="1"/>
    <col min="11525" max="11525" width="6.7109375" bestFit="1" customWidth="1"/>
    <col min="11526" max="11526" width="18.5703125" bestFit="1" customWidth="1"/>
    <col min="11527" max="11527" width="24.140625" bestFit="1" customWidth="1"/>
    <col min="11528" max="11530" width="5.5703125" bestFit="1" customWidth="1"/>
    <col min="11531" max="11531" width="4.85546875" bestFit="1" customWidth="1"/>
    <col min="11532" max="11532" width="6.7109375" bestFit="1" customWidth="1"/>
    <col min="11533" max="11533" width="8.5703125" bestFit="1" customWidth="1"/>
    <col min="11534" max="11534" width="27.7109375" bestFit="1" customWidth="1"/>
    <col min="11778" max="11778" width="31.140625" bestFit="1" customWidth="1"/>
    <col min="11779" max="11779" width="26" bestFit="1" customWidth="1"/>
    <col min="11780" max="11780" width="7.7109375" bestFit="1" customWidth="1"/>
    <col min="11781" max="11781" width="6.7109375" bestFit="1" customWidth="1"/>
    <col min="11782" max="11782" width="18.5703125" bestFit="1" customWidth="1"/>
    <col min="11783" max="11783" width="24.140625" bestFit="1" customWidth="1"/>
    <col min="11784" max="11786" width="5.5703125" bestFit="1" customWidth="1"/>
    <col min="11787" max="11787" width="4.85546875" bestFit="1" customWidth="1"/>
    <col min="11788" max="11788" width="6.7109375" bestFit="1" customWidth="1"/>
    <col min="11789" max="11789" width="8.5703125" bestFit="1" customWidth="1"/>
    <col min="11790" max="11790" width="27.7109375" bestFit="1" customWidth="1"/>
    <col min="12034" max="12034" width="31.140625" bestFit="1" customWidth="1"/>
    <col min="12035" max="12035" width="26" bestFit="1" customWidth="1"/>
    <col min="12036" max="12036" width="7.7109375" bestFit="1" customWidth="1"/>
    <col min="12037" max="12037" width="6.7109375" bestFit="1" customWidth="1"/>
    <col min="12038" max="12038" width="18.5703125" bestFit="1" customWidth="1"/>
    <col min="12039" max="12039" width="24.140625" bestFit="1" customWidth="1"/>
    <col min="12040" max="12042" width="5.5703125" bestFit="1" customWidth="1"/>
    <col min="12043" max="12043" width="4.85546875" bestFit="1" customWidth="1"/>
    <col min="12044" max="12044" width="6.7109375" bestFit="1" customWidth="1"/>
    <col min="12045" max="12045" width="8.5703125" bestFit="1" customWidth="1"/>
    <col min="12046" max="12046" width="27.7109375" bestFit="1" customWidth="1"/>
    <col min="12290" max="12290" width="31.140625" bestFit="1" customWidth="1"/>
    <col min="12291" max="12291" width="26" bestFit="1" customWidth="1"/>
    <col min="12292" max="12292" width="7.7109375" bestFit="1" customWidth="1"/>
    <col min="12293" max="12293" width="6.7109375" bestFit="1" customWidth="1"/>
    <col min="12294" max="12294" width="18.5703125" bestFit="1" customWidth="1"/>
    <col min="12295" max="12295" width="24.140625" bestFit="1" customWidth="1"/>
    <col min="12296" max="12298" width="5.5703125" bestFit="1" customWidth="1"/>
    <col min="12299" max="12299" width="4.85546875" bestFit="1" customWidth="1"/>
    <col min="12300" max="12300" width="6.7109375" bestFit="1" customWidth="1"/>
    <col min="12301" max="12301" width="8.5703125" bestFit="1" customWidth="1"/>
    <col min="12302" max="12302" width="27.7109375" bestFit="1" customWidth="1"/>
    <col min="12546" max="12546" width="31.140625" bestFit="1" customWidth="1"/>
    <col min="12547" max="12547" width="26" bestFit="1" customWidth="1"/>
    <col min="12548" max="12548" width="7.7109375" bestFit="1" customWidth="1"/>
    <col min="12549" max="12549" width="6.7109375" bestFit="1" customWidth="1"/>
    <col min="12550" max="12550" width="18.5703125" bestFit="1" customWidth="1"/>
    <col min="12551" max="12551" width="24.140625" bestFit="1" customWidth="1"/>
    <col min="12552" max="12554" width="5.5703125" bestFit="1" customWidth="1"/>
    <col min="12555" max="12555" width="4.85546875" bestFit="1" customWidth="1"/>
    <col min="12556" max="12556" width="6.7109375" bestFit="1" customWidth="1"/>
    <col min="12557" max="12557" width="8.5703125" bestFit="1" customWidth="1"/>
    <col min="12558" max="12558" width="27.7109375" bestFit="1" customWidth="1"/>
    <col min="12802" max="12802" width="31.140625" bestFit="1" customWidth="1"/>
    <col min="12803" max="12803" width="26" bestFit="1" customWidth="1"/>
    <col min="12804" max="12804" width="7.7109375" bestFit="1" customWidth="1"/>
    <col min="12805" max="12805" width="6.7109375" bestFit="1" customWidth="1"/>
    <col min="12806" max="12806" width="18.5703125" bestFit="1" customWidth="1"/>
    <col min="12807" max="12807" width="24.140625" bestFit="1" customWidth="1"/>
    <col min="12808" max="12810" width="5.5703125" bestFit="1" customWidth="1"/>
    <col min="12811" max="12811" width="4.85546875" bestFit="1" customWidth="1"/>
    <col min="12812" max="12812" width="6.7109375" bestFit="1" customWidth="1"/>
    <col min="12813" max="12813" width="8.5703125" bestFit="1" customWidth="1"/>
    <col min="12814" max="12814" width="27.7109375" bestFit="1" customWidth="1"/>
    <col min="13058" max="13058" width="31.140625" bestFit="1" customWidth="1"/>
    <col min="13059" max="13059" width="26" bestFit="1" customWidth="1"/>
    <col min="13060" max="13060" width="7.7109375" bestFit="1" customWidth="1"/>
    <col min="13061" max="13061" width="6.7109375" bestFit="1" customWidth="1"/>
    <col min="13062" max="13062" width="18.5703125" bestFit="1" customWidth="1"/>
    <col min="13063" max="13063" width="24.140625" bestFit="1" customWidth="1"/>
    <col min="13064" max="13066" width="5.5703125" bestFit="1" customWidth="1"/>
    <col min="13067" max="13067" width="4.85546875" bestFit="1" customWidth="1"/>
    <col min="13068" max="13068" width="6.7109375" bestFit="1" customWidth="1"/>
    <col min="13069" max="13069" width="8.5703125" bestFit="1" customWidth="1"/>
    <col min="13070" max="13070" width="27.7109375" bestFit="1" customWidth="1"/>
    <col min="13314" max="13314" width="31.140625" bestFit="1" customWidth="1"/>
    <col min="13315" max="13315" width="26" bestFit="1" customWidth="1"/>
    <col min="13316" max="13316" width="7.7109375" bestFit="1" customWidth="1"/>
    <col min="13317" max="13317" width="6.7109375" bestFit="1" customWidth="1"/>
    <col min="13318" max="13318" width="18.5703125" bestFit="1" customWidth="1"/>
    <col min="13319" max="13319" width="24.140625" bestFit="1" customWidth="1"/>
    <col min="13320" max="13322" width="5.5703125" bestFit="1" customWidth="1"/>
    <col min="13323" max="13323" width="4.85546875" bestFit="1" customWidth="1"/>
    <col min="13324" max="13324" width="6.7109375" bestFit="1" customWidth="1"/>
    <col min="13325" max="13325" width="8.5703125" bestFit="1" customWidth="1"/>
    <col min="13326" max="13326" width="27.7109375" bestFit="1" customWidth="1"/>
    <col min="13570" max="13570" width="31.140625" bestFit="1" customWidth="1"/>
    <col min="13571" max="13571" width="26" bestFit="1" customWidth="1"/>
    <col min="13572" max="13572" width="7.7109375" bestFit="1" customWidth="1"/>
    <col min="13573" max="13573" width="6.7109375" bestFit="1" customWidth="1"/>
    <col min="13574" max="13574" width="18.5703125" bestFit="1" customWidth="1"/>
    <col min="13575" max="13575" width="24.140625" bestFit="1" customWidth="1"/>
    <col min="13576" max="13578" width="5.5703125" bestFit="1" customWidth="1"/>
    <col min="13579" max="13579" width="4.85546875" bestFit="1" customWidth="1"/>
    <col min="13580" max="13580" width="6.7109375" bestFit="1" customWidth="1"/>
    <col min="13581" max="13581" width="8.5703125" bestFit="1" customWidth="1"/>
    <col min="13582" max="13582" width="27.7109375" bestFit="1" customWidth="1"/>
    <col min="13826" max="13826" width="31.140625" bestFit="1" customWidth="1"/>
    <col min="13827" max="13827" width="26" bestFit="1" customWidth="1"/>
    <col min="13828" max="13828" width="7.7109375" bestFit="1" customWidth="1"/>
    <col min="13829" max="13829" width="6.7109375" bestFit="1" customWidth="1"/>
    <col min="13830" max="13830" width="18.5703125" bestFit="1" customWidth="1"/>
    <col min="13831" max="13831" width="24.140625" bestFit="1" customWidth="1"/>
    <col min="13832" max="13834" width="5.5703125" bestFit="1" customWidth="1"/>
    <col min="13835" max="13835" width="4.85546875" bestFit="1" customWidth="1"/>
    <col min="13836" max="13836" width="6.7109375" bestFit="1" customWidth="1"/>
    <col min="13837" max="13837" width="8.5703125" bestFit="1" customWidth="1"/>
    <col min="13838" max="13838" width="27.7109375" bestFit="1" customWidth="1"/>
    <col min="14082" max="14082" width="31.140625" bestFit="1" customWidth="1"/>
    <col min="14083" max="14083" width="26" bestFit="1" customWidth="1"/>
    <col min="14084" max="14084" width="7.7109375" bestFit="1" customWidth="1"/>
    <col min="14085" max="14085" width="6.7109375" bestFit="1" customWidth="1"/>
    <col min="14086" max="14086" width="18.5703125" bestFit="1" customWidth="1"/>
    <col min="14087" max="14087" width="24.140625" bestFit="1" customWidth="1"/>
    <col min="14088" max="14090" width="5.5703125" bestFit="1" customWidth="1"/>
    <col min="14091" max="14091" width="4.85546875" bestFit="1" customWidth="1"/>
    <col min="14092" max="14092" width="6.7109375" bestFit="1" customWidth="1"/>
    <col min="14093" max="14093" width="8.5703125" bestFit="1" customWidth="1"/>
    <col min="14094" max="14094" width="27.7109375" bestFit="1" customWidth="1"/>
    <col min="14338" max="14338" width="31.140625" bestFit="1" customWidth="1"/>
    <col min="14339" max="14339" width="26" bestFit="1" customWidth="1"/>
    <col min="14340" max="14340" width="7.7109375" bestFit="1" customWidth="1"/>
    <col min="14341" max="14341" width="6.7109375" bestFit="1" customWidth="1"/>
    <col min="14342" max="14342" width="18.5703125" bestFit="1" customWidth="1"/>
    <col min="14343" max="14343" width="24.140625" bestFit="1" customWidth="1"/>
    <col min="14344" max="14346" width="5.5703125" bestFit="1" customWidth="1"/>
    <col min="14347" max="14347" width="4.85546875" bestFit="1" customWidth="1"/>
    <col min="14348" max="14348" width="6.7109375" bestFit="1" customWidth="1"/>
    <col min="14349" max="14349" width="8.5703125" bestFit="1" customWidth="1"/>
    <col min="14350" max="14350" width="27.7109375" bestFit="1" customWidth="1"/>
    <col min="14594" max="14594" width="31.140625" bestFit="1" customWidth="1"/>
    <col min="14595" max="14595" width="26" bestFit="1" customWidth="1"/>
    <col min="14596" max="14596" width="7.7109375" bestFit="1" customWidth="1"/>
    <col min="14597" max="14597" width="6.7109375" bestFit="1" customWidth="1"/>
    <col min="14598" max="14598" width="18.5703125" bestFit="1" customWidth="1"/>
    <col min="14599" max="14599" width="24.140625" bestFit="1" customWidth="1"/>
    <col min="14600" max="14602" width="5.5703125" bestFit="1" customWidth="1"/>
    <col min="14603" max="14603" width="4.85546875" bestFit="1" customWidth="1"/>
    <col min="14604" max="14604" width="6.7109375" bestFit="1" customWidth="1"/>
    <col min="14605" max="14605" width="8.5703125" bestFit="1" customWidth="1"/>
    <col min="14606" max="14606" width="27.7109375" bestFit="1" customWidth="1"/>
    <col min="14850" max="14850" width="31.140625" bestFit="1" customWidth="1"/>
    <col min="14851" max="14851" width="26" bestFit="1" customWidth="1"/>
    <col min="14852" max="14852" width="7.7109375" bestFit="1" customWidth="1"/>
    <col min="14853" max="14853" width="6.7109375" bestFit="1" customWidth="1"/>
    <col min="14854" max="14854" width="18.5703125" bestFit="1" customWidth="1"/>
    <col min="14855" max="14855" width="24.140625" bestFit="1" customWidth="1"/>
    <col min="14856" max="14858" width="5.5703125" bestFit="1" customWidth="1"/>
    <col min="14859" max="14859" width="4.85546875" bestFit="1" customWidth="1"/>
    <col min="14860" max="14860" width="6.7109375" bestFit="1" customWidth="1"/>
    <col min="14861" max="14861" width="8.5703125" bestFit="1" customWidth="1"/>
    <col min="14862" max="14862" width="27.7109375" bestFit="1" customWidth="1"/>
    <col min="15106" max="15106" width="31.140625" bestFit="1" customWidth="1"/>
    <col min="15107" max="15107" width="26" bestFit="1" customWidth="1"/>
    <col min="15108" max="15108" width="7.7109375" bestFit="1" customWidth="1"/>
    <col min="15109" max="15109" width="6.7109375" bestFit="1" customWidth="1"/>
    <col min="15110" max="15110" width="18.5703125" bestFit="1" customWidth="1"/>
    <col min="15111" max="15111" width="24.140625" bestFit="1" customWidth="1"/>
    <col min="15112" max="15114" width="5.5703125" bestFit="1" customWidth="1"/>
    <col min="15115" max="15115" width="4.85546875" bestFit="1" customWidth="1"/>
    <col min="15116" max="15116" width="6.7109375" bestFit="1" customWidth="1"/>
    <col min="15117" max="15117" width="8.5703125" bestFit="1" customWidth="1"/>
    <col min="15118" max="15118" width="27.7109375" bestFit="1" customWidth="1"/>
    <col min="15362" max="15362" width="31.140625" bestFit="1" customWidth="1"/>
    <col min="15363" max="15363" width="26" bestFit="1" customWidth="1"/>
    <col min="15364" max="15364" width="7.7109375" bestFit="1" customWidth="1"/>
    <col min="15365" max="15365" width="6.7109375" bestFit="1" customWidth="1"/>
    <col min="15366" max="15366" width="18.5703125" bestFit="1" customWidth="1"/>
    <col min="15367" max="15367" width="24.140625" bestFit="1" customWidth="1"/>
    <col min="15368" max="15370" width="5.5703125" bestFit="1" customWidth="1"/>
    <col min="15371" max="15371" width="4.85546875" bestFit="1" customWidth="1"/>
    <col min="15372" max="15372" width="6.7109375" bestFit="1" customWidth="1"/>
    <col min="15373" max="15373" width="8.5703125" bestFit="1" customWidth="1"/>
    <col min="15374" max="15374" width="27.7109375" bestFit="1" customWidth="1"/>
    <col min="15618" max="15618" width="31.140625" bestFit="1" customWidth="1"/>
    <col min="15619" max="15619" width="26" bestFit="1" customWidth="1"/>
    <col min="15620" max="15620" width="7.7109375" bestFit="1" customWidth="1"/>
    <col min="15621" max="15621" width="6.7109375" bestFit="1" customWidth="1"/>
    <col min="15622" max="15622" width="18.5703125" bestFit="1" customWidth="1"/>
    <col min="15623" max="15623" width="24.140625" bestFit="1" customWidth="1"/>
    <col min="15624" max="15626" width="5.5703125" bestFit="1" customWidth="1"/>
    <col min="15627" max="15627" width="4.85546875" bestFit="1" customWidth="1"/>
    <col min="15628" max="15628" width="6.7109375" bestFit="1" customWidth="1"/>
    <col min="15629" max="15629" width="8.5703125" bestFit="1" customWidth="1"/>
    <col min="15630" max="15630" width="27.7109375" bestFit="1" customWidth="1"/>
    <col min="15874" max="15874" width="31.140625" bestFit="1" customWidth="1"/>
    <col min="15875" max="15875" width="26" bestFit="1" customWidth="1"/>
    <col min="15876" max="15876" width="7.7109375" bestFit="1" customWidth="1"/>
    <col min="15877" max="15877" width="6.7109375" bestFit="1" customWidth="1"/>
    <col min="15878" max="15878" width="18.5703125" bestFit="1" customWidth="1"/>
    <col min="15879" max="15879" width="24.140625" bestFit="1" customWidth="1"/>
    <col min="15880" max="15882" width="5.5703125" bestFit="1" customWidth="1"/>
    <col min="15883" max="15883" width="4.85546875" bestFit="1" customWidth="1"/>
    <col min="15884" max="15884" width="6.7109375" bestFit="1" customWidth="1"/>
    <col min="15885" max="15885" width="8.5703125" bestFit="1" customWidth="1"/>
    <col min="15886" max="15886" width="27.7109375" bestFit="1" customWidth="1"/>
    <col min="16130" max="16130" width="31.140625" bestFit="1" customWidth="1"/>
    <col min="16131" max="16131" width="26" bestFit="1" customWidth="1"/>
    <col min="16132" max="16132" width="7.7109375" bestFit="1" customWidth="1"/>
    <col min="16133" max="16133" width="6.7109375" bestFit="1" customWidth="1"/>
    <col min="16134" max="16134" width="18.5703125" bestFit="1" customWidth="1"/>
    <col min="16135" max="16135" width="24.140625" bestFit="1" customWidth="1"/>
    <col min="16136" max="16138" width="5.5703125" bestFit="1" customWidth="1"/>
    <col min="16139" max="16139" width="4.85546875" bestFit="1" customWidth="1"/>
    <col min="16140" max="16140" width="6.7109375" bestFit="1" customWidth="1"/>
    <col min="16141" max="16141" width="8.5703125" bestFit="1" customWidth="1"/>
    <col min="16142" max="16142" width="27.7109375" bestFit="1" customWidth="1"/>
  </cols>
  <sheetData>
    <row r="1" spans="1:18" s="1" customFormat="1" ht="30" customHeight="1" x14ac:dyDescent="0.2">
      <c r="A1" s="295" t="s">
        <v>4023</v>
      </c>
      <c r="B1" s="295"/>
      <c r="C1" s="295"/>
      <c r="D1" s="295"/>
      <c r="E1" s="295"/>
      <c r="F1" s="295"/>
      <c r="G1" s="295"/>
      <c r="H1" s="295"/>
      <c r="I1" s="295"/>
      <c r="J1" s="295"/>
      <c r="K1" s="295"/>
      <c r="L1" s="295"/>
      <c r="M1" s="295"/>
      <c r="N1" s="295"/>
      <c r="O1" s="241"/>
      <c r="P1" s="241"/>
      <c r="Q1" s="241"/>
      <c r="R1" s="241"/>
    </row>
    <row r="2" spans="1:18" s="1" customFormat="1" ht="30" customHeight="1" x14ac:dyDescent="0.2">
      <c r="A2" s="295" t="s">
        <v>4038</v>
      </c>
      <c r="B2" s="295"/>
      <c r="C2" s="295"/>
      <c r="D2" s="295"/>
      <c r="E2" s="295"/>
      <c r="F2" s="295"/>
      <c r="G2" s="295"/>
      <c r="H2" s="295"/>
      <c r="I2" s="295"/>
      <c r="J2" s="295"/>
      <c r="K2" s="295"/>
      <c r="L2" s="295"/>
      <c r="M2" s="295"/>
      <c r="N2" s="295"/>
      <c r="O2" s="241"/>
      <c r="P2" s="241"/>
      <c r="Q2" s="241"/>
      <c r="R2" s="241"/>
    </row>
    <row r="3" spans="1:18" s="1" customFormat="1" ht="30.75" customHeight="1" thickBot="1" x14ac:dyDescent="0.25">
      <c r="A3" s="295" t="s">
        <v>3381</v>
      </c>
      <c r="B3" s="295"/>
      <c r="C3" s="295"/>
      <c r="D3" s="295"/>
      <c r="E3" s="295"/>
      <c r="F3" s="295"/>
      <c r="G3" s="295"/>
      <c r="H3" s="295"/>
      <c r="I3" s="295"/>
      <c r="J3" s="295"/>
      <c r="K3" s="295"/>
      <c r="L3" s="295"/>
      <c r="M3" s="295"/>
      <c r="N3" s="295"/>
      <c r="O3" s="241"/>
      <c r="P3" s="241"/>
      <c r="Q3" s="241"/>
      <c r="R3" s="241"/>
    </row>
    <row r="4" spans="1:18" s="5" customFormat="1" ht="12.75" customHeight="1" x14ac:dyDescent="0.2">
      <c r="A4" s="297" t="s">
        <v>719</v>
      </c>
      <c r="B4" s="300" t="s">
        <v>0</v>
      </c>
      <c r="C4" s="302" t="s">
        <v>3382</v>
      </c>
      <c r="D4" s="302" t="s">
        <v>8</v>
      </c>
      <c r="E4" s="304" t="s">
        <v>9</v>
      </c>
      <c r="F4" s="304" t="s">
        <v>1</v>
      </c>
      <c r="G4" s="305" t="s">
        <v>795</v>
      </c>
      <c r="H4" s="300" t="s">
        <v>2</v>
      </c>
      <c r="I4" s="304"/>
      <c r="J4" s="304"/>
      <c r="K4" s="307"/>
      <c r="L4" s="308" t="s">
        <v>3593</v>
      </c>
      <c r="M4" s="304" t="s">
        <v>6</v>
      </c>
      <c r="N4" s="307" t="s">
        <v>5</v>
      </c>
    </row>
    <row r="5" spans="1:18" s="5" customFormat="1" ht="23.25" customHeight="1" thickBot="1" x14ac:dyDescent="0.25">
      <c r="A5" s="298"/>
      <c r="B5" s="301"/>
      <c r="C5" s="303"/>
      <c r="D5" s="303"/>
      <c r="E5" s="303"/>
      <c r="F5" s="303"/>
      <c r="G5" s="306"/>
      <c r="H5" s="3">
        <v>1</v>
      </c>
      <c r="I5" s="2">
        <v>2</v>
      </c>
      <c r="J5" s="2">
        <v>3</v>
      </c>
      <c r="K5" s="4" t="s">
        <v>7</v>
      </c>
      <c r="L5" s="309"/>
      <c r="M5" s="303"/>
      <c r="N5" s="310"/>
    </row>
    <row r="6" spans="1:18" ht="15" x14ac:dyDescent="0.2">
      <c r="B6" s="299" t="s">
        <v>4005</v>
      </c>
      <c r="C6" s="299"/>
      <c r="D6" s="299"/>
      <c r="E6" s="299"/>
      <c r="F6" s="299"/>
      <c r="G6" s="299"/>
      <c r="H6" s="299"/>
      <c r="I6" s="299"/>
      <c r="J6" s="299"/>
      <c r="K6" s="299"/>
      <c r="L6" s="299"/>
      <c r="M6" s="299"/>
    </row>
    <row r="7" spans="1:18" x14ac:dyDescent="0.2">
      <c r="A7" s="43">
        <v>1</v>
      </c>
      <c r="B7" s="7" t="s">
        <v>2187</v>
      </c>
      <c r="C7" s="7" t="s">
        <v>2180</v>
      </c>
      <c r="D7" s="7" t="s">
        <v>64</v>
      </c>
      <c r="E7" s="7" t="str">
        <f>"2,0790"</f>
        <v>2,0790</v>
      </c>
      <c r="F7" s="7" t="s">
        <v>4020</v>
      </c>
      <c r="G7" s="7" t="s">
        <v>840</v>
      </c>
      <c r="H7" s="41" t="s">
        <v>141</v>
      </c>
      <c r="I7" s="34" t="s">
        <v>141</v>
      </c>
      <c r="J7" s="34" t="s">
        <v>142</v>
      </c>
      <c r="K7" s="20"/>
      <c r="L7" s="28">
        <v>170</v>
      </c>
      <c r="M7" s="19" t="str">
        <f>"353,4300"</f>
        <v>353,4300</v>
      </c>
      <c r="N7" s="7" t="s">
        <v>3238</v>
      </c>
    </row>
    <row r="9" spans="1:18" ht="15" x14ac:dyDescent="0.2">
      <c r="B9" s="294" t="s">
        <v>4011</v>
      </c>
      <c r="C9" s="294"/>
      <c r="D9" s="294"/>
      <c r="E9" s="294"/>
      <c r="F9" s="294"/>
      <c r="G9" s="294"/>
      <c r="H9" s="294"/>
      <c r="I9" s="294"/>
      <c r="J9" s="294"/>
      <c r="K9" s="294"/>
      <c r="L9" s="294"/>
      <c r="M9" s="294"/>
    </row>
    <row r="10" spans="1:18" x14ac:dyDescent="0.2">
      <c r="A10" s="43">
        <v>1</v>
      </c>
      <c r="B10" s="15" t="s">
        <v>2129</v>
      </c>
      <c r="C10" s="15" t="s">
        <v>2130</v>
      </c>
      <c r="D10" s="15" t="s">
        <v>470</v>
      </c>
      <c r="E10" s="15" t="str">
        <f>"0,9182"</f>
        <v>0,9182</v>
      </c>
      <c r="F10" s="15" t="s">
        <v>4020</v>
      </c>
      <c r="G10" s="15" t="s">
        <v>847</v>
      </c>
      <c r="H10" s="35" t="s">
        <v>261</v>
      </c>
      <c r="I10" s="35" t="s">
        <v>928</v>
      </c>
      <c r="J10" s="38" t="s">
        <v>16</v>
      </c>
      <c r="K10" s="22"/>
      <c r="L10" s="29">
        <v>267.5</v>
      </c>
      <c r="M10" s="21" t="str">
        <f>"245,6185"</f>
        <v>245,6185</v>
      </c>
      <c r="N10" s="15" t="s">
        <v>1061</v>
      </c>
    </row>
    <row r="11" spans="1:18" x14ac:dyDescent="0.2">
      <c r="A11" s="43">
        <v>2</v>
      </c>
      <c r="B11" s="16" t="s">
        <v>2127</v>
      </c>
      <c r="C11" s="16" t="s">
        <v>2128</v>
      </c>
      <c r="D11" s="16" t="s">
        <v>1500</v>
      </c>
      <c r="E11" s="16" t="str">
        <f>"0,9218"</f>
        <v>0,9218</v>
      </c>
      <c r="F11" s="16" t="s">
        <v>4020</v>
      </c>
      <c r="G11" s="16" t="s">
        <v>847</v>
      </c>
      <c r="H11" s="40" t="s">
        <v>261</v>
      </c>
      <c r="I11" s="36" t="s">
        <v>261</v>
      </c>
      <c r="J11" s="40" t="s">
        <v>15</v>
      </c>
      <c r="K11" s="24"/>
      <c r="L11" s="30">
        <v>255</v>
      </c>
      <c r="M11" s="23" t="str">
        <f>"235,0590"</f>
        <v>235,0590</v>
      </c>
      <c r="N11" s="16" t="s">
        <v>2188</v>
      </c>
    </row>
    <row r="12" spans="1:18" x14ac:dyDescent="0.2">
      <c r="A12" s="43">
        <v>3</v>
      </c>
      <c r="B12" s="17" t="s">
        <v>2181</v>
      </c>
      <c r="C12" s="17" t="s">
        <v>2182</v>
      </c>
      <c r="D12" s="17" t="s">
        <v>979</v>
      </c>
      <c r="E12" s="17" t="str">
        <f>"0,9250"</f>
        <v>0,9250</v>
      </c>
      <c r="F12" s="17" t="s">
        <v>4020</v>
      </c>
      <c r="G12" s="17" t="s">
        <v>847</v>
      </c>
      <c r="H12" s="37" t="s">
        <v>127</v>
      </c>
      <c r="I12" s="26"/>
      <c r="J12" s="26"/>
      <c r="K12" s="26"/>
      <c r="L12" s="31">
        <v>160</v>
      </c>
      <c r="M12" s="25" t="str">
        <f>"148,0000"</f>
        <v>148,0000</v>
      </c>
      <c r="N12" s="17" t="s">
        <v>1061</v>
      </c>
    </row>
    <row r="14" spans="1:18" ht="15" x14ac:dyDescent="0.2">
      <c r="B14" s="294" t="s">
        <v>4012</v>
      </c>
      <c r="C14" s="294"/>
      <c r="D14" s="294"/>
      <c r="E14" s="294"/>
      <c r="F14" s="294"/>
      <c r="G14" s="294"/>
      <c r="H14" s="294"/>
      <c r="I14" s="294"/>
      <c r="J14" s="294"/>
      <c r="K14" s="294"/>
      <c r="L14" s="294"/>
      <c r="M14" s="294"/>
    </row>
    <row r="15" spans="1:18" x14ac:dyDescent="0.2">
      <c r="A15" s="43">
        <v>1</v>
      </c>
      <c r="B15" s="7" t="s">
        <v>2186</v>
      </c>
      <c r="C15" s="7" t="s">
        <v>1548</v>
      </c>
      <c r="D15" s="7" t="s">
        <v>265</v>
      </c>
      <c r="E15" s="7" t="str">
        <f>"0,8850"</f>
        <v>0,8850</v>
      </c>
      <c r="F15" s="7" t="s">
        <v>4020</v>
      </c>
      <c r="G15" s="7" t="s">
        <v>835</v>
      </c>
      <c r="H15" s="41" t="s">
        <v>1021</v>
      </c>
      <c r="I15" s="34" t="s">
        <v>1021</v>
      </c>
      <c r="J15" s="34" t="s">
        <v>2108</v>
      </c>
      <c r="K15" s="20"/>
      <c r="L15" s="28">
        <v>370</v>
      </c>
      <c r="M15" s="19" t="str">
        <f>"327,4500"</f>
        <v>327,4500</v>
      </c>
      <c r="N15" s="7" t="s">
        <v>3391</v>
      </c>
    </row>
    <row r="17" spans="1:14" ht="15" x14ac:dyDescent="0.2">
      <c r="B17" s="294" t="s">
        <v>4013</v>
      </c>
      <c r="C17" s="294"/>
      <c r="D17" s="294"/>
      <c r="E17" s="294"/>
      <c r="F17" s="294"/>
      <c r="G17" s="294"/>
      <c r="H17" s="294"/>
      <c r="I17" s="294"/>
      <c r="J17" s="294"/>
      <c r="K17" s="294"/>
      <c r="L17" s="294"/>
      <c r="M17" s="294"/>
    </row>
    <row r="18" spans="1:14" x14ac:dyDescent="0.2">
      <c r="A18" s="43">
        <v>1</v>
      </c>
      <c r="B18" s="7" t="s">
        <v>1511</v>
      </c>
      <c r="C18" s="7" t="s">
        <v>213</v>
      </c>
      <c r="D18" s="7" t="s">
        <v>1504</v>
      </c>
      <c r="E18" s="7" t="str">
        <f>"0,8680"</f>
        <v>0,8680</v>
      </c>
      <c r="F18" s="7" t="s">
        <v>4020</v>
      </c>
      <c r="G18" s="7" t="s">
        <v>3235</v>
      </c>
      <c r="H18" s="41" t="s">
        <v>679</v>
      </c>
      <c r="I18" s="34" t="s">
        <v>679</v>
      </c>
      <c r="J18" s="34" t="s">
        <v>677</v>
      </c>
      <c r="K18" s="20"/>
      <c r="L18" s="28">
        <v>340</v>
      </c>
      <c r="M18" s="19" t="str">
        <f>"295,1200"</f>
        <v>295,1200</v>
      </c>
      <c r="N18" s="7" t="s">
        <v>1512</v>
      </c>
    </row>
    <row r="20" spans="1:14" ht="15" x14ac:dyDescent="0.2">
      <c r="B20" s="294" t="s">
        <v>4016</v>
      </c>
      <c r="C20" s="294"/>
      <c r="D20" s="294"/>
      <c r="E20" s="294"/>
      <c r="F20" s="294"/>
      <c r="G20" s="294"/>
      <c r="H20" s="294"/>
      <c r="I20" s="294"/>
      <c r="J20" s="294"/>
      <c r="K20" s="294"/>
      <c r="L20" s="294"/>
      <c r="M20" s="294"/>
    </row>
    <row r="21" spans="1:14" x14ac:dyDescent="0.2">
      <c r="A21" s="43">
        <v>1</v>
      </c>
      <c r="B21" s="15" t="s">
        <v>2172</v>
      </c>
      <c r="C21" s="15" t="s">
        <v>2144</v>
      </c>
      <c r="D21" s="15" t="s">
        <v>2145</v>
      </c>
      <c r="E21" s="15" t="str">
        <f>"0,8558"</f>
        <v>0,8558</v>
      </c>
      <c r="F21" s="15" t="s">
        <v>266</v>
      </c>
      <c r="G21" s="15" t="s">
        <v>3237</v>
      </c>
      <c r="H21" s="34" t="s">
        <v>2108</v>
      </c>
      <c r="I21" s="34" t="s">
        <v>2143</v>
      </c>
      <c r="J21" s="34" t="s">
        <v>2146</v>
      </c>
      <c r="K21" s="22"/>
      <c r="L21" s="29">
        <v>405</v>
      </c>
      <c r="M21" s="21" t="str">
        <f>"346,5990"</f>
        <v>346,5990</v>
      </c>
      <c r="N21" s="15" t="s">
        <v>3391</v>
      </c>
    </row>
    <row r="22" spans="1:14" x14ac:dyDescent="0.2">
      <c r="A22" s="43">
        <v>2</v>
      </c>
      <c r="B22" s="17" t="s">
        <v>2185</v>
      </c>
      <c r="C22" s="17" t="s">
        <v>2183</v>
      </c>
      <c r="D22" s="17" t="s">
        <v>2184</v>
      </c>
      <c r="E22" s="17" t="str">
        <f>"0,8570"</f>
        <v>0,8570</v>
      </c>
      <c r="F22" s="17" t="s">
        <v>856</v>
      </c>
      <c r="G22" s="17" t="s">
        <v>800</v>
      </c>
      <c r="H22" s="39" t="s">
        <v>16</v>
      </c>
      <c r="I22" s="37" t="s">
        <v>926</v>
      </c>
      <c r="J22" s="37" t="s">
        <v>644</v>
      </c>
      <c r="K22" s="26"/>
      <c r="L22" s="31">
        <v>305</v>
      </c>
      <c r="M22" s="25" t="str">
        <f>"261,3850"</f>
        <v>261,3850</v>
      </c>
      <c r="N22" s="17" t="s">
        <v>737</v>
      </c>
    </row>
    <row r="24" spans="1:14" x14ac:dyDescent="0.2">
      <c r="G24" s="6" t="s">
        <v>794</v>
      </c>
    </row>
    <row r="41" spans="7:7" x14ac:dyDescent="0.2">
      <c r="G41" s="6" t="s">
        <v>794</v>
      </c>
    </row>
  </sheetData>
  <mergeCells count="19">
    <mergeCell ref="A1:N1"/>
    <mergeCell ref="A2:N2"/>
    <mergeCell ref="A3:N3"/>
    <mergeCell ref="A4:A5"/>
    <mergeCell ref="N4:N5"/>
    <mergeCell ref="B4:B5"/>
    <mergeCell ref="C4:C5"/>
    <mergeCell ref="D4:D5"/>
    <mergeCell ref="E4:E5"/>
    <mergeCell ref="F4:F5"/>
    <mergeCell ref="G4:G5"/>
    <mergeCell ref="H4:K4"/>
    <mergeCell ref="L4:L5"/>
    <mergeCell ref="M4:M5"/>
    <mergeCell ref="B6:M6"/>
    <mergeCell ref="B9:M9"/>
    <mergeCell ref="B14:M14"/>
    <mergeCell ref="B17:M17"/>
    <mergeCell ref="B20:M20"/>
  </mergeCell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2"/>
  <sheetViews>
    <sheetView topLeftCell="A198" workbookViewId="0">
      <selection activeCell="B216" sqref="B216"/>
    </sheetView>
  </sheetViews>
  <sheetFormatPr defaultColWidth="8.7109375" defaultRowHeight="12.75" x14ac:dyDescent="0.2"/>
  <cols>
    <col min="1" max="1" width="6.85546875" style="43" bestFit="1" customWidth="1"/>
    <col min="2" max="2" width="24.7109375" style="6" customWidth="1"/>
    <col min="3" max="3" width="33.42578125" style="6" bestFit="1" customWidth="1"/>
    <col min="4" max="4" width="8.5703125" style="6" bestFit="1" customWidth="1"/>
    <col min="5" max="5" width="7.5703125" style="6" bestFit="1" customWidth="1"/>
    <col min="6" max="6" width="24.140625" style="6" bestFit="1" customWidth="1"/>
    <col min="7" max="7" width="47" style="6" bestFit="1" customWidth="1"/>
    <col min="8" max="11" width="6.42578125" style="27" bestFit="1" customWidth="1"/>
    <col min="12" max="12" width="6.42578125" style="32" bestFit="1" customWidth="1"/>
    <col min="13" max="13" width="9.85546875" style="27" bestFit="1" customWidth="1"/>
    <col min="14" max="14" width="28.28515625" style="6" bestFit="1" customWidth="1"/>
  </cols>
  <sheetData>
    <row r="1" spans="1:18" s="1" customFormat="1" ht="30" customHeight="1" x14ac:dyDescent="0.2">
      <c r="A1" s="295" t="s">
        <v>4023</v>
      </c>
      <c r="B1" s="295"/>
      <c r="C1" s="295"/>
      <c r="D1" s="295"/>
      <c r="E1" s="295"/>
      <c r="F1" s="295"/>
      <c r="G1" s="295"/>
      <c r="H1" s="295"/>
      <c r="I1" s="295"/>
      <c r="J1" s="295"/>
      <c r="K1" s="295"/>
      <c r="L1" s="295"/>
      <c r="M1" s="295"/>
      <c r="N1" s="295"/>
      <c r="O1" s="241"/>
      <c r="P1" s="241"/>
      <c r="Q1" s="241"/>
      <c r="R1" s="241"/>
    </row>
    <row r="2" spans="1:18" s="1" customFormat="1" ht="30" customHeight="1" x14ac:dyDescent="0.2">
      <c r="A2" s="295" t="s">
        <v>4039</v>
      </c>
      <c r="B2" s="295"/>
      <c r="C2" s="295"/>
      <c r="D2" s="295"/>
      <c r="E2" s="295"/>
      <c r="F2" s="295"/>
      <c r="G2" s="295"/>
      <c r="H2" s="295"/>
      <c r="I2" s="295"/>
      <c r="J2" s="295"/>
      <c r="K2" s="295"/>
      <c r="L2" s="295"/>
      <c r="M2" s="295"/>
      <c r="N2" s="295"/>
      <c r="O2" s="241"/>
      <c r="P2" s="241"/>
      <c r="Q2" s="241"/>
      <c r="R2" s="241"/>
    </row>
    <row r="3" spans="1:18" s="1" customFormat="1" ht="30.75" customHeight="1" thickBot="1" x14ac:dyDescent="0.25">
      <c r="A3" s="295" t="s">
        <v>3381</v>
      </c>
      <c r="B3" s="295"/>
      <c r="C3" s="295"/>
      <c r="D3" s="295"/>
      <c r="E3" s="295"/>
      <c r="F3" s="295"/>
      <c r="G3" s="295"/>
      <c r="H3" s="295"/>
      <c r="I3" s="295"/>
      <c r="J3" s="295"/>
      <c r="K3" s="295"/>
      <c r="L3" s="295"/>
      <c r="M3" s="295"/>
      <c r="N3" s="295"/>
      <c r="O3" s="241"/>
      <c r="P3" s="241"/>
      <c r="Q3" s="241"/>
      <c r="R3" s="241"/>
    </row>
    <row r="4" spans="1:18" s="5" customFormat="1" ht="12.75" customHeight="1" x14ac:dyDescent="0.2">
      <c r="A4" s="297" t="s">
        <v>719</v>
      </c>
      <c r="B4" s="300" t="s">
        <v>0</v>
      </c>
      <c r="C4" s="302" t="s">
        <v>3382</v>
      </c>
      <c r="D4" s="302" t="s">
        <v>8</v>
      </c>
      <c r="E4" s="304" t="s">
        <v>9</v>
      </c>
      <c r="F4" s="304" t="s">
        <v>1</v>
      </c>
      <c r="G4" s="305" t="s">
        <v>795</v>
      </c>
      <c r="H4" s="300" t="s">
        <v>3</v>
      </c>
      <c r="I4" s="304"/>
      <c r="J4" s="304"/>
      <c r="K4" s="307"/>
      <c r="L4" s="308" t="s">
        <v>3593</v>
      </c>
      <c r="M4" s="304" t="s">
        <v>6</v>
      </c>
      <c r="N4" s="307" t="s">
        <v>5</v>
      </c>
    </row>
    <row r="5" spans="1:18" s="5" customFormat="1" ht="23.25" customHeight="1" thickBot="1" x14ac:dyDescent="0.25">
      <c r="A5" s="298"/>
      <c r="B5" s="301"/>
      <c r="C5" s="303"/>
      <c r="D5" s="303"/>
      <c r="E5" s="303"/>
      <c r="F5" s="303"/>
      <c r="G5" s="306"/>
      <c r="H5" s="3">
        <v>1</v>
      </c>
      <c r="I5" s="2">
        <v>2</v>
      </c>
      <c r="J5" s="2">
        <v>3</v>
      </c>
      <c r="K5" s="4" t="s">
        <v>7</v>
      </c>
      <c r="L5" s="309"/>
      <c r="M5" s="303"/>
      <c r="N5" s="310"/>
    </row>
    <row r="6" spans="1:18" ht="15" x14ac:dyDescent="0.2">
      <c r="B6" s="299" t="s">
        <v>4018</v>
      </c>
      <c r="C6" s="299"/>
      <c r="D6" s="299"/>
      <c r="E6" s="299"/>
      <c r="F6" s="299"/>
      <c r="G6" s="299"/>
      <c r="H6" s="299"/>
      <c r="I6" s="299"/>
      <c r="J6" s="299"/>
      <c r="K6" s="299"/>
      <c r="L6" s="299"/>
      <c r="M6" s="299"/>
    </row>
    <row r="7" spans="1:18" x14ac:dyDescent="0.2">
      <c r="A7" s="43">
        <v>1</v>
      </c>
      <c r="B7" s="15" t="s">
        <v>1939</v>
      </c>
      <c r="C7" s="15" t="s">
        <v>1663</v>
      </c>
      <c r="D7" s="15" t="s">
        <v>1664</v>
      </c>
      <c r="E7" s="15" t="str">
        <f>"2,8234"</f>
        <v>2,8234</v>
      </c>
      <c r="F7" s="15" t="s">
        <v>4020</v>
      </c>
      <c r="G7" s="15" t="s">
        <v>844</v>
      </c>
      <c r="H7" s="35" t="s">
        <v>59</v>
      </c>
      <c r="I7" s="35" t="s">
        <v>93</v>
      </c>
      <c r="J7" s="38" t="s">
        <v>67</v>
      </c>
      <c r="K7" s="22"/>
      <c r="L7" s="29">
        <v>55</v>
      </c>
      <c r="M7" s="21" t="str">
        <f>"155,2870"</f>
        <v>155,2870</v>
      </c>
      <c r="N7" s="15" t="s">
        <v>2054</v>
      </c>
    </row>
    <row r="8" spans="1:18" x14ac:dyDescent="0.2">
      <c r="B8" s="16" t="s">
        <v>315</v>
      </c>
      <c r="C8" s="16" t="s">
        <v>316</v>
      </c>
      <c r="D8" s="16" t="s">
        <v>317</v>
      </c>
      <c r="E8" s="16" t="str">
        <f>"2,6810"</f>
        <v>2,6810</v>
      </c>
      <c r="F8" s="16" t="s">
        <v>4020</v>
      </c>
      <c r="G8" s="16" t="s">
        <v>796</v>
      </c>
      <c r="H8" s="40" t="s">
        <v>80</v>
      </c>
      <c r="I8" s="24"/>
      <c r="J8" s="24"/>
      <c r="K8" s="24"/>
      <c r="L8" s="47">
        <v>0</v>
      </c>
      <c r="M8" s="23" t="str">
        <f>"0,0000"</f>
        <v>0,0000</v>
      </c>
      <c r="N8" s="16" t="s">
        <v>753</v>
      </c>
    </row>
    <row r="9" spans="1:18" x14ac:dyDescent="0.2">
      <c r="A9" s="43">
        <v>1</v>
      </c>
      <c r="B9" s="17" t="s">
        <v>1950</v>
      </c>
      <c r="C9" s="17" t="s">
        <v>1665</v>
      </c>
      <c r="D9" s="17" t="s">
        <v>1666</v>
      </c>
      <c r="E9" s="17" t="str">
        <f>"2,6610"</f>
        <v>2,6610</v>
      </c>
      <c r="F9" s="17" t="s">
        <v>4020</v>
      </c>
      <c r="G9" s="17" t="s">
        <v>3280</v>
      </c>
      <c r="H9" s="39" t="s">
        <v>60</v>
      </c>
      <c r="I9" s="39" t="s">
        <v>60</v>
      </c>
      <c r="J9" s="37" t="s">
        <v>60</v>
      </c>
      <c r="K9" s="26"/>
      <c r="L9" s="31">
        <v>52.5</v>
      </c>
      <c r="M9" s="25" t="str">
        <f>"139,7025"</f>
        <v>139,7025</v>
      </c>
      <c r="N9" s="17" t="s">
        <v>2055</v>
      </c>
    </row>
    <row r="11" spans="1:18" ht="15" x14ac:dyDescent="0.2">
      <c r="B11" s="294" t="s">
        <v>4004</v>
      </c>
      <c r="C11" s="294"/>
      <c r="D11" s="294"/>
      <c r="E11" s="294"/>
      <c r="F11" s="294"/>
      <c r="G11" s="294"/>
      <c r="H11" s="294"/>
      <c r="I11" s="294"/>
      <c r="J11" s="294"/>
      <c r="K11" s="294"/>
      <c r="L11" s="294"/>
      <c r="M11" s="294"/>
    </row>
    <row r="12" spans="1:18" x14ac:dyDescent="0.2">
      <c r="A12" s="43">
        <v>1</v>
      </c>
      <c r="B12" s="15" t="s">
        <v>1940</v>
      </c>
      <c r="C12" s="15" t="s">
        <v>1667</v>
      </c>
      <c r="D12" s="15" t="s">
        <v>1668</v>
      </c>
      <c r="E12" s="15" t="str">
        <f>"2,4630"</f>
        <v>2,4630</v>
      </c>
      <c r="F12" s="15" t="s">
        <v>863</v>
      </c>
      <c r="G12" s="15" t="s">
        <v>886</v>
      </c>
      <c r="H12" s="35" t="s">
        <v>60</v>
      </c>
      <c r="I12" s="38" t="s">
        <v>93</v>
      </c>
      <c r="J12" s="38" t="s">
        <v>93</v>
      </c>
      <c r="K12" s="22"/>
      <c r="L12" s="29">
        <v>52.5</v>
      </c>
      <c r="M12" s="21" t="str">
        <f>"129,3075"</f>
        <v>129,3075</v>
      </c>
      <c r="N12" s="15" t="s">
        <v>2056</v>
      </c>
    </row>
    <row r="13" spans="1:18" x14ac:dyDescent="0.2">
      <c r="A13" s="43">
        <v>1</v>
      </c>
      <c r="B13" s="16" t="s">
        <v>56</v>
      </c>
      <c r="C13" s="16" t="s">
        <v>57</v>
      </c>
      <c r="D13" s="16" t="s">
        <v>58</v>
      </c>
      <c r="E13" s="16" t="str">
        <f>"2,4294"</f>
        <v>2,4294</v>
      </c>
      <c r="F13" s="16" t="s">
        <v>855</v>
      </c>
      <c r="G13" s="16" t="s">
        <v>840</v>
      </c>
      <c r="H13" s="36" t="s">
        <v>92</v>
      </c>
      <c r="I13" s="36" t="s">
        <v>59</v>
      </c>
      <c r="J13" s="40" t="s">
        <v>60</v>
      </c>
      <c r="K13" s="24"/>
      <c r="L13" s="30">
        <v>50</v>
      </c>
      <c r="M13" s="23" t="str">
        <f>"121,4700"</f>
        <v>121,4700</v>
      </c>
      <c r="N13" s="16" t="s">
        <v>791</v>
      </c>
    </row>
    <row r="14" spans="1:18" x14ac:dyDescent="0.2">
      <c r="A14" s="43">
        <v>1</v>
      </c>
      <c r="B14" s="17" t="s">
        <v>1964</v>
      </c>
      <c r="C14" s="17" t="s">
        <v>1669</v>
      </c>
      <c r="D14" s="17" t="s">
        <v>1670</v>
      </c>
      <c r="E14" s="17" t="str">
        <f>"2,3870"</f>
        <v>2,3870</v>
      </c>
      <c r="F14" s="17" t="s">
        <v>869</v>
      </c>
      <c r="G14" s="17" t="s">
        <v>796</v>
      </c>
      <c r="H14" s="39" t="s">
        <v>93</v>
      </c>
      <c r="I14" s="39" t="s">
        <v>93</v>
      </c>
      <c r="J14" s="37" t="s">
        <v>93</v>
      </c>
      <c r="K14" s="26"/>
      <c r="L14" s="31">
        <v>55</v>
      </c>
      <c r="M14" s="25" t="str">
        <f>"133,1230"</f>
        <v>133,1230</v>
      </c>
      <c r="N14" s="17" t="s">
        <v>2057</v>
      </c>
    </row>
    <row r="16" spans="1:18" ht="15" x14ac:dyDescent="0.2">
      <c r="B16" s="294" t="s">
        <v>4005</v>
      </c>
      <c r="C16" s="294"/>
      <c r="D16" s="294"/>
      <c r="E16" s="294"/>
      <c r="F16" s="294"/>
      <c r="G16" s="294"/>
      <c r="H16" s="294"/>
      <c r="I16" s="294"/>
      <c r="J16" s="294"/>
      <c r="K16" s="294"/>
      <c r="L16" s="294"/>
      <c r="M16" s="294"/>
    </row>
    <row r="17" spans="1:14" x14ac:dyDescent="0.2">
      <c r="A17" s="43">
        <v>1</v>
      </c>
      <c r="B17" s="15" t="s">
        <v>62</v>
      </c>
      <c r="C17" s="15" t="s">
        <v>63</v>
      </c>
      <c r="D17" s="15" t="s">
        <v>64</v>
      </c>
      <c r="E17" s="15" t="str">
        <f>"2,0790"</f>
        <v>2,0790</v>
      </c>
      <c r="F17" s="15" t="s">
        <v>4020</v>
      </c>
      <c r="G17" s="15" t="s">
        <v>833</v>
      </c>
      <c r="H17" s="35" t="s">
        <v>68</v>
      </c>
      <c r="I17" s="22"/>
      <c r="J17" s="22"/>
      <c r="K17" s="22"/>
      <c r="L17" s="29">
        <v>67.5</v>
      </c>
      <c r="M17" s="21" t="str">
        <f>"140,3325"</f>
        <v>140,3325</v>
      </c>
      <c r="N17" s="15" t="s">
        <v>783</v>
      </c>
    </row>
    <row r="18" spans="1:14" x14ac:dyDescent="0.2">
      <c r="A18" s="43">
        <v>2</v>
      </c>
      <c r="B18" s="16" t="s">
        <v>1943</v>
      </c>
      <c r="C18" s="16" t="s">
        <v>1671</v>
      </c>
      <c r="D18" s="16" t="s">
        <v>84</v>
      </c>
      <c r="E18" s="16" t="str">
        <f>"2,1488"</f>
        <v>2,1488</v>
      </c>
      <c r="F18" s="16" t="s">
        <v>4020</v>
      </c>
      <c r="G18" s="16" t="s">
        <v>845</v>
      </c>
      <c r="H18" s="40" t="s">
        <v>75</v>
      </c>
      <c r="I18" s="36" t="s">
        <v>75</v>
      </c>
      <c r="J18" s="36" t="s">
        <v>86</v>
      </c>
      <c r="K18" s="24"/>
      <c r="L18" s="30">
        <v>60</v>
      </c>
      <c r="M18" s="23" t="str">
        <f>"128,9280"</f>
        <v>128,9280</v>
      </c>
      <c r="N18" s="16" t="s">
        <v>2058</v>
      </c>
    </row>
    <row r="19" spans="1:14" x14ac:dyDescent="0.2">
      <c r="A19" s="43">
        <v>3</v>
      </c>
      <c r="B19" s="16" t="s">
        <v>72</v>
      </c>
      <c r="C19" s="16" t="s">
        <v>73</v>
      </c>
      <c r="D19" s="16" t="s">
        <v>64</v>
      </c>
      <c r="E19" s="16" t="str">
        <f>"2,0790"</f>
        <v>2,0790</v>
      </c>
      <c r="F19" s="16" t="s">
        <v>856</v>
      </c>
      <c r="G19" s="16" t="s">
        <v>800</v>
      </c>
      <c r="H19" s="36" t="s">
        <v>75</v>
      </c>
      <c r="I19" s="40" t="s">
        <v>67</v>
      </c>
      <c r="J19" s="40" t="s">
        <v>67</v>
      </c>
      <c r="K19" s="24"/>
      <c r="L19" s="30">
        <v>57.5</v>
      </c>
      <c r="M19" s="23" t="str">
        <f>"119,5425"</f>
        <v>119,5425</v>
      </c>
      <c r="N19" s="16" t="s">
        <v>789</v>
      </c>
    </row>
    <row r="20" spans="1:14" x14ac:dyDescent="0.2">
      <c r="A20" s="43">
        <v>1</v>
      </c>
      <c r="B20" s="16" t="s">
        <v>1947</v>
      </c>
      <c r="C20" s="16" t="s">
        <v>1673</v>
      </c>
      <c r="D20" s="16" t="s">
        <v>1674</v>
      </c>
      <c r="E20" s="16" t="str">
        <f>"2,0920"</f>
        <v>2,0920</v>
      </c>
      <c r="F20" s="16" t="s">
        <v>4020</v>
      </c>
      <c r="G20" s="16" t="s">
        <v>796</v>
      </c>
      <c r="H20" s="36" t="s">
        <v>68</v>
      </c>
      <c r="I20" s="36" t="s">
        <v>51</v>
      </c>
      <c r="J20" s="36" t="s">
        <v>54</v>
      </c>
      <c r="K20" s="24"/>
      <c r="L20" s="30">
        <v>72.5</v>
      </c>
      <c r="M20" s="23" t="str">
        <f>"151,6700"</f>
        <v>151,6700</v>
      </c>
      <c r="N20" s="16" t="s">
        <v>2059</v>
      </c>
    </row>
    <row r="21" spans="1:14" x14ac:dyDescent="0.2">
      <c r="A21" s="43">
        <v>2</v>
      </c>
      <c r="B21" s="16" t="s">
        <v>1956</v>
      </c>
      <c r="C21" s="16" t="s">
        <v>1675</v>
      </c>
      <c r="D21" s="16" t="s">
        <v>1676</v>
      </c>
      <c r="E21" s="16" t="str">
        <f>"2,1880"</f>
        <v>2,1880</v>
      </c>
      <c r="F21" s="16" t="s">
        <v>4020</v>
      </c>
      <c r="G21" s="16" t="s">
        <v>796</v>
      </c>
      <c r="H21" s="36" t="s">
        <v>45</v>
      </c>
      <c r="I21" s="40" t="s">
        <v>59</v>
      </c>
      <c r="J21" s="36" t="s">
        <v>59</v>
      </c>
      <c r="K21" s="24"/>
      <c r="L21" s="30">
        <v>50</v>
      </c>
      <c r="M21" s="23" t="str">
        <f>"109,4000"</f>
        <v>109,4000</v>
      </c>
      <c r="N21" s="16" t="s">
        <v>3391</v>
      </c>
    </row>
    <row r="22" spans="1:14" x14ac:dyDescent="0.2">
      <c r="A22" s="43">
        <v>3</v>
      </c>
      <c r="B22" s="16" t="s">
        <v>1677</v>
      </c>
      <c r="C22" s="16" t="s">
        <v>1678</v>
      </c>
      <c r="D22" s="16" t="s">
        <v>1679</v>
      </c>
      <c r="E22" s="16" t="str">
        <f>"2,1544"</f>
        <v>2,1544</v>
      </c>
      <c r="F22" s="16" t="s">
        <v>4020</v>
      </c>
      <c r="G22" s="16" t="s">
        <v>796</v>
      </c>
      <c r="H22" s="36" t="s">
        <v>44</v>
      </c>
      <c r="I22" s="36" t="s">
        <v>92</v>
      </c>
      <c r="J22" s="40" t="s">
        <v>59</v>
      </c>
      <c r="K22" s="24"/>
      <c r="L22" s="30">
        <v>47.5</v>
      </c>
      <c r="M22" s="23" t="str">
        <f>"102,3340"</f>
        <v>102,3340</v>
      </c>
      <c r="N22" s="16" t="s">
        <v>2060</v>
      </c>
    </row>
    <row r="23" spans="1:14" x14ac:dyDescent="0.2">
      <c r="A23" s="43">
        <v>4</v>
      </c>
      <c r="B23" s="16" t="s">
        <v>1961</v>
      </c>
      <c r="C23" s="16" t="s">
        <v>1680</v>
      </c>
      <c r="D23" s="16" t="s">
        <v>1681</v>
      </c>
      <c r="E23" s="16" t="str">
        <f>"2,0894"</f>
        <v>2,0894</v>
      </c>
      <c r="F23" s="16" t="s">
        <v>4020</v>
      </c>
      <c r="G23" s="16" t="s">
        <v>840</v>
      </c>
      <c r="H23" s="40" t="s">
        <v>44</v>
      </c>
      <c r="I23" s="36" t="s">
        <v>44</v>
      </c>
      <c r="J23" s="40" t="s">
        <v>45</v>
      </c>
      <c r="K23" s="24"/>
      <c r="L23" s="30">
        <v>42.5</v>
      </c>
      <c r="M23" s="23" t="str">
        <f>"88,7995"</f>
        <v>88,7995</v>
      </c>
      <c r="N23" s="16" t="s">
        <v>3391</v>
      </c>
    </row>
    <row r="24" spans="1:14" x14ac:dyDescent="0.2">
      <c r="A24" s="43">
        <v>5</v>
      </c>
      <c r="B24" s="16" t="s">
        <v>1962</v>
      </c>
      <c r="C24" s="16" t="s">
        <v>1682</v>
      </c>
      <c r="D24" s="16" t="s">
        <v>1683</v>
      </c>
      <c r="E24" s="16" t="str">
        <f>"2,1268"</f>
        <v>2,1268</v>
      </c>
      <c r="F24" s="16" t="s">
        <v>4020</v>
      </c>
      <c r="G24" s="16" t="s">
        <v>3281</v>
      </c>
      <c r="H24" s="36" t="s">
        <v>52</v>
      </c>
      <c r="I24" s="40" t="s">
        <v>44</v>
      </c>
      <c r="J24" s="40" t="s">
        <v>44</v>
      </c>
      <c r="K24" s="24"/>
      <c r="L24" s="30">
        <v>40</v>
      </c>
      <c r="M24" s="23" t="str">
        <f>"85,0720"</f>
        <v>85,0720</v>
      </c>
      <c r="N24" s="16" t="s">
        <v>3391</v>
      </c>
    </row>
    <row r="25" spans="1:14" x14ac:dyDescent="0.2">
      <c r="A25" s="43">
        <v>1</v>
      </c>
      <c r="B25" s="17" t="s">
        <v>1677</v>
      </c>
      <c r="C25" s="17" t="s">
        <v>1684</v>
      </c>
      <c r="D25" s="17" t="s">
        <v>1679</v>
      </c>
      <c r="E25" s="17" t="str">
        <f>"2,1544"</f>
        <v>2,1544</v>
      </c>
      <c r="F25" s="17" t="s">
        <v>4020</v>
      </c>
      <c r="G25" s="17" t="s">
        <v>796</v>
      </c>
      <c r="H25" s="37" t="s">
        <v>44</v>
      </c>
      <c r="I25" s="37" t="s">
        <v>92</v>
      </c>
      <c r="J25" s="39" t="s">
        <v>59</v>
      </c>
      <c r="K25" s="26"/>
      <c r="L25" s="31">
        <v>47.5</v>
      </c>
      <c r="M25" s="25" t="str">
        <f>"103,7667"</f>
        <v>103,7667</v>
      </c>
      <c r="N25" s="17" t="s">
        <v>2060</v>
      </c>
    </row>
    <row r="27" spans="1:14" ht="15" x14ac:dyDescent="0.2">
      <c r="B27" s="294" t="s">
        <v>4014</v>
      </c>
      <c r="C27" s="294"/>
      <c r="D27" s="294"/>
      <c r="E27" s="294"/>
      <c r="F27" s="294"/>
      <c r="G27" s="294"/>
      <c r="H27" s="294"/>
      <c r="I27" s="294"/>
      <c r="J27" s="294"/>
      <c r="K27" s="294"/>
      <c r="L27" s="294"/>
      <c r="M27" s="294"/>
    </row>
    <row r="28" spans="1:14" x14ac:dyDescent="0.2">
      <c r="A28" s="43">
        <v>1</v>
      </c>
      <c r="B28" s="15" t="s">
        <v>1941</v>
      </c>
      <c r="C28" s="15" t="s">
        <v>1685</v>
      </c>
      <c r="D28" s="15" t="s">
        <v>1686</v>
      </c>
      <c r="E28" s="15" t="str">
        <f>"1,9194"</f>
        <v>1,9194</v>
      </c>
      <c r="F28" s="15" t="s">
        <v>4020</v>
      </c>
      <c r="G28" s="15" t="s">
        <v>3282</v>
      </c>
      <c r="H28" s="35" t="s">
        <v>93</v>
      </c>
      <c r="I28" s="35" t="s">
        <v>75</v>
      </c>
      <c r="J28" s="35" t="s">
        <v>86</v>
      </c>
      <c r="K28" s="22"/>
      <c r="L28" s="29">
        <v>60</v>
      </c>
      <c r="M28" s="21" t="str">
        <f>"115,1640"</f>
        <v>115,1640</v>
      </c>
      <c r="N28" s="15" t="s">
        <v>3391</v>
      </c>
    </row>
    <row r="29" spans="1:14" x14ac:dyDescent="0.2">
      <c r="A29" s="43">
        <v>1</v>
      </c>
      <c r="B29" s="16" t="s">
        <v>1957</v>
      </c>
      <c r="C29" s="16" t="s">
        <v>1687</v>
      </c>
      <c r="D29" s="16" t="s">
        <v>558</v>
      </c>
      <c r="E29" s="16" t="str">
        <f>"1,9872"</f>
        <v>1,9872</v>
      </c>
      <c r="F29" s="16" t="s">
        <v>4020</v>
      </c>
      <c r="G29" s="16" t="s">
        <v>799</v>
      </c>
      <c r="H29" s="36" t="s">
        <v>93</v>
      </c>
      <c r="I29" s="40" t="s">
        <v>67</v>
      </c>
      <c r="J29" s="40" t="s">
        <v>67</v>
      </c>
      <c r="K29" s="24"/>
      <c r="L29" s="30">
        <v>55</v>
      </c>
      <c r="M29" s="23" t="str">
        <f>"109,2960"</f>
        <v>109,2960</v>
      </c>
      <c r="N29" s="16" t="s">
        <v>2061</v>
      </c>
    </row>
    <row r="30" spans="1:14" x14ac:dyDescent="0.2">
      <c r="A30" s="43">
        <v>2</v>
      </c>
      <c r="B30" s="16" t="s">
        <v>1958</v>
      </c>
      <c r="C30" s="16" t="s">
        <v>1688</v>
      </c>
      <c r="D30" s="16" t="s">
        <v>1689</v>
      </c>
      <c r="E30" s="16" t="str">
        <f>"1,9420"</f>
        <v>1,9420</v>
      </c>
      <c r="F30" s="16" t="s">
        <v>4020</v>
      </c>
      <c r="G30" s="16" t="s">
        <v>796</v>
      </c>
      <c r="H30" s="36" t="s">
        <v>92</v>
      </c>
      <c r="I30" s="36" t="s">
        <v>60</v>
      </c>
      <c r="J30" s="36" t="s">
        <v>93</v>
      </c>
      <c r="K30" s="24"/>
      <c r="L30" s="30">
        <v>55</v>
      </c>
      <c r="M30" s="23" t="str">
        <f>"106,8100"</f>
        <v>106,8100</v>
      </c>
      <c r="N30" s="16" t="s">
        <v>2062</v>
      </c>
    </row>
    <row r="31" spans="1:14" x14ac:dyDescent="0.2">
      <c r="A31" s="43">
        <v>3</v>
      </c>
      <c r="B31" s="17" t="s">
        <v>1959</v>
      </c>
      <c r="C31" s="17" t="s">
        <v>1690</v>
      </c>
      <c r="D31" s="17" t="s">
        <v>529</v>
      </c>
      <c r="E31" s="17" t="str">
        <f>"1,9508"</f>
        <v>1,9508</v>
      </c>
      <c r="F31" s="17" t="s">
        <v>857</v>
      </c>
      <c r="G31" s="17" t="s">
        <v>3201</v>
      </c>
      <c r="H31" s="37" t="s">
        <v>45</v>
      </c>
      <c r="I31" s="37" t="s">
        <v>92</v>
      </c>
      <c r="J31" s="37" t="s">
        <v>60</v>
      </c>
      <c r="K31" s="26"/>
      <c r="L31" s="31">
        <v>52.5</v>
      </c>
      <c r="M31" s="25" t="str">
        <f>"102,4170"</f>
        <v>102,4170</v>
      </c>
      <c r="N31" s="17" t="s">
        <v>2063</v>
      </c>
    </row>
    <row r="33" spans="1:14" ht="15" x14ac:dyDescent="0.2">
      <c r="B33" s="294" t="s">
        <v>4006</v>
      </c>
      <c r="C33" s="294"/>
      <c r="D33" s="294"/>
      <c r="E33" s="294"/>
      <c r="F33" s="294"/>
      <c r="G33" s="294"/>
      <c r="H33" s="294"/>
      <c r="I33" s="294"/>
      <c r="J33" s="294"/>
      <c r="K33" s="294"/>
      <c r="L33" s="294"/>
      <c r="M33" s="294"/>
    </row>
    <row r="34" spans="1:14" x14ac:dyDescent="0.2">
      <c r="A34" s="43">
        <v>1</v>
      </c>
      <c r="B34" s="15" t="s">
        <v>1696</v>
      </c>
      <c r="C34" s="15" t="s">
        <v>1691</v>
      </c>
      <c r="D34" s="15" t="s">
        <v>1692</v>
      </c>
      <c r="E34" s="15" t="str">
        <f>"1,7878"</f>
        <v>1,7878</v>
      </c>
      <c r="F34" s="15" t="s">
        <v>4020</v>
      </c>
      <c r="G34" s="15" t="s">
        <v>807</v>
      </c>
      <c r="H34" s="35" t="s">
        <v>65</v>
      </c>
      <c r="I34" s="35" t="s">
        <v>66</v>
      </c>
      <c r="J34" s="35" t="s">
        <v>1693</v>
      </c>
      <c r="K34" s="38" t="s">
        <v>1694</v>
      </c>
      <c r="L34" s="29">
        <v>109</v>
      </c>
      <c r="M34" s="21" t="str">
        <f>"194,8702"</f>
        <v>194,8702</v>
      </c>
      <c r="N34" s="15" t="s">
        <v>1483</v>
      </c>
    </row>
    <row r="35" spans="1:14" x14ac:dyDescent="0.2">
      <c r="A35" s="43">
        <v>1</v>
      </c>
      <c r="B35" s="16" t="s">
        <v>536</v>
      </c>
      <c r="C35" s="16" t="s">
        <v>1695</v>
      </c>
      <c r="D35" s="16" t="s">
        <v>336</v>
      </c>
      <c r="E35" s="16" t="str">
        <f>"1,8032"</f>
        <v>1,8032</v>
      </c>
      <c r="F35" s="16" t="s">
        <v>4020</v>
      </c>
      <c r="G35" s="16" t="s">
        <v>871</v>
      </c>
      <c r="H35" s="36" t="s">
        <v>41</v>
      </c>
      <c r="I35" s="36" t="s">
        <v>42</v>
      </c>
      <c r="J35" s="40" t="s">
        <v>43</v>
      </c>
      <c r="K35" s="24"/>
      <c r="L35" s="30">
        <v>80</v>
      </c>
      <c r="M35" s="23" t="str">
        <f>"144,2560"</f>
        <v>144,2560</v>
      </c>
      <c r="N35" s="16" t="s">
        <v>751</v>
      </c>
    </row>
    <row r="36" spans="1:14" x14ac:dyDescent="0.2">
      <c r="A36" s="43">
        <v>2</v>
      </c>
      <c r="B36" s="16" t="s">
        <v>1991</v>
      </c>
      <c r="C36" s="16" t="s">
        <v>1735</v>
      </c>
      <c r="D36" s="16" t="s">
        <v>1736</v>
      </c>
      <c r="E36" s="16" t="str">
        <f>"1,4820"</f>
        <v>1,4820</v>
      </c>
      <c r="F36" s="16" t="s">
        <v>4020</v>
      </c>
      <c r="G36" s="16" t="s">
        <v>796</v>
      </c>
      <c r="H36" s="36" t="s">
        <v>67</v>
      </c>
      <c r="I36" s="36" t="s">
        <v>68</v>
      </c>
      <c r="J36" s="40" t="s">
        <v>55</v>
      </c>
      <c r="K36" s="24"/>
      <c r="L36" s="30">
        <v>67.5</v>
      </c>
      <c r="M36" s="23" t="str">
        <f>"100,0350"</f>
        <v>100,0350</v>
      </c>
      <c r="N36" s="16" t="s">
        <v>2075</v>
      </c>
    </row>
    <row r="37" spans="1:14" x14ac:dyDescent="0.2">
      <c r="A37" s="43">
        <v>2</v>
      </c>
      <c r="B37" s="16" t="s">
        <v>1951</v>
      </c>
      <c r="C37" s="16" t="s">
        <v>1697</v>
      </c>
      <c r="D37" s="16" t="s">
        <v>1698</v>
      </c>
      <c r="E37" s="16" t="str">
        <f>"1,8316"</f>
        <v>1,8316</v>
      </c>
      <c r="F37" s="16" t="s">
        <v>4020</v>
      </c>
      <c r="G37" s="16" t="s">
        <v>3257</v>
      </c>
      <c r="H37" s="36" t="s">
        <v>68</v>
      </c>
      <c r="I37" s="40" t="s">
        <v>51</v>
      </c>
      <c r="J37" s="36" t="s">
        <v>51</v>
      </c>
      <c r="K37" s="24"/>
      <c r="L37" s="30">
        <v>70</v>
      </c>
      <c r="M37" s="23" t="str">
        <f>"128,2120"</f>
        <v>128,2120</v>
      </c>
      <c r="N37" s="16" t="s">
        <v>2064</v>
      </c>
    </row>
    <row r="38" spans="1:14" x14ac:dyDescent="0.2">
      <c r="A38" s="43">
        <v>3</v>
      </c>
      <c r="B38" s="16" t="s">
        <v>1952</v>
      </c>
      <c r="C38" s="16" t="s">
        <v>1699</v>
      </c>
      <c r="D38" s="16" t="s">
        <v>1592</v>
      </c>
      <c r="E38" s="16" t="str">
        <f>"1,8978"</f>
        <v>1,8978</v>
      </c>
      <c r="F38" s="16" t="s">
        <v>4020</v>
      </c>
      <c r="G38" s="16" t="s">
        <v>3187</v>
      </c>
      <c r="H38" s="36" t="s">
        <v>67</v>
      </c>
      <c r="I38" s="36" t="s">
        <v>68</v>
      </c>
      <c r="J38" s="40" t="s">
        <v>54</v>
      </c>
      <c r="K38" s="24"/>
      <c r="L38" s="30">
        <v>67.5</v>
      </c>
      <c r="M38" s="23" t="str">
        <f>"128,1015"</f>
        <v>128,1015</v>
      </c>
      <c r="N38" s="16" t="s">
        <v>2065</v>
      </c>
    </row>
    <row r="39" spans="1:14" x14ac:dyDescent="0.2">
      <c r="A39" s="43">
        <v>4</v>
      </c>
      <c r="B39" s="16" t="s">
        <v>1955</v>
      </c>
      <c r="C39" s="16" t="s">
        <v>1701</v>
      </c>
      <c r="D39" s="16" t="s">
        <v>1702</v>
      </c>
      <c r="E39" s="16" t="str">
        <f>"1,8726"</f>
        <v>1,8726</v>
      </c>
      <c r="F39" s="16" t="s">
        <v>4020</v>
      </c>
      <c r="G39" s="16" t="s">
        <v>805</v>
      </c>
      <c r="H39" s="36" t="s">
        <v>53</v>
      </c>
      <c r="I39" s="40" t="s">
        <v>68</v>
      </c>
      <c r="J39" s="40" t="s">
        <v>68</v>
      </c>
      <c r="K39" s="24"/>
      <c r="L39" s="30">
        <v>65</v>
      </c>
      <c r="M39" s="23" t="str">
        <f>"121,7190"</f>
        <v>121,7190</v>
      </c>
      <c r="N39" s="16" t="s">
        <v>2066</v>
      </c>
    </row>
    <row r="40" spans="1:14" x14ac:dyDescent="0.2">
      <c r="A40" s="43">
        <v>1</v>
      </c>
      <c r="B40" s="16" t="s">
        <v>1965</v>
      </c>
      <c r="C40" s="16" t="s">
        <v>1703</v>
      </c>
      <c r="D40" s="16" t="s">
        <v>1704</v>
      </c>
      <c r="E40" s="16" t="str">
        <f>"1,8108"</f>
        <v>1,8108</v>
      </c>
      <c r="F40" s="16" t="s">
        <v>4020</v>
      </c>
      <c r="G40" s="16" t="s">
        <v>3283</v>
      </c>
      <c r="H40" s="40" t="s">
        <v>68</v>
      </c>
      <c r="I40" s="36" t="s">
        <v>68</v>
      </c>
      <c r="J40" s="36" t="s">
        <v>54</v>
      </c>
      <c r="K40" s="24"/>
      <c r="L40" s="30">
        <v>72.5</v>
      </c>
      <c r="M40" s="23" t="str">
        <f>"131,9394"</f>
        <v>131,9394</v>
      </c>
      <c r="N40" s="16" t="s">
        <v>3391</v>
      </c>
    </row>
    <row r="41" spans="1:14" x14ac:dyDescent="0.2">
      <c r="A41" s="43">
        <v>1</v>
      </c>
      <c r="B41" s="17" t="s">
        <v>1966</v>
      </c>
      <c r="C41" s="17" t="s">
        <v>1705</v>
      </c>
      <c r="D41" s="17" t="s">
        <v>1706</v>
      </c>
      <c r="E41" s="17" t="str">
        <f>"1,8618"</f>
        <v>1,8618</v>
      </c>
      <c r="F41" s="17" t="s">
        <v>4020</v>
      </c>
      <c r="G41" s="17" t="s">
        <v>3258</v>
      </c>
      <c r="H41" s="37" t="s">
        <v>92</v>
      </c>
      <c r="I41" s="39" t="s">
        <v>60</v>
      </c>
      <c r="J41" s="39" t="s">
        <v>60</v>
      </c>
      <c r="K41" s="26"/>
      <c r="L41" s="31">
        <v>47.5</v>
      </c>
      <c r="M41" s="25" t="str">
        <f>"95,3335"</f>
        <v>95,3335</v>
      </c>
      <c r="N41" s="17" t="s">
        <v>1657</v>
      </c>
    </row>
    <row r="43" spans="1:14" ht="15" x14ac:dyDescent="0.2">
      <c r="B43" s="294" t="s">
        <v>4007</v>
      </c>
      <c r="C43" s="294"/>
      <c r="D43" s="294"/>
      <c r="E43" s="294"/>
      <c r="F43" s="294"/>
      <c r="G43" s="294"/>
      <c r="H43" s="294"/>
      <c r="I43" s="294"/>
      <c r="J43" s="294"/>
      <c r="K43" s="294"/>
      <c r="L43" s="294"/>
      <c r="M43" s="294"/>
    </row>
    <row r="44" spans="1:14" x14ac:dyDescent="0.2">
      <c r="A44" s="43">
        <v>1</v>
      </c>
      <c r="B44" s="15" t="s">
        <v>1942</v>
      </c>
      <c r="C44" s="15" t="s">
        <v>1707</v>
      </c>
      <c r="D44" s="15" t="s">
        <v>349</v>
      </c>
      <c r="E44" s="15" t="str">
        <f>"1,6900"</f>
        <v>1,6900</v>
      </c>
      <c r="F44" s="15" t="s">
        <v>4020</v>
      </c>
      <c r="G44" s="15" t="s">
        <v>3284</v>
      </c>
      <c r="H44" s="35" t="s">
        <v>59</v>
      </c>
      <c r="I44" s="35" t="s">
        <v>60</v>
      </c>
      <c r="J44" s="35" t="s">
        <v>93</v>
      </c>
      <c r="K44" s="22"/>
      <c r="L44" s="29">
        <v>55</v>
      </c>
      <c r="M44" s="21" t="str">
        <f>"92,9500"</f>
        <v>92,9500</v>
      </c>
      <c r="N44" s="15" t="s">
        <v>2067</v>
      </c>
    </row>
    <row r="45" spans="1:14" x14ac:dyDescent="0.2">
      <c r="A45" s="43">
        <v>1</v>
      </c>
      <c r="B45" s="16" t="s">
        <v>1713</v>
      </c>
      <c r="C45" s="16" t="s">
        <v>559</v>
      </c>
      <c r="D45" s="16" t="s">
        <v>1708</v>
      </c>
      <c r="E45" s="16" t="str">
        <f>"1,7400"</f>
        <v>1,7400</v>
      </c>
      <c r="F45" s="16" t="s">
        <v>855</v>
      </c>
      <c r="G45" s="16" t="s">
        <v>796</v>
      </c>
      <c r="H45" s="36" t="s">
        <v>54</v>
      </c>
      <c r="I45" s="36" t="s">
        <v>41</v>
      </c>
      <c r="J45" s="36" t="s">
        <v>55</v>
      </c>
      <c r="K45" s="24"/>
      <c r="L45" s="30">
        <v>77.5</v>
      </c>
      <c r="M45" s="23" t="str">
        <f>"134,8500"</f>
        <v>134,8500</v>
      </c>
      <c r="N45" s="16" t="s">
        <v>3391</v>
      </c>
    </row>
    <row r="46" spans="1:14" x14ac:dyDescent="0.2">
      <c r="A46" s="43">
        <v>2</v>
      </c>
      <c r="B46" s="16" t="s">
        <v>1944</v>
      </c>
      <c r="C46" s="16" t="s">
        <v>1709</v>
      </c>
      <c r="D46" s="16" t="s">
        <v>1710</v>
      </c>
      <c r="E46" s="16" t="str">
        <f>"1,7546"</f>
        <v>1,7546</v>
      </c>
      <c r="F46" s="16" t="s">
        <v>4020</v>
      </c>
      <c r="G46" s="16" t="s">
        <v>844</v>
      </c>
      <c r="H46" s="36" t="s">
        <v>60</v>
      </c>
      <c r="I46" s="36" t="s">
        <v>93</v>
      </c>
      <c r="J46" s="40" t="s">
        <v>75</v>
      </c>
      <c r="K46" s="24"/>
      <c r="L46" s="30">
        <v>55</v>
      </c>
      <c r="M46" s="23" t="str">
        <f>"96,5030"</f>
        <v>96,5030</v>
      </c>
      <c r="N46" s="16" t="s">
        <v>2054</v>
      </c>
    </row>
    <row r="47" spans="1:14" x14ac:dyDescent="0.2">
      <c r="A47" s="43">
        <v>1</v>
      </c>
      <c r="B47" s="16" t="s">
        <v>1945</v>
      </c>
      <c r="C47" s="16" t="s">
        <v>1711</v>
      </c>
      <c r="D47" s="16" t="s">
        <v>1079</v>
      </c>
      <c r="E47" s="16" t="str">
        <f>"1,7118"</f>
        <v>1,7118</v>
      </c>
      <c r="F47" s="16" t="s">
        <v>4020</v>
      </c>
      <c r="G47" s="16" t="s">
        <v>3285</v>
      </c>
      <c r="H47" s="36" t="s">
        <v>76</v>
      </c>
      <c r="I47" s="40" t="s">
        <v>97</v>
      </c>
      <c r="J47" s="40" t="s">
        <v>97</v>
      </c>
      <c r="K47" s="24"/>
      <c r="L47" s="30">
        <v>100</v>
      </c>
      <c r="M47" s="23" t="str">
        <f>"171,1800"</f>
        <v>171,1800</v>
      </c>
      <c r="N47" s="16" t="s">
        <v>2068</v>
      </c>
    </row>
    <row r="48" spans="1:14" x14ac:dyDescent="0.2">
      <c r="A48" s="43">
        <v>2</v>
      </c>
      <c r="B48" s="16" t="s">
        <v>1949</v>
      </c>
      <c r="C48" s="16" t="s">
        <v>1712</v>
      </c>
      <c r="D48" s="16" t="s">
        <v>560</v>
      </c>
      <c r="E48" s="16" t="str">
        <f>"1,6624"</f>
        <v>1,6624</v>
      </c>
      <c r="F48" s="16" t="s">
        <v>4020</v>
      </c>
      <c r="G48" s="16" t="s">
        <v>796</v>
      </c>
      <c r="H48" s="36" t="s">
        <v>85</v>
      </c>
      <c r="I48" s="40" t="s">
        <v>91</v>
      </c>
      <c r="J48" s="40" t="s">
        <v>91</v>
      </c>
      <c r="K48" s="24"/>
      <c r="L48" s="30">
        <v>87.5</v>
      </c>
      <c r="M48" s="23" t="str">
        <f>"145,4600"</f>
        <v>145,4600</v>
      </c>
      <c r="N48" s="16" t="s">
        <v>2069</v>
      </c>
    </row>
    <row r="49" spans="1:14" x14ac:dyDescent="0.2">
      <c r="A49" s="43">
        <v>3</v>
      </c>
      <c r="B49" s="16" t="s">
        <v>1713</v>
      </c>
      <c r="C49" s="16" t="s">
        <v>1714</v>
      </c>
      <c r="D49" s="16" t="s">
        <v>1708</v>
      </c>
      <c r="E49" s="16" t="str">
        <f>"1,7400"</f>
        <v>1,7400</v>
      </c>
      <c r="F49" s="16" t="s">
        <v>855</v>
      </c>
      <c r="G49" s="16" t="s">
        <v>796</v>
      </c>
      <c r="H49" s="36" t="s">
        <v>54</v>
      </c>
      <c r="I49" s="36" t="s">
        <v>41</v>
      </c>
      <c r="J49" s="36" t="s">
        <v>55</v>
      </c>
      <c r="K49" s="24"/>
      <c r="L49" s="30">
        <v>77.5</v>
      </c>
      <c r="M49" s="23" t="str">
        <f>"134,8500"</f>
        <v>134,8500</v>
      </c>
      <c r="N49" s="16" t="s">
        <v>3391</v>
      </c>
    </row>
    <row r="50" spans="1:14" x14ac:dyDescent="0.2">
      <c r="A50" s="43">
        <v>4</v>
      </c>
      <c r="B50" s="16" t="s">
        <v>1953</v>
      </c>
      <c r="C50" s="16" t="s">
        <v>1715</v>
      </c>
      <c r="D50" s="16" t="s">
        <v>1716</v>
      </c>
      <c r="E50" s="16" t="str">
        <f>"1,6486"</f>
        <v>1,6486</v>
      </c>
      <c r="F50" s="16" t="s">
        <v>4020</v>
      </c>
      <c r="G50" s="16" t="s">
        <v>3186</v>
      </c>
      <c r="H50" s="40" t="s">
        <v>51</v>
      </c>
      <c r="I50" s="36" t="s">
        <v>41</v>
      </c>
      <c r="J50" s="40" t="s">
        <v>55</v>
      </c>
      <c r="K50" s="24"/>
      <c r="L50" s="30">
        <v>75</v>
      </c>
      <c r="M50" s="23" t="str">
        <f>"123,6450"</f>
        <v>123,6450</v>
      </c>
      <c r="N50" s="16" t="s">
        <v>2070</v>
      </c>
    </row>
    <row r="51" spans="1:14" x14ac:dyDescent="0.2">
      <c r="A51" s="43">
        <v>5</v>
      </c>
      <c r="B51" s="16" t="s">
        <v>1954</v>
      </c>
      <c r="C51" s="16" t="s">
        <v>1717</v>
      </c>
      <c r="D51" s="16" t="s">
        <v>1599</v>
      </c>
      <c r="E51" s="16" t="str">
        <f>"1,6932"</f>
        <v>1,6932</v>
      </c>
      <c r="F51" s="16" t="s">
        <v>4020</v>
      </c>
      <c r="G51" s="16" t="s">
        <v>3286</v>
      </c>
      <c r="H51" s="36" t="s">
        <v>68</v>
      </c>
      <c r="I51" s="40" t="s">
        <v>54</v>
      </c>
      <c r="J51" s="36" t="s">
        <v>54</v>
      </c>
      <c r="K51" s="24"/>
      <c r="L51" s="30">
        <v>72.5</v>
      </c>
      <c r="M51" s="23" t="str">
        <f>"122,7570"</f>
        <v>122,7570</v>
      </c>
      <c r="N51" s="16" t="s">
        <v>2071</v>
      </c>
    </row>
    <row r="52" spans="1:14" x14ac:dyDescent="0.2">
      <c r="A52" s="43">
        <v>6</v>
      </c>
      <c r="B52" s="16" t="s">
        <v>1960</v>
      </c>
      <c r="C52" s="16" t="s">
        <v>1718</v>
      </c>
      <c r="D52" s="16" t="s">
        <v>122</v>
      </c>
      <c r="E52" s="16" t="str">
        <f>"1,6518"</f>
        <v>1,6518</v>
      </c>
      <c r="F52" s="16" t="s">
        <v>4020</v>
      </c>
      <c r="G52" s="16" t="s">
        <v>796</v>
      </c>
      <c r="H52" s="36" t="s">
        <v>86</v>
      </c>
      <c r="I52" s="40" t="s">
        <v>53</v>
      </c>
      <c r="J52" s="40" t="s">
        <v>53</v>
      </c>
      <c r="K52" s="24"/>
      <c r="L52" s="30">
        <v>60</v>
      </c>
      <c r="M52" s="23" t="str">
        <f>"99,1080"</f>
        <v>99,1080</v>
      </c>
      <c r="N52" s="16" t="s">
        <v>2072</v>
      </c>
    </row>
    <row r="53" spans="1:14" x14ac:dyDescent="0.2">
      <c r="A53" s="43">
        <v>7</v>
      </c>
      <c r="B53" s="17" t="s">
        <v>1963</v>
      </c>
      <c r="C53" s="17" t="s">
        <v>1719</v>
      </c>
      <c r="D53" s="17" t="s">
        <v>1081</v>
      </c>
      <c r="E53" s="17" t="str">
        <f>"1,6550"</f>
        <v>1,6550</v>
      </c>
      <c r="F53" s="17" t="s">
        <v>4020</v>
      </c>
      <c r="G53" s="17" t="s">
        <v>3281</v>
      </c>
      <c r="H53" s="37" t="s">
        <v>44</v>
      </c>
      <c r="I53" s="37" t="s">
        <v>45</v>
      </c>
      <c r="J53" s="37" t="s">
        <v>92</v>
      </c>
      <c r="K53" s="26"/>
      <c r="L53" s="31">
        <v>47.5</v>
      </c>
      <c r="M53" s="25" t="str">
        <f>"78,6125"</f>
        <v>78,6125</v>
      </c>
      <c r="N53" s="17" t="s">
        <v>1486</v>
      </c>
    </row>
    <row r="55" spans="1:14" ht="15" x14ac:dyDescent="0.2">
      <c r="B55" s="294" t="s">
        <v>4015</v>
      </c>
      <c r="C55" s="294"/>
      <c r="D55" s="294"/>
      <c r="E55" s="294"/>
      <c r="F55" s="294"/>
      <c r="G55" s="294"/>
      <c r="H55" s="294"/>
      <c r="I55" s="294"/>
      <c r="J55" s="294"/>
      <c r="K55" s="294"/>
      <c r="L55" s="294"/>
      <c r="M55" s="294"/>
    </row>
    <row r="56" spans="1:14" x14ac:dyDescent="0.2">
      <c r="A56" s="43">
        <v>1</v>
      </c>
      <c r="B56" s="7" t="s">
        <v>1720</v>
      </c>
      <c r="C56" s="7" t="s">
        <v>1721</v>
      </c>
      <c r="D56" s="7" t="s">
        <v>1722</v>
      </c>
      <c r="E56" s="7" t="str">
        <f>"1,3420"</f>
        <v>1,3420</v>
      </c>
      <c r="F56" s="7" t="s">
        <v>4020</v>
      </c>
      <c r="G56" s="7" t="s">
        <v>3228</v>
      </c>
      <c r="H56" s="34" t="s">
        <v>51</v>
      </c>
      <c r="I56" s="34" t="s">
        <v>41</v>
      </c>
      <c r="J56" s="41" t="s">
        <v>1723</v>
      </c>
      <c r="K56" s="20"/>
      <c r="L56" s="28">
        <v>75</v>
      </c>
      <c r="M56" s="19" t="str">
        <f>"100,6500"</f>
        <v>100,6500</v>
      </c>
      <c r="N56" s="7" t="s">
        <v>2073</v>
      </c>
    </row>
    <row r="58" spans="1:14" ht="15" x14ac:dyDescent="0.2">
      <c r="B58" s="294" t="s">
        <v>4005</v>
      </c>
      <c r="C58" s="294"/>
      <c r="D58" s="294"/>
      <c r="E58" s="294"/>
      <c r="F58" s="294"/>
      <c r="G58" s="294"/>
      <c r="H58" s="294"/>
      <c r="I58" s="294"/>
      <c r="J58" s="294"/>
      <c r="K58" s="294"/>
      <c r="L58" s="294"/>
      <c r="M58" s="294"/>
    </row>
    <row r="59" spans="1:14" x14ac:dyDescent="0.2">
      <c r="A59" s="43">
        <v>1</v>
      </c>
      <c r="B59" s="15" t="s">
        <v>1724</v>
      </c>
      <c r="C59" s="15" t="s">
        <v>1725</v>
      </c>
      <c r="D59" s="15" t="s">
        <v>1726</v>
      </c>
      <c r="E59" s="15" t="str">
        <f>"1,9550"</f>
        <v>1,9550</v>
      </c>
      <c r="F59" s="15" t="s">
        <v>4020</v>
      </c>
      <c r="G59" s="15" t="s">
        <v>889</v>
      </c>
      <c r="H59" s="35" t="s">
        <v>594</v>
      </c>
      <c r="I59" s="38" t="s">
        <v>80</v>
      </c>
      <c r="J59" s="38" t="s">
        <v>80</v>
      </c>
      <c r="K59" s="22"/>
      <c r="L59" s="29">
        <v>35</v>
      </c>
      <c r="M59" s="21" t="str">
        <f>"68,4250"</f>
        <v>68,4250</v>
      </c>
      <c r="N59" s="15" t="s">
        <v>2074</v>
      </c>
    </row>
    <row r="60" spans="1:14" x14ac:dyDescent="0.2">
      <c r="A60" s="43">
        <v>1</v>
      </c>
      <c r="B60" s="17" t="s">
        <v>2022</v>
      </c>
      <c r="C60" s="17" t="s">
        <v>1728</v>
      </c>
      <c r="D60" s="17" t="s">
        <v>90</v>
      </c>
      <c r="E60" s="17" t="str">
        <f>"1,8918"</f>
        <v>1,8918</v>
      </c>
      <c r="F60" s="17" t="s">
        <v>857</v>
      </c>
      <c r="G60" s="17" t="s">
        <v>3284</v>
      </c>
      <c r="H60" s="39" t="s">
        <v>42</v>
      </c>
      <c r="I60" s="37" t="s">
        <v>42</v>
      </c>
      <c r="J60" s="37" t="s">
        <v>43</v>
      </c>
      <c r="K60" s="26"/>
      <c r="L60" s="31">
        <v>82.5</v>
      </c>
      <c r="M60" s="25" t="str">
        <f>"156,0735"</f>
        <v>156,0735</v>
      </c>
      <c r="N60" s="17" t="s">
        <v>2067</v>
      </c>
    </row>
    <row r="62" spans="1:14" ht="15" x14ac:dyDescent="0.2">
      <c r="B62" s="294" t="s">
        <v>4014</v>
      </c>
      <c r="C62" s="294"/>
      <c r="D62" s="294"/>
      <c r="E62" s="294"/>
      <c r="F62" s="294"/>
      <c r="G62" s="294"/>
      <c r="H62" s="294"/>
      <c r="I62" s="294"/>
      <c r="J62" s="294"/>
      <c r="K62" s="294"/>
      <c r="L62" s="294"/>
      <c r="M62" s="294"/>
    </row>
    <row r="63" spans="1:14" x14ac:dyDescent="0.2">
      <c r="A63" s="43">
        <v>1</v>
      </c>
      <c r="B63" s="15" t="s">
        <v>1968</v>
      </c>
      <c r="C63" s="15" t="s">
        <v>1729</v>
      </c>
      <c r="D63" s="15" t="s">
        <v>582</v>
      </c>
      <c r="E63" s="15" t="str">
        <f>"1,6670"</f>
        <v>1,6670</v>
      </c>
      <c r="F63" s="15" t="s">
        <v>858</v>
      </c>
      <c r="G63" s="15" t="s">
        <v>3287</v>
      </c>
      <c r="H63" s="35" t="s">
        <v>91</v>
      </c>
      <c r="I63" s="35" t="s">
        <v>65</v>
      </c>
      <c r="J63" s="38" t="s">
        <v>66</v>
      </c>
      <c r="K63" s="22"/>
      <c r="L63" s="29">
        <v>102.5</v>
      </c>
      <c r="M63" s="21" t="str">
        <f>"170,8675"</f>
        <v>170,8675</v>
      </c>
      <c r="N63" s="15" t="s">
        <v>3391</v>
      </c>
    </row>
    <row r="64" spans="1:14" x14ac:dyDescent="0.2">
      <c r="A64" s="43">
        <v>2</v>
      </c>
      <c r="B64" s="16" t="s">
        <v>1979</v>
      </c>
      <c r="C64" s="16" t="s">
        <v>1730</v>
      </c>
      <c r="D64" s="16" t="s">
        <v>1731</v>
      </c>
      <c r="E64" s="16" t="str">
        <f>"1,7880"</f>
        <v>1,7880</v>
      </c>
      <c r="F64" s="16" t="s">
        <v>4020</v>
      </c>
      <c r="G64" s="16" t="s">
        <v>3288</v>
      </c>
      <c r="H64" s="36" t="s">
        <v>93</v>
      </c>
      <c r="I64" s="36" t="s">
        <v>67</v>
      </c>
      <c r="J64" s="40" t="s">
        <v>53</v>
      </c>
      <c r="K64" s="24"/>
      <c r="L64" s="30">
        <v>62.5</v>
      </c>
      <c r="M64" s="23" t="str">
        <f>"111,7500"</f>
        <v>111,7500</v>
      </c>
      <c r="N64" s="16" t="s">
        <v>763</v>
      </c>
    </row>
    <row r="65" spans="1:14" x14ac:dyDescent="0.2">
      <c r="A65" s="43">
        <v>1</v>
      </c>
      <c r="B65" s="17" t="s">
        <v>1976</v>
      </c>
      <c r="C65" s="17" t="s">
        <v>1732</v>
      </c>
      <c r="D65" s="17" t="s">
        <v>1686</v>
      </c>
      <c r="E65" s="17" t="str">
        <f>"1,6122"</f>
        <v>1,6122</v>
      </c>
      <c r="F65" s="17" t="s">
        <v>4020</v>
      </c>
      <c r="G65" s="17" t="s">
        <v>796</v>
      </c>
      <c r="H65" s="37" t="s">
        <v>42</v>
      </c>
      <c r="I65" s="39" t="s">
        <v>81</v>
      </c>
      <c r="J65" s="39" t="s">
        <v>81</v>
      </c>
      <c r="K65" s="26"/>
      <c r="L65" s="31">
        <v>80</v>
      </c>
      <c r="M65" s="25" t="str">
        <f>"128,9760"</f>
        <v>128,9760</v>
      </c>
      <c r="N65" s="17" t="s">
        <v>748</v>
      </c>
    </row>
    <row r="67" spans="1:14" ht="15" x14ac:dyDescent="0.2">
      <c r="B67" s="294" t="s">
        <v>4006</v>
      </c>
      <c r="C67" s="294"/>
      <c r="D67" s="294"/>
      <c r="E67" s="294"/>
      <c r="F67" s="294"/>
      <c r="G67" s="294"/>
      <c r="H67" s="294"/>
      <c r="I67" s="294"/>
      <c r="J67" s="294"/>
      <c r="K67" s="294"/>
      <c r="L67" s="294"/>
      <c r="M67" s="294"/>
    </row>
    <row r="68" spans="1:14" x14ac:dyDescent="0.2">
      <c r="A68" s="43">
        <v>1</v>
      </c>
      <c r="B68" s="15" t="s">
        <v>1974</v>
      </c>
      <c r="C68" s="15" t="s">
        <v>1734</v>
      </c>
      <c r="D68" s="15" t="s">
        <v>535</v>
      </c>
      <c r="E68" s="15" t="str">
        <f>"1,4780"</f>
        <v>1,4780</v>
      </c>
      <c r="F68" s="15" t="s">
        <v>4020</v>
      </c>
      <c r="G68" s="15" t="s">
        <v>3289</v>
      </c>
      <c r="H68" s="35" t="s">
        <v>85</v>
      </c>
      <c r="I68" s="35" t="s">
        <v>91</v>
      </c>
      <c r="J68" s="38" t="s">
        <v>61</v>
      </c>
      <c r="K68" s="22"/>
      <c r="L68" s="29">
        <v>92.5</v>
      </c>
      <c r="M68" s="21" t="str">
        <f>"136,7150"</f>
        <v>136,7150</v>
      </c>
      <c r="N68" s="15" t="s">
        <v>763</v>
      </c>
    </row>
    <row r="69" spans="1:14" x14ac:dyDescent="0.2">
      <c r="A69" s="43">
        <v>1</v>
      </c>
      <c r="B69" s="17" t="s">
        <v>2023</v>
      </c>
      <c r="C69" s="17" t="s">
        <v>1737</v>
      </c>
      <c r="D69" s="17" t="s">
        <v>332</v>
      </c>
      <c r="E69" s="17" t="str">
        <f>"1,4420"</f>
        <v>1,4420</v>
      </c>
      <c r="F69" s="17" t="s">
        <v>4020</v>
      </c>
      <c r="G69" s="17" t="s">
        <v>3286</v>
      </c>
      <c r="H69" s="37" t="s">
        <v>61</v>
      </c>
      <c r="I69" s="37" t="s">
        <v>76</v>
      </c>
      <c r="J69" s="39" t="s">
        <v>65</v>
      </c>
      <c r="K69" s="26"/>
      <c r="L69" s="31">
        <v>100</v>
      </c>
      <c r="M69" s="25" t="str">
        <f>"144,2000"</f>
        <v>144,2000</v>
      </c>
      <c r="N69" s="17" t="s">
        <v>2071</v>
      </c>
    </row>
    <row r="71" spans="1:14" ht="15" x14ac:dyDescent="0.2">
      <c r="B71" s="294" t="s">
        <v>4007</v>
      </c>
      <c r="C71" s="294"/>
      <c r="D71" s="294"/>
      <c r="E71" s="294"/>
      <c r="F71" s="294"/>
      <c r="G71" s="294"/>
      <c r="H71" s="294"/>
      <c r="I71" s="294"/>
      <c r="J71" s="294"/>
      <c r="K71" s="294"/>
      <c r="L71" s="294"/>
      <c r="M71" s="294"/>
    </row>
    <row r="72" spans="1:14" x14ac:dyDescent="0.2">
      <c r="A72" s="43">
        <v>1</v>
      </c>
      <c r="B72" s="15" t="s">
        <v>1978</v>
      </c>
      <c r="C72" s="15" t="s">
        <v>1738</v>
      </c>
      <c r="D72" s="15" t="s">
        <v>1599</v>
      </c>
      <c r="E72" s="15" t="str">
        <f>"1,3048"</f>
        <v>1,3048</v>
      </c>
      <c r="F72" s="15" t="s">
        <v>4020</v>
      </c>
      <c r="G72" s="114" t="s">
        <v>4029</v>
      </c>
      <c r="H72" s="120" t="s">
        <v>81</v>
      </c>
      <c r="I72" s="35" t="s">
        <v>46</v>
      </c>
      <c r="J72" s="132" t="s">
        <v>91</v>
      </c>
      <c r="K72" s="117"/>
      <c r="L72" s="29">
        <v>92.5</v>
      </c>
      <c r="M72" s="21" t="str">
        <f>"120,6940"</f>
        <v>120,6940</v>
      </c>
      <c r="N72" s="15" t="s">
        <v>2076</v>
      </c>
    </row>
    <row r="73" spans="1:14" x14ac:dyDescent="0.2">
      <c r="A73" s="43">
        <v>1</v>
      </c>
      <c r="B73" s="16" t="s">
        <v>1973</v>
      </c>
      <c r="C73" s="16" t="s">
        <v>1739</v>
      </c>
      <c r="D73" s="16" t="s">
        <v>1740</v>
      </c>
      <c r="E73" s="16" t="str">
        <f>"1,2640"</f>
        <v>1,2640</v>
      </c>
      <c r="F73" s="16" t="s">
        <v>4020</v>
      </c>
      <c r="G73" s="115" t="s">
        <v>796</v>
      </c>
      <c r="H73" s="123" t="s">
        <v>76</v>
      </c>
      <c r="I73" s="36" t="s">
        <v>66</v>
      </c>
      <c r="J73" s="125" t="s">
        <v>69</v>
      </c>
      <c r="K73" s="118"/>
      <c r="L73" s="30">
        <v>110</v>
      </c>
      <c r="M73" s="23" t="str">
        <f>"139,0400"</f>
        <v>139,0400</v>
      </c>
      <c r="N73" s="16" t="s">
        <v>3391</v>
      </c>
    </row>
    <row r="74" spans="1:14" x14ac:dyDescent="0.2">
      <c r="A74" s="43">
        <v>1</v>
      </c>
      <c r="B74" s="17" t="s">
        <v>383</v>
      </c>
      <c r="C74" s="17" t="s">
        <v>384</v>
      </c>
      <c r="D74" s="17" t="s">
        <v>385</v>
      </c>
      <c r="E74" s="17" t="str">
        <f>"1,2390"</f>
        <v>1,2390</v>
      </c>
      <c r="F74" s="17" t="s">
        <v>4020</v>
      </c>
      <c r="G74" s="116" t="s">
        <v>796</v>
      </c>
      <c r="H74" s="127" t="s">
        <v>76</v>
      </c>
      <c r="I74" s="37" t="s">
        <v>97</v>
      </c>
      <c r="J74" s="145" t="s">
        <v>66</v>
      </c>
      <c r="K74" s="119"/>
      <c r="L74" s="31">
        <v>105</v>
      </c>
      <c r="M74" s="25" t="str">
        <f>"191,2396"</f>
        <v>191,2396</v>
      </c>
      <c r="N74" s="17" t="s">
        <v>747</v>
      </c>
    </row>
    <row r="76" spans="1:14" ht="15" x14ac:dyDescent="0.2">
      <c r="B76" s="294" t="s">
        <v>4008</v>
      </c>
      <c r="C76" s="294"/>
      <c r="D76" s="294"/>
      <c r="E76" s="294"/>
      <c r="F76" s="294"/>
      <c r="G76" s="294"/>
      <c r="H76" s="294"/>
      <c r="I76" s="294"/>
      <c r="J76" s="294"/>
      <c r="K76" s="294"/>
      <c r="L76" s="294"/>
      <c r="M76" s="294"/>
    </row>
    <row r="77" spans="1:14" x14ac:dyDescent="0.2">
      <c r="A77" s="43">
        <v>1</v>
      </c>
      <c r="B77" s="15" t="s">
        <v>1981</v>
      </c>
      <c r="C77" s="15" t="s">
        <v>1741</v>
      </c>
      <c r="D77" s="15" t="s">
        <v>1742</v>
      </c>
      <c r="E77" s="15" t="str">
        <f>"1,1924"</f>
        <v>1,1924</v>
      </c>
      <c r="F77" s="15" t="s">
        <v>4020</v>
      </c>
      <c r="G77" s="15" t="s">
        <v>3290</v>
      </c>
      <c r="H77" s="35" t="s">
        <v>46</v>
      </c>
      <c r="I77" s="38" t="s">
        <v>61</v>
      </c>
      <c r="J77" s="38" t="s">
        <v>61</v>
      </c>
      <c r="K77" s="22"/>
      <c r="L77" s="29">
        <v>90</v>
      </c>
      <c r="M77" s="21" t="str">
        <f>"107,3160"</f>
        <v>107,3160</v>
      </c>
      <c r="N77" s="15" t="s">
        <v>763</v>
      </c>
    </row>
    <row r="78" spans="1:14" x14ac:dyDescent="0.2">
      <c r="A78" s="43">
        <v>1</v>
      </c>
      <c r="B78" s="16" t="s">
        <v>1977</v>
      </c>
      <c r="C78" s="16" t="s">
        <v>1743</v>
      </c>
      <c r="D78" s="16" t="s">
        <v>1744</v>
      </c>
      <c r="E78" s="16" t="str">
        <f>"1,1390"</f>
        <v>1,1390</v>
      </c>
      <c r="F78" s="16" t="s">
        <v>4020</v>
      </c>
      <c r="G78" s="16" t="s">
        <v>846</v>
      </c>
      <c r="H78" s="40" t="s">
        <v>66</v>
      </c>
      <c r="I78" s="40" t="s">
        <v>69</v>
      </c>
      <c r="J78" s="36" t="s">
        <v>69</v>
      </c>
      <c r="K78" s="24"/>
      <c r="L78" s="30">
        <v>110</v>
      </c>
      <c r="M78" s="23" t="str">
        <f>"125,2900"</f>
        <v>125,2900</v>
      </c>
      <c r="N78" s="16" t="s">
        <v>2077</v>
      </c>
    </row>
    <row r="79" spans="1:14" x14ac:dyDescent="0.2">
      <c r="A79" s="43">
        <v>1</v>
      </c>
      <c r="B79" s="16" t="s">
        <v>1752</v>
      </c>
      <c r="C79" s="16" t="s">
        <v>1745</v>
      </c>
      <c r="D79" s="16" t="s">
        <v>410</v>
      </c>
      <c r="E79" s="16" t="str">
        <f>"1,1194"</f>
        <v>1,1194</v>
      </c>
      <c r="F79" s="16" t="s">
        <v>14</v>
      </c>
      <c r="G79" s="16" t="s">
        <v>3279</v>
      </c>
      <c r="H79" s="36" t="s">
        <v>141</v>
      </c>
      <c r="I79" s="40" t="s">
        <v>142</v>
      </c>
      <c r="J79" s="40" t="s">
        <v>142</v>
      </c>
      <c r="K79" s="24"/>
      <c r="L79" s="30">
        <v>165</v>
      </c>
      <c r="M79" s="23" t="str">
        <f>"184,7010"</f>
        <v>184,7010</v>
      </c>
      <c r="N79" s="16" t="s">
        <v>3391</v>
      </c>
    </row>
    <row r="80" spans="1:14" x14ac:dyDescent="0.2">
      <c r="A80" s="43">
        <v>2</v>
      </c>
      <c r="B80" s="16" t="s">
        <v>1983</v>
      </c>
      <c r="C80" s="16" t="s">
        <v>1746</v>
      </c>
      <c r="D80" s="16" t="s">
        <v>403</v>
      </c>
      <c r="E80" s="16" t="str">
        <f>"1,1320"</f>
        <v>1,1320</v>
      </c>
      <c r="F80" s="16" t="s">
        <v>4020</v>
      </c>
      <c r="G80" s="16" t="s">
        <v>847</v>
      </c>
      <c r="H80" s="36" t="s">
        <v>36</v>
      </c>
      <c r="I80" s="36" t="s">
        <v>149</v>
      </c>
      <c r="J80" s="40" t="s">
        <v>141</v>
      </c>
      <c r="K80" s="24"/>
      <c r="L80" s="30">
        <v>157.5</v>
      </c>
      <c r="M80" s="23" t="str">
        <f>"178,2900"</f>
        <v>178,2900</v>
      </c>
      <c r="N80" s="16" t="s">
        <v>3391</v>
      </c>
    </row>
    <row r="81" spans="1:14" x14ac:dyDescent="0.2">
      <c r="A81" s="43">
        <v>3</v>
      </c>
      <c r="B81" s="16" t="s">
        <v>1989</v>
      </c>
      <c r="C81" s="16" t="s">
        <v>1747</v>
      </c>
      <c r="D81" s="16" t="s">
        <v>1748</v>
      </c>
      <c r="E81" s="16" t="str">
        <f>"1,1550"</f>
        <v>1,1550</v>
      </c>
      <c r="F81" s="16" t="s">
        <v>4020</v>
      </c>
      <c r="G81" s="16" t="s">
        <v>808</v>
      </c>
      <c r="H81" s="36" t="s">
        <v>169</v>
      </c>
      <c r="I81" s="40" t="s">
        <v>71</v>
      </c>
      <c r="J81" s="40" t="s">
        <v>71</v>
      </c>
      <c r="K81" s="24"/>
      <c r="L81" s="30">
        <v>117.5</v>
      </c>
      <c r="M81" s="23" t="str">
        <f>"135,7125"</f>
        <v>135,7125</v>
      </c>
      <c r="N81" s="16" t="s">
        <v>3391</v>
      </c>
    </row>
    <row r="82" spans="1:14" ht="12" customHeight="1" x14ac:dyDescent="0.2">
      <c r="A82" s="43">
        <v>4</v>
      </c>
      <c r="B82" s="16" t="s">
        <v>394</v>
      </c>
      <c r="C82" s="16" t="s">
        <v>395</v>
      </c>
      <c r="D82" s="16" t="s">
        <v>396</v>
      </c>
      <c r="E82" s="16" t="str">
        <f>"1,1748"</f>
        <v>1,1748</v>
      </c>
      <c r="F82" s="16" t="s">
        <v>492</v>
      </c>
      <c r="G82" s="16" t="s">
        <v>3278</v>
      </c>
      <c r="H82" s="36" t="s">
        <v>81</v>
      </c>
      <c r="I82" s="36" t="s">
        <v>91</v>
      </c>
      <c r="J82" s="40" t="s">
        <v>61</v>
      </c>
      <c r="K82" s="24"/>
      <c r="L82" s="30">
        <v>92.5</v>
      </c>
      <c r="M82" s="23" t="str">
        <f>"108,6690"</f>
        <v>108,6690</v>
      </c>
      <c r="N82" s="16" t="s">
        <v>3391</v>
      </c>
    </row>
    <row r="83" spans="1:14" x14ac:dyDescent="0.2">
      <c r="A83" s="43">
        <v>1</v>
      </c>
      <c r="B83" s="16" t="s">
        <v>1899</v>
      </c>
      <c r="C83" s="16" t="s">
        <v>1749</v>
      </c>
      <c r="D83" s="16" t="s">
        <v>915</v>
      </c>
      <c r="E83" s="16" t="str">
        <f>"1,1588"</f>
        <v>1,1588</v>
      </c>
      <c r="F83" s="16" t="s">
        <v>4020</v>
      </c>
      <c r="G83" s="16" t="s">
        <v>796</v>
      </c>
      <c r="H83" s="40" t="s">
        <v>156</v>
      </c>
      <c r="I83" s="36" t="s">
        <v>156</v>
      </c>
      <c r="J83" s="36" t="s">
        <v>106</v>
      </c>
      <c r="K83" s="24"/>
      <c r="L83" s="30">
        <v>185</v>
      </c>
      <c r="M83" s="23" t="str">
        <f>"214,3780"</f>
        <v>214,3780</v>
      </c>
      <c r="N83" s="16" t="s">
        <v>746</v>
      </c>
    </row>
    <row r="84" spans="1:14" x14ac:dyDescent="0.2">
      <c r="A84" s="43">
        <v>2</v>
      </c>
      <c r="B84" s="16" t="s">
        <v>1998</v>
      </c>
      <c r="C84" s="16" t="s">
        <v>1750</v>
      </c>
      <c r="D84" s="16" t="s">
        <v>355</v>
      </c>
      <c r="E84" s="16" t="str">
        <f>"1,1182"</f>
        <v>1,1182</v>
      </c>
      <c r="F84" s="16" t="s">
        <v>4020</v>
      </c>
      <c r="G84" s="16" t="s">
        <v>890</v>
      </c>
      <c r="H84" s="36" t="s">
        <v>141</v>
      </c>
      <c r="I84" s="36" t="s">
        <v>142</v>
      </c>
      <c r="J84" s="40" t="s">
        <v>239</v>
      </c>
      <c r="K84" s="24"/>
      <c r="L84" s="30">
        <v>170</v>
      </c>
      <c r="M84" s="23" t="str">
        <f>"190,0940"</f>
        <v>190,0940</v>
      </c>
      <c r="N84" s="16" t="s">
        <v>3391</v>
      </c>
    </row>
    <row r="85" spans="1:14" x14ac:dyDescent="0.2">
      <c r="A85" s="43">
        <v>3</v>
      </c>
      <c r="B85" s="16" t="s">
        <v>1265</v>
      </c>
      <c r="C85" s="16" t="s">
        <v>1751</v>
      </c>
      <c r="D85" s="16" t="s">
        <v>403</v>
      </c>
      <c r="E85" s="16" t="str">
        <f>"1,1320"</f>
        <v>1,1320</v>
      </c>
      <c r="F85" s="16" t="s">
        <v>4020</v>
      </c>
      <c r="G85" s="16" t="s">
        <v>889</v>
      </c>
      <c r="H85" s="36" t="s">
        <v>127</v>
      </c>
      <c r="I85" s="36" t="s">
        <v>141</v>
      </c>
      <c r="J85" s="40" t="s">
        <v>30</v>
      </c>
      <c r="K85" s="24"/>
      <c r="L85" s="30">
        <v>165</v>
      </c>
      <c r="M85" s="23" t="str">
        <f>"186,7800"</f>
        <v>186,7800</v>
      </c>
      <c r="N85" s="16" t="s">
        <v>3391</v>
      </c>
    </row>
    <row r="86" spans="1:14" x14ac:dyDescent="0.2">
      <c r="A86" s="43">
        <v>4</v>
      </c>
      <c r="B86" s="16" t="s">
        <v>1752</v>
      </c>
      <c r="C86" s="16" t="s">
        <v>1753</v>
      </c>
      <c r="D86" s="16" t="s">
        <v>410</v>
      </c>
      <c r="E86" s="16" t="str">
        <f>"1,1194"</f>
        <v>1,1194</v>
      </c>
      <c r="F86" s="16" t="s">
        <v>14</v>
      </c>
      <c r="G86" s="16" t="s">
        <v>3279</v>
      </c>
      <c r="H86" s="36" t="s">
        <v>141</v>
      </c>
      <c r="I86" s="40" t="s">
        <v>142</v>
      </c>
      <c r="J86" s="40" t="s">
        <v>142</v>
      </c>
      <c r="K86" s="24"/>
      <c r="L86" s="30">
        <v>165</v>
      </c>
      <c r="M86" s="23" t="str">
        <f>"184,7010"</f>
        <v>184,7010</v>
      </c>
      <c r="N86" s="16" t="s">
        <v>3391</v>
      </c>
    </row>
    <row r="87" spans="1:14" x14ac:dyDescent="0.2">
      <c r="A87" s="43">
        <v>5</v>
      </c>
      <c r="B87" s="16" t="s">
        <v>2000</v>
      </c>
      <c r="C87" s="16" t="s">
        <v>1754</v>
      </c>
      <c r="D87" s="16" t="s">
        <v>1755</v>
      </c>
      <c r="E87" s="16" t="str">
        <f>"1,1378"</f>
        <v>1,1378</v>
      </c>
      <c r="F87" s="16" t="s">
        <v>4020</v>
      </c>
      <c r="G87" s="16" t="s">
        <v>891</v>
      </c>
      <c r="H87" s="36" t="s">
        <v>36</v>
      </c>
      <c r="I87" s="36" t="s">
        <v>127</v>
      </c>
      <c r="J87" s="40" t="s">
        <v>141</v>
      </c>
      <c r="K87" s="24"/>
      <c r="L87" s="30">
        <v>160</v>
      </c>
      <c r="M87" s="23" t="str">
        <f>"182,0480"</f>
        <v>182,0480</v>
      </c>
      <c r="N87" s="16" t="s">
        <v>2078</v>
      </c>
    </row>
    <row r="88" spans="1:14" x14ac:dyDescent="0.2">
      <c r="A88" s="43">
        <v>6</v>
      </c>
      <c r="B88" s="16" t="s">
        <v>2024</v>
      </c>
      <c r="C88" s="16" t="s">
        <v>1757</v>
      </c>
      <c r="D88" s="16" t="s">
        <v>1758</v>
      </c>
      <c r="E88" s="16" t="str">
        <f>"1,1288"</f>
        <v>1,1288</v>
      </c>
      <c r="F88" s="16" t="s">
        <v>4020</v>
      </c>
      <c r="G88" s="16" t="s">
        <v>796</v>
      </c>
      <c r="H88" s="36" t="s">
        <v>116</v>
      </c>
      <c r="I88" s="36" t="s">
        <v>126</v>
      </c>
      <c r="J88" s="36" t="s">
        <v>36</v>
      </c>
      <c r="K88" s="24"/>
      <c r="L88" s="30">
        <v>150</v>
      </c>
      <c r="M88" s="23" t="str">
        <f>"169,3200"</f>
        <v>169,3200</v>
      </c>
      <c r="N88" s="16" t="s">
        <v>3391</v>
      </c>
    </row>
    <row r="89" spans="1:14" x14ac:dyDescent="0.2">
      <c r="A89" s="43">
        <v>7</v>
      </c>
      <c r="B89" s="16" t="s">
        <v>615</v>
      </c>
      <c r="C89" s="16" t="s">
        <v>616</v>
      </c>
      <c r="D89" s="16" t="s">
        <v>125</v>
      </c>
      <c r="E89" s="16" t="str">
        <f>"1,1604"</f>
        <v>1,1604</v>
      </c>
      <c r="F89" s="16" t="s">
        <v>825</v>
      </c>
      <c r="G89" s="16" t="s">
        <v>3312</v>
      </c>
      <c r="H89" s="36" t="s">
        <v>116</v>
      </c>
      <c r="I89" s="36" t="s">
        <v>126</v>
      </c>
      <c r="J89" s="40" t="s">
        <v>36</v>
      </c>
      <c r="K89" s="24"/>
      <c r="L89" s="30">
        <v>145</v>
      </c>
      <c r="M89" s="23" t="str">
        <f>"168,2580"</f>
        <v>168,2580</v>
      </c>
      <c r="N89" s="16" t="s">
        <v>3391</v>
      </c>
    </row>
    <row r="90" spans="1:14" x14ac:dyDescent="0.2">
      <c r="A90" s="43">
        <v>8</v>
      </c>
      <c r="B90" s="16" t="s">
        <v>2025</v>
      </c>
      <c r="C90" s="16" t="s">
        <v>1759</v>
      </c>
      <c r="D90" s="16" t="s">
        <v>176</v>
      </c>
      <c r="E90" s="16" t="str">
        <f>"1,1366"</f>
        <v>1,1366</v>
      </c>
      <c r="F90" s="16" t="s">
        <v>4020</v>
      </c>
      <c r="G90" s="16" t="s">
        <v>890</v>
      </c>
      <c r="H90" s="36" t="s">
        <v>116</v>
      </c>
      <c r="I90" s="36" t="s">
        <v>126</v>
      </c>
      <c r="J90" s="40" t="s">
        <v>36</v>
      </c>
      <c r="K90" s="24"/>
      <c r="L90" s="30">
        <v>145</v>
      </c>
      <c r="M90" s="23" t="str">
        <f>"164,8070"</f>
        <v>164,8070</v>
      </c>
      <c r="N90" s="16" t="s">
        <v>2079</v>
      </c>
    </row>
    <row r="91" spans="1:14" x14ac:dyDescent="0.2">
      <c r="A91" s="43">
        <v>9</v>
      </c>
      <c r="B91" s="16" t="s">
        <v>2026</v>
      </c>
      <c r="C91" s="16" t="s">
        <v>1760</v>
      </c>
      <c r="D91" s="16" t="s">
        <v>407</v>
      </c>
      <c r="E91" s="16" t="str">
        <f>"1,1438"</f>
        <v>1,1438</v>
      </c>
      <c r="F91" s="16" t="s">
        <v>862</v>
      </c>
      <c r="G91" s="16" t="s">
        <v>3292</v>
      </c>
      <c r="H91" s="40" t="s">
        <v>70</v>
      </c>
      <c r="I91" s="36" t="s">
        <v>112</v>
      </c>
      <c r="J91" s="40" t="s">
        <v>23</v>
      </c>
      <c r="K91" s="24"/>
      <c r="L91" s="30">
        <v>125</v>
      </c>
      <c r="M91" s="23" t="str">
        <f>"142,9750"</f>
        <v>142,9750</v>
      </c>
      <c r="N91" s="16" t="s">
        <v>758</v>
      </c>
    </row>
    <row r="92" spans="1:14" x14ac:dyDescent="0.2">
      <c r="A92" s="43">
        <v>1</v>
      </c>
      <c r="B92" s="16" t="s">
        <v>2027</v>
      </c>
      <c r="C92" s="16" t="s">
        <v>1761</v>
      </c>
      <c r="D92" s="16" t="s">
        <v>1762</v>
      </c>
      <c r="E92" s="16" t="str">
        <f>"1,1652"</f>
        <v>1,1652</v>
      </c>
      <c r="F92" s="16" t="s">
        <v>4020</v>
      </c>
      <c r="G92" s="16" t="s">
        <v>3291</v>
      </c>
      <c r="H92" s="36" t="s">
        <v>47</v>
      </c>
      <c r="I92" s="36" t="s">
        <v>76</v>
      </c>
      <c r="J92" s="40" t="s">
        <v>97</v>
      </c>
      <c r="K92" s="24"/>
      <c r="L92" s="30">
        <v>100</v>
      </c>
      <c r="M92" s="23" t="str">
        <f>"119,7826"</f>
        <v>119,7826</v>
      </c>
      <c r="N92" s="16" t="s">
        <v>3391</v>
      </c>
    </row>
    <row r="93" spans="1:14" x14ac:dyDescent="0.2">
      <c r="A93" s="43">
        <v>1</v>
      </c>
      <c r="B93" s="17" t="s">
        <v>2028</v>
      </c>
      <c r="C93" s="17" t="s">
        <v>1763</v>
      </c>
      <c r="D93" s="17" t="s">
        <v>1755</v>
      </c>
      <c r="E93" s="17" t="str">
        <f>"1,1378"</f>
        <v>1,1378</v>
      </c>
      <c r="F93" s="17" t="s">
        <v>4020</v>
      </c>
      <c r="G93" s="17" t="s">
        <v>3258</v>
      </c>
      <c r="H93" s="37" t="s">
        <v>158</v>
      </c>
      <c r="I93" s="39" t="s">
        <v>23</v>
      </c>
      <c r="J93" s="39" t="s">
        <v>23</v>
      </c>
      <c r="K93" s="26"/>
      <c r="L93" s="31">
        <v>127.5</v>
      </c>
      <c r="M93" s="25" t="str">
        <f>"153,7737"</f>
        <v>153,7737</v>
      </c>
      <c r="N93" s="17" t="s">
        <v>1657</v>
      </c>
    </row>
    <row r="95" spans="1:14" ht="15" x14ac:dyDescent="0.2">
      <c r="B95" s="294" t="s">
        <v>4009</v>
      </c>
      <c r="C95" s="294"/>
      <c r="D95" s="294"/>
      <c r="E95" s="294"/>
      <c r="F95" s="294"/>
      <c r="G95" s="294"/>
      <c r="H95" s="294"/>
      <c r="I95" s="294"/>
      <c r="J95" s="294"/>
      <c r="K95" s="294"/>
      <c r="L95" s="294"/>
      <c r="M95" s="294"/>
    </row>
    <row r="96" spans="1:14" x14ac:dyDescent="0.2">
      <c r="A96" s="43">
        <v>1</v>
      </c>
      <c r="B96" s="15" t="s">
        <v>1970</v>
      </c>
      <c r="C96" s="15" t="s">
        <v>1764</v>
      </c>
      <c r="D96" s="15" t="s">
        <v>1765</v>
      </c>
      <c r="E96" s="15" t="str">
        <f>"1,0720"</f>
        <v>1,0720</v>
      </c>
      <c r="F96" s="15" t="s">
        <v>4282</v>
      </c>
      <c r="G96" s="15" t="s">
        <v>796</v>
      </c>
      <c r="H96" s="35" t="s">
        <v>116</v>
      </c>
      <c r="I96" s="35" t="s">
        <v>36</v>
      </c>
      <c r="J96" s="35" t="s">
        <v>25</v>
      </c>
      <c r="K96" s="35" t="s">
        <v>149</v>
      </c>
      <c r="L96" s="29">
        <v>155</v>
      </c>
      <c r="M96" s="21" t="str">
        <f>"166,1600"</f>
        <v>166,1600</v>
      </c>
      <c r="N96" s="15" t="s">
        <v>3391</v>
      </c>
    </row>
    <row r="97" spans="1:14" x14ac:dyDescent="0.2">
      <c r="A97" s="43">
        <v>2</v>
      </c>
      <c r="B97" s="16" t="s">
        <v>1972</v>
      </c>
      <c r="C97" s="16" t="s">
        <v>1766</v>
      </c>
      <c r="D97" s="16" t="s">
        <v>426</v>
      </c>
      <c r="E97" s="16" t="str">
        <f>"1,0398"</f>
        <v>1,0398</v>
      </c>
      <c r="F97" s="16" t="s">
        <v>4020</v>
      </c>
      <c r="G97" s="16" t="s">
        <v>796</v>
      </c>
      <c r="H97" s="36" t="s">
        <v>23</v>
      </c>
      <c r="I97" s="36" t="s">
        <v>126</v>
      </c>
      <c r="J97" s="40" t="s">
        <v>25</v>
      </c>
      <c r="K97" s="24"/>
      <c r="L97" s="30">
        <v>145</v>
      </c>
      <c r="M97" s="23" t="str">
        <f>"150,7710"</f>
        <v>150,7710</v>
      </c>
      <c r="N97" s="16" t="s">
        <v>2080</v>
      </c>
    </row>
    <row r="98" spans="1:14" x14ac:dyDescent="0.2">
      <c r="A98" s="43">
        <v>1</v>
      </c>
      <c r="B98" s="16" t="s">
        <v>1988</v>
      </c>
      <c r="C98" s="16" t="s">
        <v>653</v>
      </c>
      <c r="D98" s="16" t="s">
        <v>1767</v>
      </c>
      <c r="E98" s="16" t="str">
        <f>"1,0492"</f>
        <v>1,0492</v>
      </c>
      <c r="F98" s="16" t="s">
        <v>4020</v>
      </c>
      <c r="G98" s="16" t="s">
        <v>796</v>
      </c>
      <c r="H98" s="40" t="s">
        <v>116</v>
      </c>
      <c r="I98" s="36" t="s">
        <v>126</v>
      </c>
      <c r="J98" s="40" t="s">
        <v>36</v>
      </c>
      <c r="K98" s="24"/>
      <c r="L98" s="30">
        <v>145</v>
      </c>
      <c r="M98" s="23" t="str">
        <f>"152,1340"</f>
        <v>152,1340</v>
      </c>
      <c r="N98" s="16" t="s">
        <v>3391</v>
      </c>
    </row>
    <row r="99" spans="1:14" x14ac:dyDescent="0.2">
      <c r="A99" s="43">
        <v>1</v>
      </c>
      <c r="B99" s="16" t="s">
        <v>561</v>
      </c>
      <c r="C99" s="16" t="s">
        <v>562</v>
      </c>
      <c r="D99" s="16" t="s">
        <v>563</v>
      </c>
      <c r="E99" s="16" t="str">
        <f>"1,0360"</f>
        <v>1,0360</v>
      </c>
      <c r="F99" s="16" t="s">
        <v>266</v>
      </c>
      <c r="G99" s="16" t="s">
        <v>837</v>
      </c>
      <c r="H99" s="36" t="s">
        <v>166</v>
      </c>
      <c r="I99" s="36" t="s">
        <v>225</v>
      </c>
      <c r="J99" s="36" t="s">
        <v>389</v>
      </c>
      <c r="K99" s="24"/>
      <c r="L99" s="30">
        <v>207.5</v>
      </c>
      <c r="M99" s="23" t="str">
        <f>"214,9700"</f>
        <v>214,9700</v>
      </c>
      <c r="N99" s="16" t="s">
        <v>3391</v>
      </c>
    </row>
    <row r="100" spans="1:14" x14ac:dyDescent="0.2">
      <c r="A100" s="43">
        <v>2</v>
      </c>
      <c r="B100" s="16" t="s">
        <v>1996</v>
      </c>
      <c r="C100" s="16" t="s">
        <v>1768</v>
      </c>
      <c r="D100" s="16" t="s">
        <v>545</v>
      </c>
      <c r="E100" s="16" t="str">
        <f>"1,0328"</f>
        <v>1,0328</v>
      </c>
      <c r="F100" s="16" t="s">
        <v>4020</v>
      </c>
      <c r="G100" s="16" t="s">
        <v>891</v>
      </c>
      <c r="H100" s="36" t="s">
        <v>11</v>
      </c>
      <c r="I100" s="36" t="s">
        <v>166</v>
      </c>
      <c r="J100" s="36" t="s">
        <v>140</v>
      </c>
      <c r="K100" s="24"/>
      <c r="L100" s="30">
        <v>200</v>
      </c>
      <c r="M100" s="23" t="str">
        <f>"206,5600"</f>
        <v>206,5600</v>
      </c>
      <c r="N100" s="16" t="s">
        <v>3391</v>
      </c>
    </row>
    <row r="101" spans="1:14" x14ac:dyDescent="0.2">
      <c r="A101" s="43">
        <v>3</v>
      </c>
      <c r="B101" s="16" t="s">
        <v>2029</v>
      </c>
      <c r="C101" s="16" t="s">
        <v>1769</v>
      </c>
      <c r="D101" s="16" t="s">
        <v>13</v>
      </c>
      <c r="E101" s="16" t="str">
        <f>"1,0384"</f>
        <v>1,0384</v>
      </c>
      <c r="F101" s="16" t="s">
        <v>857</v>
      </c>
      <c r="G101" s="16" t="s">
        <v>796</v>
      </c>
      <c r="H101" s="40" t="s">
        <v>126</v>
      </c>
      <c r="I101" s="36" t="s">
        <v>36</v>
      </c>
      <c r="J101" s="36" t="s">
        <v>25</v>
      </c>
      <c r="K101" s="24"/>
      <c r="L101" s="30">
        <v>155</v>
      </c>
      <c r="M101" s="23" t="str">
        <f>"160,9520"</f>
        <v>160,9520</v>
      </c>
      <c r="N101" s="16" t="s">
        <v>2081</v>
      </c>
    </row>
    <row r="102" spans="1:14" x14ac:dyDescent="0.2">
      <c r="A102" s="43">
        <v>4</v>
      </c>
      <c r="B102" s="16" t="s">
        <v>2030</v>
      </c>
      <c r="C102" s="16" t="s">
        <v>1770</v>
      </c>
      <c r="D102" s="16" t="s">
        <v>1771</v>
      </c>
      <c r="E102" s="16" t="str">
        <f>"1,0660"</f>
        <v>1,0660</v>
      </c>
      <c r="F102" s="16" t="s">
        <v>1212</v>
      </c>
      <c r="G102" s="16" t="s">
        <v>3257</v>
      </c>
      <c r="H102" s="36" t="s">
        <v>105</v>
      </c>
      <c r="I102" s="36" t="s">
        <v>126</v>
      </c>
      <c r="J102" s="40" t="s">
        <v>148</v>
      </c>
      <c r="K102" s="24"/>
      <c r="L102" s="30">
        <v>145</v>
      </c>
      <c r="M102" s="23" t="str">
        <f>"154,5700"</f>
        <v>154,5700</v>
      </c>
      <c r="N102" s="16" t="s">
        <v>3391</v>
      </c>
    </row>
    <row r="103" spans="1:14" x14ac:dyDescent="0.2">
      <c r="A103" s="43">
        <v>5</v>
      </c>
      <c r="B103" s="16" t="s">
        <v>2031</v>
      </c>
      <c r="C103" s="16" t="s">
        <v>1772</v>
      </c>
      <c r="D103" s="16" t="s">
        <v>619</v>
      </c>
      <c r="E103" s="16" t="str">
        <f>"1,0372"</f>
        <v>1,0372</v>
      </c>
      <c r="F103" s="16" t="s">
        <v>4020</v>
      </c>
      <c r="G103" s="16" t="s">
        <v>796</v>
      </c>
      <c r="H103" s="40" t="s">
        <v>126</v>
      </c>
      <c r="I103" s="36" t="s">
        <v>126</v>
      </c>
      <c r="J103" s="40" t="s">
        <v>36</v>
      </c>
      <c r="K103" s="24"/>
      <c r="L103" s="30">
        <v>145</v>
      </c>
      <c r="M103" s="23" t="str">
        <f>"150,3940"</f>
        <v>150,3940</v>
      </c>
      <c r="N103" s="16" t="s">
        <v>2082</v>
      </c>
    </row>
    <row r="104" spans="1:14" x14ac:dyDescent="0.2">
      <c r="A104" s="43">
        <v>6</v>
      </c>
      <c r="B104" s="16" t="s">
        <v>2032</v>
      </c>
      <c r="C104" s="16" t="s">
        <v>1773</v>
      </c>
      <c r="D104" s="16" t="s">
        <v>1774</v>
      </c>
      <c r="E104" s="16" t="str">
        <f>"1,0588"</f>
        <v>1,0588</v>
      </c>
      <c r="F104" s="16" t="s">
        <v>4020</v>
      </c>
      <c r="G104" s="16" t="s">
        <v>888</v>
      </c>
      <c r="H104" s="36" t="s">
        <v>23</v>
      </c>
      <c r="I104" s="40" t="s">
        <v>116</v>
      </c>
      <c r="J104" s="40" t="s">
        <v>116</v>
      </c>
      <c r="K104" s="24"/>
      <c r="L104" s="30">
        <v>135</v>
      </c>
      <c r="M104" s="23" t="str">
        <f>"142,9380"</f>
        <v>142,9380</v>
      </c>
      <c r="N104" s="16" t="s">
        <v>3391</v>
      </c>
    </row>
    <row r="105" spans="1:14" x14ac:dyDescent="0.2">
      <c r="A105" s="43">
        <v>7</v>
      </c>
      <c r="B105" s="16" t="s">
        <v>2033</v>
      </c>
      <c r="C105" s="16" t="s">
        <v>1775</v>
      </c>
      <c r="D105" s="16" t="s">
        <v>420</v>
      </c>
      <c r="E105" s="16" t="str">
        <f>"1,0356"</f>
        <v>1,0356</v>
      </c>
      <c r="F105" s="16" t="s">
        <v>4020</v>
      </c>
      <c r="G105" s="16" t="s">
        <v>796</v>
      </c>
      <c r="H105" s="36" t="s">
        <v>23</v>
      </c>
      <c r="I105" s="40" t="s">
        <v>116</v>
      </c>
      <c r="J105" s="24"/>
      <c r="K105" s="24"/>
      <c r="L105" s="30">
        <v>135</v>
      </c>
      <c r="M105" s="23" t="str">
        <f>"139,8060"</f>
        <v>139,8060</v>
      </c>
      <c r="N105" s="16" t="s">
        <v>3391</v>
      </c>
    </row>
    <row r="106" spans="1:14" x14ac:dyDescent="0.2">
      <c r="A106" s="43">
        <v>8</v>
      </c>
      <c r="B106" s="16" t="s">
        <v>1776</v>
      </c>
      <c r="C106" s="16" t="s">
        <v>1777</v>
      </c>
      <c r="D106" s="16" t="s">
        <v>619</v>
      </c>
      <c r="E106" s="16" t="str">
        <f>"1,0372"</f>
        <v>1,0372</v>
      </c>
      <c r="F106" s="16" t="s">
        <v>4020</v>
      </c>
      <c r="G106" s="16" t="s">
        <v>796</v>
      </c>
      <c r="H106" s="36" t="s">
        <v>104</v>
      </c>
      <c r="I106" s="40" t="s">
        <v>105</v>
      </c>
      <c r="J106" s="24"/>
      <c r="K106" s="24"/>
      <c r="L106" s="30">
        <v>130</v>
      </c>
      <c r="M106" s="23" t="str">
        <f>"134,8360"</f>
        <v>134,8360</v>
      </c>
      <c r="N106" s="16" t="s">
        <v>3391</v>
      </c>
    </row>
    <row r="107" spans="1:14" x14ac:dyDescent="0.2">
      <c r="A107" s="43">
        <v>9</v>
      </c>
      <c r="B107" s="16" t="s">
        <v>2034</v>
      </c>
      <c r="C107" s="16" t="s">
        <v>1778</v>
      </c>
      <c r="D107" s="16" t="s">
        <v>563</v>
      </c>
      <c r="E107" s="16" t="str">
        <f>"1,0360"</f>
        <v>1,0360</v>
      </c>
      <c r="F107" s="16" t="s">
        <v>4020</v>
      </c>
      <c r="G107" s="16" t="s">
        <v>796</v>
      </c>
      <c r="H107" s="36" t="s">
        <v>71</v>
      </c>
      <c r="I107" s="36" t="s">
        <v>158</v>
      </c>
      <c r="J107" s="40" t="s">
        <v>104</v>
      </c>
      <c r="K107" s="24"/>
      <c r="L107" s="30">
        <v>127.5</v>
      </c>
      <c r="M107" s="23" t="str">
        <f>"132,0900"</f>
        <v>132,0900</v>
      </c>
      <c r="N107" s="16" t="s">
        <v>3391</v>
      </c>
    </row>
    <row r="108" spans="1:14" x14ac:dyDescent="0.2">
      <c r="A108" s="43">
        <v>10</v>
      </c>
      <c r="B108" s="16" t="s">
        <v>430</v>
      </c>
      <c r="C108" s="16" t="s">
        <v>431</v>
      </c>
      <c r="D108" s="16" t="s">
        <v>1222</v>
      </c>
      <c r="E108" s="16" t="str">
        <f>"1,0348"</f>
        <v>1,0348</v>
      </c>
      <c r="F108" s="16" t="s">
        <v>4020</v>
      </c>
      <c r="G108" s="16" t="s">
        <v>889</v>
      </c>
      <c r="H108" s="36" t="s">
        <v>112</v>
      </c>
      <c r="I108" s="40" t="s">
        <v>104</v>
      </c>
      <c r="J108" s="40" t="s">
        <v>104</v>
      </c>
      <c r="K108" s="24"/>
      <c r="L108" s="30">
        <v>125</v>
      </c>
      <c r="M108" s="23" t="str">
        <f>"129,3500"</f>
        <v>129,3500</v>
      </c>
      <c r="N108" s="16" t="s">
        <v>769</v>
      </c>
    </row>
    <row r="109" spans="1:14" x14ac:dyDescent="0.2">
      <c r="A109" s="43">
        <v>11</v>
      </c>
      <c r="B109" s="16" t="s">
        <v>620</v>
      </c>
      <c r="C109" s="16" t="s">
        <v>621</v>
      </c>
      <c r="D109" s="16" t="s">
        <v>434</v>
      </c>
      <c r="E109" s="16" t="str">
        <f>"1,0576"</f>
        <v>1,0576</v>
      </c>
      <c r="F109" s="16" t="s">
        <v>857</v>
      </c>
      <c r="G109" s="16" t="s">
        <v>808</v>
      </c>
      <c r="H109" s="40" t="s">
        <v>66</v>
      </c>
      <c r="I109" s="36" t="s">
        <v>66</v>
      </c>
      <c r="J109" s="36" t="s">
        <v>70</v>
      </c>
      <c r="K109" s="24"/>
      <c r="L109" s="30">
        <v>115</v>
      </c>
      <c r="M109" s="23" t="str">
        <f>"121,6240"</f>
        <v>121,6240</v>
      </c>
      <c r="N109" s="16" t="s">
        <v>2081</v>
      </c>
    </row>
    <row r="110" spans="1:14" x14ac:dyDescent="0.2">
      <c r="B110" s="16" t="s">
        <v>1779</v>
      </c>
      <c r="C110" s="16" t="s">
        <v>1780</v>
      </c>
      <c r="D110" s="16" t="s">
        <v>1261</v>
      </c>
      <c r="E110" s="16" t="str">
        <f>"1,0472"</f>
        <v>1,0472</v>
      </c>
      <c r="F110" s="16" t="s">
        <v>4020</v>
      </c>
      <c r="G110" s="16" t="s">
        <v>3293</v>
      </c>
      <c r="H110" s="40" t="s">
        <v>224</v>
      </c>
      <c r="I110" s="40" t="s">
        <v>224</v>
      </c>
      <c r="J110" s="40" t="s">
        <v>224</v>
      </c>
      <c r="K110" s="24"/>
      <c r="L110" s="47">
        <v>0</v>
      </c>
      <c r="M110" s="23" t="str">
        <f>"0,0000"</f>
        <v>0,0000</v>
      </c>
      <c r="N110" s="16" t="s">
        <v>2083</v>
      </c>
    </row>
    <row r="111" spans="1:14" x14ac:dyDescent="0.2">
      <c r="A111" s="43">
        <v>1</v>
      </c>
      <c r="B111" s="16" t="s">
        <v>2035</v>
      </c>
      <c r="C111" s="16" t="s">
        <v>1781</v>
      </c>
      <c r="D111" s="16" t="s">
        <v>563</v>
      </c>
      <c r="E111" s="16" t="str">
        <f>"1,0360"</f>
        <v>1,0360</v>
      </c>
      <c r="F111" s="16" t="s">
        <v>4020</v>
      </c>
      <c r="G111" s="16" t="s">
        <v>796</v>
      </c>
      <c r="H111" s="36" t="s">
        <v>71</v>
      </c>
      <c r="I111" s="40" t="s">
        <v>158</v>
      </c>
      <c r="J111" s="36" t="s">
        <v>158</v>
      </c>
      <c r="K111" s="24"/>
      <c r="L111" s="30">
        <v>127.5</v>
      </c>
      <c r="M111" s="23" t="str">
        <f>"132,7505"</f>
        <v>132,7505</v>
      </c>
      <c r="N111" s="16" t="s">
        <v>3391</v>
      </c>
    </row>
    <row r="112" spans="1:14" x14ac:dyDescent="0.2">
      <c r="A112" s="43">
        <v>1</v>
      </c>
      <c r="B112" s="16" t="s">
        <v>2013</v>
      </c>
      <c r="C112" s="16" t="s">
        <v>1782</v>
      </c>
      <c r="D112" s="16" t="s">
        <v>1783</v>
      </c>
      <c r="E112" s="16" t="str">
        <f>"1,0480"</f>
        <v>1,0480</v>
      </c>
      <c r="F112" s="16" t="s">
        <v>4020</v>
      </c>
      <c r="G112" s="16" t="s">
        <v>839</v>
      </c>
      <c r="H112" s="40" t="s">
        <v>148</v>
      </c>
      <c r="I112" s="36" t="s">
        <v>149</v>
      </c>
      <c r="J112" s="40" t="s">
        <v>127</v>
      </c>
      <c r="K112" s="24"/>
      <c r="L112" s="30">
        <v>157.5</v>
      </c>
      <c r="M112" s="23" t="str">
        <f>"174,9636"</f>
        <v>174,9636</v>
      </c>
      <c r="N112" s="16" t="s">
        <v>3391</v>
      </c>
    </row>
    <row r="113" spans="1:14" x14ac:dyDescent="0.2">
      <c r="A113" s="43">
        <v>1</v>
      </c>
      <c r="B113" s="16" t="s">
        <v>1776</v>
      </c>
      <c r="C113" s="16" t="s">
        <v>1784</v>
      </c>
      <c r="D113" s="16" t="s">
        <v>619</v>
      </c>
      <c r="E113" s="16" t="str">
        <f>"1,0372"</f>
        <v>1,0372</v>
      </c>
      <c r="F113" s="16" t="s">
        <v>4020</v>
      </c>
      <c r="G113" s="16" t="s">
        <v>796</v>
      </c>
      <c r="H113" s="36" t="s">
        <v>104</v>
      </c>
      <c r="I113" s="40" t="s">
        <v>105</v>
      </c>
      <c r="J113" s="24"/>
      <c r="K113" s="24"/>
      <c r="L113" s="30">
        <v>130</v>
      </c>
      <c r="M113" s="23" t="str">
        <f>"157,4884"</f>
        <v>157,4884</v>
      </c>
      <c r="N113" s="16" t="s">
        <v>3391</v>
      </c>
    </row>
    <row r="114" spans="1:14" x14ac:dyDescent="0.2">
      <c r="A114" s="43">
        <v>1</v>
      </c>
      <c r="B114" s="16" t="s">
        <v>2011</v>
      </c>
      <c r="C114" s="16" t="s">
        <v>1785</v>
      </c>
      <c r="D114" s="16" t="s">
        <v>563</v>
      </c>
      <c r="E114" s="16" t="str">
        <f>"1,0360"</f>
        <v>1,0360</v>
      </c>
      <c r="F114" s="16" t="s">
        <v>4020</v>
      </c>
      <c r="G114" s="16" t="s">
        <v>3294</v>
      </c>
      <c r="H114" s="36" t="s">
        <v>112</v>
      </c>
      <c r="I114" s="36" t="s">
        <v>23</v>
      </c>
      <c r="J114" s="36" t="s">
        <v>116</v>
      </c>
      <c r="K114" s="24"/>
      <c r="L114" s="30">
        <v>140</v>
      </c>
      <c r="M114" s="23" t="str">
        <f>"184,6359"</f>
        <v>184,6359</v>
      </c>
      <c r="N114" s="16" t="s">
        <v>3391</v>
      </c>
    </row>
    <row r="115" spans="1:14" x14ac:dyDescent="0.2">
      <c r="A115" s="43">
        <v>2</v>
      </c>
      <c r="B115" s="17" t="s">
        <v>2008</v>
      </c>
      <c r="C115" s="17" t="s">
        <v>1786</v>
      </c>
      <c r="D115" s="17" t="s">
        <v>1787</v>
      </c>
      <c r="E115" s="17" t="str">
        <f>"1,0948"</f>
        <v>1,0948</v>
      </c>
      <c r="F115" s="17" t="s">
        <v>4020</v>
      </c>
      <c r="G115" s="17" t="s">
        <v>796</v>
      </c>
      <c r="H115" s="37" t="s">
        <v>165</v>
      </c>
      <c r="I115" s="37" t="s">
        <v>105</v>
      </c>
      <c r="J115" s="39" t="s">
        <v>186</v>
      </c>
      <c r="K115" s="26"/>
      <c r="L115" s="31">
        <v>137.5</v>
      </c>
      <c r="M115" s="25" t="str">
        <f>"203,2222"</f>
        <v>203,2222</v>
      </c>
      <c r="N115" s="17" t="s">
        <v>3391</v>
      </c>
    </row>
    <row r="117" spans="1:14" ht="15" x14ac:dyDescent="0.2">
      <c r="B117" s="294" t="s">
        <v>4010</v>
      </c>
      <c r="C117" s="294"/>
      <c r="D117" s="294"/>
      <c r="E117" s="294"/>
      <c r="F117" s="294"/>
      <c r="G117" s="294"/>
      <c r="H117" s="294"/>
      <c r="I117" s="294"/>
      <c r="J117" s="294"/>
      <c r="K117" s="294"/>
      <c r="L117" s="294"/>
      <c r="M117" s="294"/>
    </row>
    <row r="118" spans="1:14" x14ac:dyDescent="0.2">
      <c r="A118" s="43">
        <v>1</v>
      </c>
      <c r="B118" s="15" t="s">
        <v>1797</v>
      </c>
      <c r="C118" s="15" t="s">
        <v>1788</v>
      </c>
      <c r="D118" s="15" t="s">
        <v>1789</v>
      </c>
      <c r="E118" s="15" t="str">
        <f>"1,0166"</f>
        <v>1,0166</v>
      </c>
      <c r="F118" s="15" t="s">
        <v>4020</v>
      </c>
      <c r="G118" s="15" t="s">
        <v>3295</v>
      </c>
      <c r="H118" s="35" t="s">
        <v>25</v>
      </c>
      <c r="I118" s="35" t="s">
        <v>141</v>
      </c>
      <c r="J118" s="35" t="s">
        <v>156</v>
      </c>
      <c r="K118" s="22"/>
      <c r="L118" s="29">
        <v>175</v>
      </c>
      <c r="M118" s="21" t="str">
        <f>"177,9050"</f>
        <v>177,9050</v>
      </c>
      <c r="N118" s="15" t="s">
        <v>2084</v>
      </c>
    </row>
    <row r="119" spans="1:14" x14ac:dyDescent="0.2">
      <c r="A119" s="43">
        <v>2</v>
      </c>
      <c r="B119" s="16" t="s">
        <v>1975</v>
      </c>
      <c r="C119" s="16" t="s">
        <v>1790</v>
      </c>
      <c r="D119" s="16" t="s">
        <v>231</v>
      </c>
      <c r="E119" s="16" t="str">
        <f>"0,9870"</f>
        <v>0,9870</v>
      </c>
      <c r="F119" s="16" t="s">
        <v>4020</v>
      </c>
      <c r="G119" s="16" t="s">
        <v>3296</v>
      </c>
      <c r="H119" s="36" t="s">
        <v>112</v>
      </c>
      <c r="I119" s="36" t="s">
        <v>165</v>
      </c>
      <c r="J119" s="40" t="s">
        <v>23</v>
      </c>
      <c r="K119" s="24"/>
      <c r="L119" s="30">
        <v>132.5</v>
      </c>
      <c r="M119" s="23" t="str">
        <f>"130,7775"</f>
        <v>130,7775</v>
      </c>
      <c r="N119" s="16" t="s">
        <v>2085</v>
      </c>
    </row>
    <row r="120" spans="1:14" x14ac:dyDescent="0.2">
      <c r="A120" s="43">
        <v>1</v>
      </c>
      <c r="B120" s="16" t="s">
        <v>1987</v>
      </c>
      <c r="C120" s="16" t="s">
        <v>1791</v>
      </c>
      <c r="D120" s="16" t="s">
        <v>205</v>
      </c>
      <c r="E120" s="16" t="str">
        <f>"0,9752"</f>
        <v>0,9752</v>
      </c>
      <c r="F120" s="16" t="s">
        <v>4020</v>
      </c>
      <c r="G120" s="16" t="s">
        <v>796</v>
      </c>
      <c r="H120" s="36" t="s">
        <v>36</v>
      </c>
      <c r="I120" s="40" t="s">
        <v>25</v>
      </c>
      <c r="J120" s="36" t="s">
        <v>149</v>
      </c>
      <c r="K120" s="24"/>
      <c r="L120" s="30">
        <v>157.5</v>
      </c>
      <c r="M120" s="23" t="str">
        <f>"153,5940"</f>
        <v>153,5940</v>
      </c>
      <c r="N120" s="16" t="s">
        <v>3391</v>
      </c>
    </row>
    <row r="121" spans="1:14" x14ac:dyDescent="0.2">
      <c r="A121" s="43">
        <v>2</v>
      </c>
      <c r="B121" s="16" t="s">
        <v>209</v>
      </c>
      <c r="C121" s="16" t="s">
        <v>210</v>
      </c>
      <c r="D121" s="16" t="s">
        <v>211</v>
      </c>
      <c r="E121" s="16" t="str">
        <f>"0,9964"</f>
        <v>0,9964</v>
      </c>
      <c r="F121" s="16" t="s">
        <v>851</v>
      </c>
      <c r="G121" s="16" t="s">
        <v>3277</v>
      </c>
      <c r="H121" s="36" t="s">
        <v>36</v>
      </c>
      <c r="I121" s="36" t="s">
        <v>25</v>
      </c>
      <c r="J121" s="40" t="s">
        <v>149</v>
      </c>
      <c r="K121" s="24"/>
      <c r="L121" s="30">
        <v>155</v>
      </c>
      <c r="M121" s="23" t="str">
        <f>"154,4420"</f>
        <v>154,4420</v>
      </c>
      <c r="N121" s="16" t="s">
        <v>3375</v>
      </c>
    </row>
    <row r="122" spans="1:14" x14ac:dyDescent="0.2">
      <c r="A122" s="43">
        <v>3</v>
      </c>
      <c r="B122" s="16" t="s">
        <v>1990</v>
      </c>
      <c r="C122" s="16" t="s">
        <v>1792</v>
      </c>
      <c r="D122" s="16" t="s">
        <v>564</v>
      </c>
      <c r="E122" s="16" t="str">
        <f>"0,9704"</f>
        <v>0,9704</v>
      </c>
      <c r="F122" s="16" t="s">
        <v>858</v>
      </c>
      <c r="G122" s="16" t="s">
        <v>804</v>
      </c>
      <c r="H122" s="36" t="s">
        <v>158</v>
      </c>
      <c r="I122" s="40" t="s">
        <v>165</v>
      </c>
      <c r="J122" s="40" t="s">
        <v>165</v>
      </c>
      <c r="K122" s="24"/>
      <c r="L122" s="30">
        <v>127.5</v>
      </c>
      <c r="M122" s="23" t="str">
        <f>"123,7260"</f>
        <v>123,7260</v>
      </c>
      <c r="N122" s="16" t="s">
        <v>1793</v>
      </c>
    </row>
    <row r="123" spans="1:14" x14ac:dyDescent="0.2">
      <c r="A123" s="43">
        <v>1</v>
      </c>
      <c r="B123" s="16" t="s">
        <v>1096</v>
      </c>
      <c r="C123" s="16" t="s">
        <v>1097</v>
      </c>
      <c r="D123" s="16" t="s">
        <v>10</v>
      </c>
      <c r="E123" s="16" t="str">
        <f>"0,9736"</f>
        <v>0,9736</v>
      </c>
      <c r="F123" s="16" t="s">
        <v>854</v>
      </c>
      <c r="G123" s="16" t="s">
        <v>796</v>
      </c>
      <c r="H123" s="36" t="s">
        <v>156</v>
      </c>
      <c r="I123" s="36" t="s">
        <v>106</v>
      </c>
      <c r="J123" s="36" t="s">
        <v>224</v>
      </c>
      <c r="K123" s="24"/>
      <c r="L123" s="30">
        <v>192.5</v>
      </c>
      <c r="M123" s="23" t="str">
        <f>"187,4180"</f>
        <v>187,4180</v>
      </c>
      <c r="N123" s="16" t="s">
        <v>744</v>
      </c>
    </row>
    <row r="124" spans="1:14" x14ac:dyDescent="0.2">
      <c r="A124" s="43">
        <v>2</v>
      </c>
      <c r="B124" s="16" t="s">
        <v>458</v>
      </c>
      <c r="C124" s="16" t="s">
        <v>459</v>
      </c>
      <c r="D124" s="16" t="s">
        <v>460</v>
      </c>
      <c r="E124" s="16" t="str">
        <f>"0,9846"</f>
        <v>0,9846</v>
      </c>
      <c r="F124" s="16" t="s">
        <v>492</v>
      </c>
      <c r="G124" s="16" t="s">
        <v>819</v>
      </c>
      <c r="H124" s="36" t="s">
        <v>107</v>
      </c>
      <c r="I124" s="24"/>
      <c r="J124" s="24"/>
      <c r="K124" s="24"/>
      <c r="L124" s="30">
        <v>190</v>
      </c>
      <c r="M124" s="23" t="str">
        <f>"187,0740"</f>
        <v>187,0740</v>
      </c>
      <c r="N124" s="16" t="s">
        <v>3391</v>
      </c>
    </row>
    <row r="125" spans="1:14" x14ac:dyDescent="0.2">
      <c r="A125" s="43">
        <v>3</v>
      </c>
      <c r="B125" s="16" t="s">
        <v>1819</v>
      </c>
      <c r="C125" s="16" t="s">
        <v>1794</v>
      </c>
      <c r="D125" s="16" t="s">
        <v>1795</v>
      </c>
      <c r="E125" s="16" t="str">
        <f>"0,9712"</f>
        <v>0,9712</v>
      </c>
      <c r="F125" s="16" t="s">
        <v>4020</v>
      </c>
      <c r="G125" s="16" t="s">
        <v>840</v>
      </c>
      <c r="H125" s="36" t="s">
        <v>156</v>
      </c>
      <c r="I125" s="36" t="s">
        <v>11</v>
      </c>
      <c r="J125" s="36" t="s">
        <v>206</v>
      </c>
      <c r="K125" s="24"/>
      <c r="L125" s="30">
        <v>182.5</v>
      </c>
      <c r="M125" s="23" t="str">
        <f>"177,2440"</f>
        <v>177,2440</v>
      </c>
      <c r="N125" s="16" t="s">
        <v>1796</v>
      </c>
    </row>
    <row r="126" spans="1:14" x14ac:dyDescent="0.2">
      <c r="A126" s="43">
        <v>4</v>
      </c>
      <c r="B126" s="16" t="s">
        <v>1797</v>
      </c>
      <c r="C126" s="16" t="s">
        <v>1798</v>
      </c>
      <c r="D126" s="16" t="s">
        <v>1789</v>
      </c>
      <c r="E126" s="16" t="str">
        <f>"1,0166"</f>
        <v>1,0166</v>
      </c>
      <c r="F126" s="16" t="s">
        <v>4020</v>
      </c>
      <c r="G126" s="16" t="s">
        <v>3295</v>
      </c>
      <c r="H126" s="36" t="s">
        <v>25</v>
      </c>
      <c r="I126" s="36" t="s">
        <v>141</v>
      </c>
      <c r="J126" s="36" t="s">
        <v>156</v>
      </c>
      <c r="K126" s="24"/>
      <c r="L126" s="30">
        <v>175</v>
      </c>
      <c r="M126" s="23" t="str">
        <f>"177,9050"</f>
        <v>177,9050</v>
      </c>
      <c r="N126" s="16" t="s">
        <v>2084</v>
      </c>
    </row>
    <row r="127" spans="1:14" x14ac:dyDescent="0.2">
      <c r="A127" s="43">
        <v>5</v>
      </c>
      <c r="B127" s="16" t="s">
        <v>1727</v>
      </c>
      <c r="C127" s="16" t="s">
        <v>1799</v>
      </c>
      <c r="D127" s="16" t="s">
        <v>460</v>
      </c>
      <c r="E127" s="16" t="str">
        <f>"0,9846"</f>
        <v>0,9846</v>
      </c>
      <c r="F127" s="16" t="s">
        <v>4020</v>
      </c>
      <c r="G127" s="16" t="s">
        <v>889</v>
      </c>
      <c r="H127" s="36" t="s">
        <v>156</v>
      </c>
      <c r="I127" s="40" t="s">
        <v>11</v>
      </c>
      <c r="J127" s="40" t="s">
        <v>11</v>
      </c>
      <c r="K127" s="24"/>
      <c r="L127" s="30">
        <v>175</v>
      </c>
      <c r="M127" s="23" t="str">
        <f>"172,3050"</f>
        <v>172,3050</v>
      </c>
      <c r="N127" s="16" t="s">
        <v>3391</v>
      </c>
    </row>
    <row r="128" spans="1:14" x14ac:dyDescent="0.2">
      <c r="A128" s="43">
        <v>6</v>
      </c>
      <c r="B128" s="16" t="s">
        <v>2002</v>
      </c>
      <c r="C128" s="16" t="s">
        <v>1800</v>
      </c>
      <c r="D128" s="16" t="s">
        <v>1107</v>
      </c>
      <c r="E128" s="16" t="str">
        <f>"0,9822"</f>
        <v>0,9822</v>
      </c>
      <c r="F128" s="16" t="s">
        <v>2107</v>
      </c>
      <c r="G128" s="16" t="s">
        <v>3276</v>
      </c>
      <c r="H128" s="36" t="s">
        <v>141</v>
      </c>
      <c r="I128" s="36" t="s">
        <v>156</v>
      </c>
      <c r="J128" s="40" t="s">
        <v>206</v>
      </c>
      <c r="K128" s="24"/>
      <c r="L128" s="30">
        <v>175</v>
      </c>
      <c r="M128" s="23" t="str">
        <f>"171,8850"</f>
        <v>171,8850</v>
      </c>
      <c r="N128" s="16" t="s">
        <v>1801</v>
      </c>
    </row>
    <row r="129" spans="1:14" x14ac:dyDescent="0.2">
      <c r="A129" s="43">
        <v>7</v>
      </c>
      <c r="B129" s="16" t="s">
        <v>2036</v>
      </c>
      <c r="C129" s="16" t="s">
        <v>1802</v>
      </c>
      <c r="D129" s="16" t="s">
        <v>442</v>
      </c>
      <c r="E129" s="16" t="str">
        <f>"0,9814"</f>
        <v>0,9814</v>
      </c>
      <c r="F129" s="16" t="s">
        <v>4020</v>
      </c>
      <c r="G129" s="16" t="s">
        <v>796</v>
      </c>
      <c r="H129" s="36" t="s">
        <v>30</v>
      </c>
      <c r="I129" s="40" t="s">
        <v>156</v>
      </c>
      <c r="J129" s="36" t="s">
        <v>156</v>
      </c>
      <c r="K129" s="24"/>
      <c r="L129" s="30">
        <v>175</v>
      </c>
      <c r="M129" s="23" t="str">
        <f>"171,7450"</f>
        <v>171,7450</v>
      </c>
      <c r="N129" s="16" t="s">
        <v>3391</v>
      </c>
    </row>
    <row r="130" spans="1:14" x14ac:dyDescent="0.2">
      <c r="A130" s="43">
        <v>8</v>
      </c>
      <c r="B130" s="16" t="s">
        <v>2037</v>
      </c>
      <c r="C130" s="16" t="s">
        <v>1803</v>
      </c>
      <c r="D130" s="16" t="s">
        <v>566</v>
      </c>
      <c r="E130" s="16" t="str">
        <f>"0,9782"</f>
        <v>0,9782</v>
      </c>
      <c r="F130" s="16" t="s">
        <v>4020</v>
      </c>
      <c r="G130" s="16" t="s">
        <v>891</v>
      </c>
      <c r="H130" s="40" t="s">
        <v>156</v>
      </c>
      <c r="I130" s="40" t="s">
        <v>156</v>
      </c>
      <c r="J130" s="36" t="s">
        <v>156</v>
      </c>
      <c r="K130" s="24"/>
      <c r="L130" s="30">
        <v>175</v>
      </c>
      <c r="M130" s="23" t="str">
        <f>"171,1850"</f>
        <v>171,1850</v>
      </c>
      <c r="N130" s="16" t="s">
        <v>2086</v>
      </c>
    </row>
    <row r="131" spans="1:14" x14ac:dyDescent="0.2">
      <c r="A131" s="43">
        <v>9</v>
      </c>
      <c r="B131" s="16" t="s">
        <v>27</v>
      </c>
      <c r="C131" s="16" t="s">
        <v>28</v>
      </c>
      <c r="D131" s="16" t="s">
        <v>29</v>
      </c>
      <c r="E131" s="16" t="str">
        <f>"0,9720"</f>
        <v>0,9720</v>
      </c>
      <c r="F131" s="16" t="s">
        <v>3274</v>
      </c>
      <c r="G131" s="16" t="s">
        <v>3275</v>
      </c>
      <c r="H131" s="36" t="s">
        <v>30</v>
      </c>
      <c r="I131" s="24"/>
      <c r="J131" s="24"/>
      <c r="K131" s="24"/>
      <c r="L131" s="30">
        <v>167.5</v>
      </c>
      <c r="M131" s="23" t="str">
        <f>"162,8100"</f>
        <v>162,8100</v>
      </c>
      <c r="N131" s="16" t="s">
        <v>31</v>
      </c>
    </row>
    <row r="132" spans="1:14" x14ac:dyDescent="0.2">
      <c r="A132" s="43">
        <v>10</v>
      </c>
      <c r="B132" s="16" t="s">
        <v>2038</v>
      </c>
      <c r="C132" s="16" t="s">
        <v>1804</v>
      </c>
      <c r="D132" s="16" t="s">
        <v>467</v>
      </c>
      <c r="E132" s="16" t="str">
        <f>"0,9790"</f>
        <v>0,9790</v>
      </c>
      <c r="F132" s="16" t="s">
        <v>4020</v>
      </c>
      <c r="G132" s="16" t="s">
        <v>799</v>
      </c>
      <c r="H132" s="36" t="s">
        <v>148</v>
      </c>
      <c r="I132" s="40" t="s">
        <v>127</v>
      </c>
      <c r="J132" s="36" t="s">
        <v>127</v>
      </c>
      <c r="K132" s="24"/>
      <c r="L132" s="30">
        <v>160</v>
      </c>
      <c r="M132" s="23" t="str">
        <f>"156,6400"</f>
        <v>156,6400</v>
      </c>
      <c r="N132" s="16" t="s">
        <v>1805</v>
      </c>
    </row>
    <row r="133" spans="1:14" x14ac:dyDescent="0.2">
      <c r="A133" s="43">
        <v>11</v>
      </c>
      <c r="B133" s="16" t="s">
        <v>1821</v>
      </c>
      <c r="C133" s="16" t="s">
        <v>1806</v>
      </c>
      <c r="D133" s="16" t="s">
        <v>1263</v>
      </c>
      <c r="E133" s="16" t="str">
        <f>"0,9694"</f>
        <v>0,9694</v>
      </c>
      <c r="F133" s="16" t="s">
        <v>4020</v>
      </c>
      <c r="G133" s="16" t="s">
        <v>889</v>
      </c>
      <c r="H133" s="36" t="s">
        <v>25</v>
      </c>
      <c r="I133" s="36" t="s">
        <v>127</v>
      </c>
      <c r="J133" s="40" t="s">
        <v>141</v>
      </c>
      <c r="K133" s="24"/>
      <c r="L133" s="30">
        <v>160</v>
      </c>
      <c r="M133" s="23" t="str">
        <f>"155,1040"</f>
        <v>155,1040</v>
      </c>
      <c r="N133" s="16" t="s">
        <v>1067</v>
      </c>
    </row>
    <row r="134" spans="1:14" x14ac:dyDescent="0.2">
      <c r="A134" s="43">
        <v>12</v>
      </c>
      <c r="B134" s="16" t="s">
        <v>449</v>
      </c>
      <c r="C134" s="16" t="s">
        <v>450</v>
      </c>
      <c r="D134" s="16" t="s">
        <v>451</v>
      </c>
      <c r="E134" s="16" t="str">
        <f>"0,9798"</f>
        <v>0,9798</v>
      </c>
      <c r="F134" s="16" t="s">
        <v>4020</v>
      </c>
      <c r="G134" s="16" t="s">
        <v>890</v>
      </c>
      <c r="H134" s="36" t="s">
        <v>148</v>
      </c>
      <c r="I134" s="36" t="s">
        <v>149</v>
      </c>
      <c r="J134" s="40" t="s">
        <v>155</v>
      </c>
      <c r="K134" s="24"/>
      <c r="L134" s="30">
        <v>157.5</v>
      </c>
      <c r="M134" s="23" t="str">
        <f>"154,3185"</f>
        <v>154,3185</v>
      </c>
      <c r="N134" s="16" t="s">
        <v>452</v>
      </c>
    </row>
    <row r="135" spans="1:14" x14ac:dyDescent="0.2">
      <c r="A135" s="43">
        <v>13</v>
      </c>
      <c r="B135" s="16" t="s">
        <v>2039</v>
      </c>
      <c r="C135" s="16" t="s">
        <v>1807</v>
      </c>
      <c r="D135" s="16" t="s">
        <v>451</v>
      </c>
      <c r="E135" s="16" t="str">
        <f>"0,9798"</f>
        <v>0,9798</v>
      </c>
      <c r="F135" s="16" t="s">
        <v>4020</v>
      </c>
      <c r="G135" s="16" t="s">
        <v>796</v>
      </c>
      <c r="H135" s="36" t="s">
        <v>25</v>
      </c>
      <c r="I135" s="40" t="s">
        <v>141</v>
      </c>
      <c r="J135" s="24"/>
      <c r="K135" s="24"/>
      <c r="L135" s="30">
        <v>155</v>
      </c>
      <c r="M135" s="23" t="str">
        <f>"151,8690"</f>
        <v>151,8690</v>
      </c>
      <c r="N135" s="16" t="s">
        <v>3391</v>
      </c>
    </row>
    <row r="136" spans="1:14" x14ac:dyDescent="0.2">
      <c r="A136" s="43">
        <v>14</v>
      </c>
      <c r="B136" s="16" t="s">
        <v>2040</v>
      </c>
      <c r="C136" s="16" t="s">
        <v>1808</v>
      </c>
      <c r="D136" s="16" t="s">
        <v>235</v>
      </c>
      <c r="E136" s="16" t="str">
        <f>"0,9698"</f>
        <v>0,9698</v>
      </c>
      <c r="F136" s="16" t="s">
        <v>2106</v>
      </c>
      <c r="G136" s="16" t="s">
        <v>3273</v>
      </c>
      <c r="H136" s="36" t="s">
        <v>25</v>
      </c>
      <c r="I136" s="40" t="s">
        <v>141</v>
      </c>
      <c r="J136" s="40" t="s">
        <v>141</v>
      </c>
      <c r="K136" s="24"/>
      <c r="L136" s="30">
        <v>155</v>
      </c>
      <c r="M136" s="23" t="str">
        <f>"150,3190"</f>
        <v>150,3190</v>
      </c>
      <c r="N136" s="16" t="s">
        <v>2087</v>
      </c>
    </row>
    <row r="137" spans="1:14" x14ac:dyDescent="0.2">
      <c r="A137" s="43">
        <v>15</v>
      </c>
      <c r="B137" s="16" t="s">
        <v>453</v>
      </c>
      <c r="C137" s="16" t="s">
        <v>454</v>
      </c>
      <c r="D137" s="16" t="s">
        <v>214</v>
      </c>
      <c r="E137" s="16" t="str">
        <f>"0,9838"</f>
        <v>0,9838</v>
      </c>
      <c r="F137" s="16" t="s">
        <v>4020</v>
      </c>
      <c r="G137" s="16" t="s">
        <v>796</v>
      </c>
      <c r="H137" s="36" t="s">
        <v>126</v>
      </c>
      <c r="I137" s="36" t="s">
        <v>148</v>
      </c>
      <c r="J137" s="40" t="s">
        <v>127</v>
      </c>
      <c r="K137" s="24"/>
      <c r="L137" s="30">
        <v>152.5</v>
      </c>
      <c r="M137" s="23" t="str">
        <f>"150,0295"</f>
        <v>150,0295</v>
      </c>
      <c r="N137" s="16" t="s">
        <v>3391</v>
      </c>
    </row>
    <row r="138" spans="1:14" x14ac:dyDescent="0.2">
      <c r="A138" s="43">
        <v>16</v>
      </c>
      <c r="B138" s="16" t="s">
        <v>233</v>
      </c>
      <c r="C138" s="16" t="s">
        <v>234</v>
      </c>
      <c r="D138" s="16" t="s">
        <v>235</v>
      </c>
      <c r="E138" s="16" t="str">
        <f>"0,9698"</f>
        <v>0,9698</v>
      </c>
      <c r="F138" s="16" t="s">
        <v>492</v>
      </c>
      <c r="G138" s="16" t="s">
        <v>3310</v>
      </c>
      <c r="H138" s="36" t="s">
        <v>116</v>
      </c>
      <c r="I138" s="24"/>
      <c r="J138" s="24"/>
      <c r="K138" s="24"/>
      <c r="L138" s="30">
        <v>140</v>
      </c>
      <c r="M138" s="23" t="str">
        <f>"135,7720"</f>
        <v>135,7720</v>
      </c>
      <c r="N138" s="16" t="s">
        <v>3376</v>
      </c>
    </row>
    <row r="139" spans="1:14" x14ac:dyDescent="0.2">
      <c r="A139" s="43">
        <v>17</v>
      </c>
      <c r="B139" s="16" t="s">
        <v>2041</v>
      </c>
      <c r="C139" s="16" t="s">
        <v>1809</v>
      </c>
      <c r="D139" s="16" t="s">
        <v>460</v>
      </c>
      <c r="E139" s="16" t="str">
        <f>"0,9846"</f>
        <v>0,9846</v>
      </c>
      <c r="F139" s="16" t="s">
        <v>4020</v>
      </c>
      <c r="G139" s="16" t="s">
        <v>796</v>
      </c>
      <c r="H139" s="36" t="s">
        <v>23</v>
      </c>
      <c r="I139" s="40" t="s">
        <v>116</v>
      </c>
      <c r="J139" s="40" t="s">
        <v>116</v>
      </c>
      <c r="K139" s="24"/>
      <c r="L139" s="30">
        <v>135</v>
      </c>
      <c r="M139" s="23" t="str">
        <f>"132,9210"</f>
        <v>132,9210</v>
      </c>
      <c r="N139" s="16" t="s">
        <v>3391</v>
      </c>
    </row>
    <row r="140" spans="1:14" x14ac:dyDescent="0.2">
      <c r="A140" s="43">
        <v>18</v>
      </c>
      <c r="B140" s="16" t="s">
        <v>2042</v>
      </c>
      <c r="C140" s="16" t="s">
        <v>1810</v>
      </c>
      <c r="D140" s="16" t="s">
        <v>228</v>
      </c>
      <c r="E140" s="16" t="str">
        <f>"0,9776"</f>
        <v>0,9776</v>
      </c>
      <c r="F140" s="16" t="s">
        <v>4020</v>
      </c>
      <c r="G140" s="16" t="s">
        <v>885</v>
      </c>
      <c r="H140" s="36" t="s">
        <v>71</v>
      </c>
      <c r="I140" s="40" t="s">
        <v>165</v>
      </c>
      <c r="J140" s="36" t="s">
        <v>165</v>
      </c>
      <c r="K140" s="24"/>
      <c r="L140" s="30">
        <v>132.5</v>
      </c>
      <c r="M140" s="23" t="str">
        <f>"129,5320"</f>
        <v>129,5320</v>
      </c>
      <c r="N140" s="16" t="s">
        <v>3391</v>
      </c>
    </row>
    <row r="141" spans="1:14" x14ac:dyDescent="0.2">
      <c r="B141" s="16" t="s">
        <v>1811</v>
      </c>
      <c r="C141" s="16" t="s">
        <v>1812</v>
      </c>
      <c r="D141" s="16" t="s">
        <v>1813</v>
      </c>
      <c r="E141" s="16" t="str">
        <f>"0,9892"</f>
        <v>0,9892</v>
      </c>
      <c r="F141" s="16" t="s">
        <v>868</v>
      </c>
      <c r="G141" s="16" t="s">
        <v>796</v>
      </c>
      <c r="H141" s="40" t="s">
        <v>127</v>
      </c>
      <c r="I141" s="40" t="s">
        <v>127</v>
      </c>
      <c r="J141" s="40" t="s">
        <v>127</v>
      </c>
      <c r="K141" s="24"/>
      <c r="L141" s="47">
        <v>0</v>
      </c>
      <c r="M141" s="23" t="str">
        <f>"0,0000"</f>
        <v>0,0000</v>
      </c>
      <c r="N141" s="16" t="s">
        <v>746</v>
      </c>
    </row>
    <row r="142" spans="1:14" x14ac:dyDescent="0.2">
      <c r="B142" s="16" t="s">
        <v>1814</v>
      </c>
      <c r="C142" s="16" t="s">
        <v>1815</v>
      </c>
      <c r="D142" s="16" t="s">
        <v>460</v>
      </c>
      <c r="E142" s="16" t="str">
        <f>"0,9846"</f>
        <v>0,9846</v>
      </c>
      <c r="F142" s="16" t="s">
        <v>4020</v>
      </c>
      <c r="G142" s="16" t="s">
        <v>839</v>
      </c>
      <c r="H142" s="40" t="s">
        <v>165</v>
      </c>
      <c r="I142" s="40" t="s">
        <v>165</v>
      </c>
      <c r="J142" s="40" t="s">
        <v>165</v>
      </c>
      <c r="K142" s="24"/>
      <c r="L142" s="47">
        <v>0</v>
      </c>
      <c r="M142" s="23" t="str">
        <f>"0,0000"</f>
        <v>0,0000</v>
      </c>
      <c r="N142" s="16" t="s">
        <v>3391</v>
      </c>
    </row>
    <row r="143" spans="1:14" x14ac:dyDescent="0.2">
      <c r="B143" s="16" t="s">
        <v>1816</v>
      </c>
      <c r="C143" s="16" t="s">
        <v>1804</v>
      </c>
      <c r="D143" s="16" t="s">
        <v>467</v>
      </c>
      <c r="E143" s="16" t="str">
        <f>"0,9790"</f>
        <v>0,9790</v>
      </c>
      <c r="F143" s="16" t="s">
        <v>4020</v>
      </c>
      <c r="G143" s="16" t="s">
        <v>799</v>
      </c>
      <c r="H143" s="40" t="s">
        <v>148</v>
      </c>
      <c r="I143" s="24"/>
      <c r="J143" s="24"/>
      <c r="K143" s="24"/>
      <c r="L143" s="47">
        <v>0</v>
      </c>
      <c r="M143" s="23" t="str">
        <f>"0,0000"</f>
        <v>0,0000</v>
      </c>
      <c r="N143" s="16" t="s">
        <v>1805</v>
      </c>
    </row>
    <row r="144" spans="1:14" x14ac:dyDescent="0.2">
      <c r="B144" s="16" t="s">
        <v>1817</v>
      </c>
      <c r="C144" s="16" t="s">
        <v>1818</v>
      </c>
      <c r="D144" s="16" t="s">
        <v>1795</v>
      </c>
      <c r="E144" s="16" t="str">
        <f>"0,9712"</f>
        <v>0,9712</v>
      </c>
      <c r="F144" s="16" t="s">
        <v>2103</v>
      </c>
      <c r="G144" s="16" t="s">
        <v>3228</v>
      </c>
      <c r="H144" s="40" t="s">
        <v>187</v>
      </c>
      <c r="I144" s="24"/>
      <c r="J144" s="24"/>
      <c r="K144" s="24"/>
      <c r="L144" s="47">
        <v>0</v>
      </c>
      <c r="M144" s="23" t="str">
        <f>"0,0000"</f>
        <v>0,0000</v>
      </c>
      <c r="N144" s="16" t="s">
        <v>2088</v>
      </c>
    </row>
    <row r="145" spans="1:14" x14ac:dyDescent="0.2">
      <c r="A145" s="43">
        <v>1</v>
      </c>
      <c r="B145" s="16" t="s">
        <v>1819</v>
      </c>
      <c r="C145" s="16" t="s">
        <v>1820</v>
      </c>
      <c r="D145" s="16" t="s">
        <v>1795</v>
      </c>
      <c r="E145" s="16" t="str">
        <f>"0,9712"</f>
        <v>0,9712</v>
      </c>
      <c r="F145" s="16" t="s">
        <v>4020</v>
      </c>
      <c r="G145" s="16" t="s">
        <v>840</v>
      </c>
      <c r="H145" s="36" t="s">
        <v>156</v>
      </c>
      <c r="I145" s="36" t="s">
        <v>11</v>
      </c>
      <c r="J145" s="36" t="s">
        <v>206</v>
      </c>
      <c r="K145" s="24"/>
      <c r="L145" s="30">
        <v>182.5</v>
      </c>
      <c r="M145" s="23" t="str">
        <f>"177,2440"</f>
        <v>177,2440</v>
      </c>
      <c r="N145" s="16" t="s">
        <v>1796</v>
      </c>
    </row>
    <row r="146" spans="1:14" x14ac:dyDescent="0.2">
      <c r="A146" s="43">
        <v>2</v>
      </c>
      <c r="B146" s="16" t="s">
        <v>1821</v>
      </c>
      <c r="C146" s="16" t="s">
        <v>1822</v>
      </c>
      <c r="D146" s="16" t="s">
        <v>1263</v>
      </c>
      <c r="E146" s="16" t="str">
        <f>"0,9694"</f>
        <v>0,9694</v>
      </c>
      <c r="F146" s="16" t="s">
        <v>4020</v>
      </c>
      <c r="G146" s="16" t="s">
        <v>889</v>
      </c>
      <c r="H146" s="36" t="s">
        <v>25</v>
      </c>
      <c r="I146" s="36" t="s">
        <v>127</v>
      </c>
      <c r="J146" s="40" t="s">
        <v>141</v>
      </c>
      <c r="K146" s="24"/>
      <c r="L146" s="30">
        <v>160</v>
      </c>
      <c r="M146" s="23" t="str">
        <f>"155,1040"</f>
        <v>155,1040</v>
      </c>
      <c r="N146" s="16" t="s">
        <v>1067</v>
      </c>
    </row>
    <row r="147" spans="1:14" x14ac:dyDescent="0.2">
      <c r="A147" s="43">
        <v>1</v>
      </c>
      <c r="B147" s="16" t="s">
        <v>1096</v>
      </c>
      <c r="C147" s="16" t="s">
        <v>1103</v>
      </c>
      <c r="D147" s="16" t="s">
        <v>10</v>
      </c>
      <c r="E147" s="16" t="str">
        <f>"0,9736"</f>
        <v>0,9736</v>
      </c>
      <c r="F147" s="16" t="s">
        <v>854</v>
      </c>
      <c r="G147" s="16" t="s">
        <v>796</v>
      </c>
      <c r="H147" s="36" t="s">
        <v>156</v>
      </c>
      <c r="I147" s="36" t="s">
        <v>106</v>
      </c>
      <c r="J147" s="36" t="s">
        <v>224</v>
      </c>
      <c r="K147" s="24"/>
      <c r="L147" s="30">
        <v>192.5</v>
      </c>
      <c r="M147" s="23" t="str">
        <f>"192,6657"</f>
        <v>192,6657</v>
      </c>
      <c r="N147" s="16" t="s">
        <v>744</v>
      </c>
    </row>
    <row r="148" spans="1:14" x14ac:dyDescent="0.2">
      <c r="A148" s="43">
        <v>2</v>
      </c>
      <c r="B148" s="16" t="s">
        <v>2010</v>
      </c>
      <c r="C148" s="16" t="s">
        <v>1823</v>
      </c>
      <c r="D148" s="16" t="s">
        <v>1824</v>
      </c>
      <c r="E148" s="16" t="str">
        <f>"0,9862"</f>
        <v>0,9862</v>
      </c>
      <c r="F148" s="16" t="s">
        <v>4020</v>
      </c>
      <c r="G148" s="16" t="s">
        <v>840</v>
      </c>
      <c r="H148" s="40" t="s">
        <v>156</v>
      </c>
      <c r="I148" s="40" t="s">
        <v>11</v>
      </c>
      <c r="J148" s="36" t="s">
        <v>11</v>
      </c>
      <c r="K148" s="24"/>
      <c r="L148" s="30">
        <v>180</v>
      </c>
      <c r="M148" s="23" t="str">
        <f>"185,3267"</f>
        <v>185,3267</v>
      </c>
      <c r="N148" s="16" t="s">
        <v>3391</v>
      </c>
    </row>
    <row r="149" spans="1:14" x14ac:dyDescent="0.2">
      <c r="A149" s="43">
        <v>3</v>
      </c>
      <c r="B149" s="16" t="s">
        <v>2020</v>
      </c>
      <c r="C149" s="16" t="s">
        <v>1825</v>
      </c>
      <c r="D149" s="16" t="s">
        <v>1826</v>
      </c>
      <c r="E149" s="16" t="str">
        <f>"0,9690"</f>
        <v>0,9690</v>
      </c>
      <c r="F149" s="16" t="s">
        <v>4020</v>
      </c>
      <c r="G149" s="16" t="s">
        <v>889</v>
      </c>
      <c r="H149" s="36" t="s">
        <v>25</v>
      </c>
      <c r="I149" s="36" t="s">
        <v>127</v>
      </c>
      <c r="J149" s="36" t="s">
        <v>155</v>
      </c>
      <c r="K149" s="24"/>
      <c r="L149" s="30">
        <v>162.5</v>
      </c>
      <c r="M149" s="23" t="str">
        <f>"161,8714"</f>
        <v>161,8714</v>
      </c>
      <c r="N149" s="16" t="s">
        <v>1067</v>
      </c>
    </row>
    <row r="150" spans="1:14" x14ac:dyDescent="0.2">
      <c r="B150" s="16" t="s">
        <v>3313</v>
      </c>
      <c r="C150" s="16" t="s">
        <v>1827</v>
      </c>
      <c r="D150" s="16" t="s">
        <v>442</v>
      </c>
      <c r="E150" s="16" t="str">
        <f>"0,9814"</f>
        <v>0,9814</v>
      </c>
      <c r="F150" s="16" t="s">
        <v>14</v>
      </c>
      <c r="G150" s="16" t="s">
        <v>822</v>
      </c>
      <c r="H150" s="40" t="s">
        <v>127</v>
      </c>
      <c r="I150" s="40" t="s">
        <v>127</v>
      </c>
      <c r="J150" s="40" t="s">
        <v>127</v>
      </c>
      <c r="K150" s="24"/>
      <c r="L150" s="47">
        <v>0</v>
      </c>
      <c r="M150" s="23" t="str">
        <f>"0,0000"</f>
        <v>0,0000</v>
      </c>
      <c r="N150" s="16" t="s">
        <v>3391</v>
      </c>
    </row>
    <row r="151" spans="1:14" x14ac:dyDescent="0.2">
      <c r="A151" s="43">
        <v>1</v>
      </c>
      <c r="B151" s="16" t="s">
        <v>2014</v>
      </c>
      <c r="C151" s="16" t="s">
        <v>1828</v>
      </c>
      <c r="D151" s="16" t="s">
        <v>205</v>
      </c>
      <c r="E151" s="16" t="str">
        <f>"0,9752"</f>
        <v>0,9752</v>
      </c>
      <c r="F151" s="16" t="s">
        <v>4020</v>
      </c>
      <c r="G151" s="16" t="s">
        <v>3297</v>
      </c>
      <c r="H151" s="36" t="s">
        <v>126</v>
      </c>
      <c r="I151" s="36" t="s">
        <v>148</v>
      </c>
      <c r="J151" s="36" t="s">
        <v>127</v>
      </c>
      <c r="K151" s="24"/>
      <c r="L151" s="30">
        <v>160</v>
      </c>
      <c r="M151" s="23" t="str">
        <f>"173,8196"</f>
        <v>173,8196</v>
      </c>
      <c r="N151" s="16" t="s">
        <v>3391</v>
      </c>
    </row>
    <row r="152" spans="1:14" x14ac:dyDescent="0.2">
      <c r="A152" s="43">
        <v>1</v>
      </c>
      <c r="B152" s="16" t="s">
        <v>2005</v>
      </c>
      <c r="C152" s="16" t="s">
        <v>1829</v>
      </c>
      <c r="D152" s="16" t="s">
        <v>235</v>
      </c>
      <c r="E152" s="16" t="str">
        <f>"0,9698"</f>
        <v>0,9698</v>
      </c>
      <c r="F152" s="16" t="s">
        <v>4020</v>
      </c>
      <c r="G152" s="16" t="s">
        <v>796</v>
      </c>
      <c r="H152" s="36" t="s">
        <v>127</v>
      </c>
      <c r="I152" s="36" t="s">
        <v>142</v>
      </c>
      <c r="J152" s="40" t="s">
        <v>239</v>
      </c>
      <c r="K152" s="24"/>
      <c r="L152" s="30">
        <v>170</v>
      </c>
      <c r="M152" s="23" t="str">
        <f>"209,8744"</f>
        <v>209,8744</v>
      </c>
      <c r="N152" s="16" t="s">
        <v>3391</v>
      </c>
    </row>
    <row r="153" spans="1:14" x14ac:dyDescent="0.2">
      <c r="A153" s="43">
        <v>2</v>
      </c>
      <c r="B153" s="16" t="s">
        <v>2043</v>
      </c>
      <c r="C153" s="16" t="s">
        <v>1830</v>
      </c>
      <c r="D153" s="16" t="s">
        <v>1107</v>
      </c>
      <c r="E153" s="16" t="str">
        <f>"0,9822"</f>
        <v>0,9822</v>
      </c>
      <c r="F153" s="16" t="s">
        <v>4020</v>
      </c>
      <c r="G153" s="16" t="s">
        <v>840</v>
      </c>
      <c r="H153" s="36" t="s">
        <v>69</v>
      </c>
      <c r="I153" s="36" t="s">
        <v>70</v>
      </c>
      <c r="J153" s="36" t="s">
        <v>71</v>
      </c>
      <c r="K153" s="24"/>
      <c r="L153" s="30">
        <v>120</v>
      </c>
      <c r="M153" s="23" t="str">
        <f>"159,1164"</f>
        <v>159,1164</v>
      </c>
      <c r="N153" s="16" t="s">
        <v>3391</v>
      </c>
    </row>
    <row r="154" spans="1:14" x14ac:dyDescent="0.2">
      <c r="A154" s="43">
        <v>1</v>
      </c>
      <c r="B154" s="17" t="s">
        <v>2018</v>
      </c>
      <c r="C154" s="17" t="s">
        <v>1831</v>
      </c>
      <c r="D154" s="17" t="s">
        <v>567</v>
      </c>
      <c r="E154" s="17" t="str">
        <f>"0,9760"</f>
        <v>0,9760</v>
      </c>
      <c r="F154" s="17" t="s">
        <v>4020</v>
      </c>
      <c r="G154" s="17" t="s">
        <v>3297</v>
      </c>
      <c r="H154" s="39" t="s">
        <v>66</v>
      </c>
      <c r="I154" s="37" t="s">
        <v>66</v>
      </c>
      <c r="J154" s="37" t="s">
        <v>87</v>
      </c>
      <c r="K154" s="26"/>
      <c r="L154" s="31">
        <v>112.5</v>
      </c>
      <c r="M154" s="25" t="str">
        <f>"168,3234"</f>
        <v>168,3234</v>
      </c>
      <c r="N154" s="17" t="s">
        <v>2089</v>
      </c>
    </row>
    <row r="156" spans="1:14" ht="15" x14ac:dyDescent="0.2">
      <c r="B156" s="294" t="s">
        <v>4011</v>
      </c>
      <c r="C156" s="294"/>
      <c r="D156" s="294"/>
      <c r="E156" s="294"/>
      <c r="F156" s="294"/>
      <c r="G156" s="294"/>
      <c r="H156" s="294"/>
      <c r="I156" s="294"/>
      <c r="J156" s="294"/>
      <c r="K156" s="294"/>
      <c r="L156" s="294"/>
      <c r="M156" s="294"/>
      <c r="N156" s="50"/>
    </row>
    <row r="157" spans="1:14" x14ac:dyDescent="0.2">
      <c r="A157" s="43">
        <v>1</v>
      </c>
      <c r="B157" s="15" t="s">
        <v>1832</v>
      </c>
      <c r="C157" s="15" t="s">
        <v>1833</v>
      </c>
      <c r="D157" s="15" t="s">
        <v>1834</v>
      </c>
      <c r="E157" s="15" t="str">
        <f>"0,9374"</f>
        <v>0,9374</v>
      </c>
      <c r="F157" s="108" t="s">
        <v>111</v>
      </c>
      <c r="G157" s="15" t="s">
        <v>3300</v>
      </c>
      <c r="H157" s="35" t="s">
        <v>206</v>
      </c>
      <c r="I157" s="38" t="s">
        <v>107</v>
      </c>
      <c r="J157" s="35" t="s">
        <v>107</v>
      </c>
      <c r="K157" s="22"/>
      <c r="L157" s="29">
        <v>190</v>
      </c>
      <c r="M157" s="21" t="str">
        <f>"178,1060"</f>
        <v>178,1060</v>
      </c>
      <c r="N157" s="16" t="s">
        <v>3391</v>
      </c>
    </row>
    <row r="158" spans="1:14" x14ac:dyDescent="0.2">
      <c r="A158" s="43">
        <v>2</v>
      </c>
      <c r="B158" s="16" t="s">
        <v>1700</v>
      </c>
      <c r="C158" s="16" t="s">
        <v>1835</v>
      </c>
      <c r="D158" s="16" t="s">
        <v>491</v>
      </c>
      <c r="E158" s="16" t="str">
        <f>"0,9226"</f>
        <v>0,9226</v>
      </c>
      <c r="F158" s="16" t="s">
        <v>4020</v>
      </c>
      <c r="G158" s="16" t="s">
        <v>796</v>
      </c>
      <c r="H158" s="36" t="s">
        <v>156</v>
      </c>
      <c r="I158" s="36" t="s">
        <v>106</v>
      </c>
      <c r="J158" s="40" t="s">
        <v>224</v>
      </c>
      <c r="K158" s="24"/>
      <c r="L158" s="30">
        <v>185</v>
      </c>
      <c r="M158" s="23" t="str">
        <f>"170,6810"</f>
        <v>170,6810</v>
      </c>
      <c r="N158" s="16" t="s">
        <v>3391</v>
      </c>
    </row>
    <row r="159" spans="1:14" x14ac:dyDescent="0.2">
      <c r="A159" s="43">
        <v>3</v>
      </c>
      <c r="B159" s="16" t="s">
        <v>1836</v>
      </c>
      <c r="C159" s="16" t="s">
        <v>1837</v>
      </c>
      <c r="D159" s="16" t="s">
        <v>1838</v>
      </c>
      <c r="E159" s="16" t="str">
        <f>"0,9262"</f>
        <v>0,9262</v>
      </c>
      <c r="F159" s="16" t="s">
        <v>857</v>
      </c>
      <c r="G159" s="16" t="s">
        <v>3298</v>
      </c>
      <c r="H159" s="40" t="s">
        <v>25</v>
      </c>
      <c r="I159" s="36" t="s">
        <v>25</v>
      </c>
      <c r="J159" s="40" t="s">
        <v>155</v>
      </c>
      <c r="K159" s="24"/>
      <c r="L159" s="30">
        <v>155</v>
      </c>
      <c r="M159" s="23" t="str">
        <f>"143,5610"</f>
        <v>143,5610</v>
      </c>
      <c r="N159" s="16" t="s">
        <v>2090</v>
      </c>
    </row>
    <row r="160" spans="1:14" x14ac:dyDescent="0.2">
      <c r="A160" s="43">
        <v>4</v>
      </c>
      <c r="B160" s="16" t="s">
        <v>1839</v>
      </c>
      <c r="C160" s="16" t="s">
        <v>1840</v>
      </c>
      <c r="D160" s="16" t="s">
        <v>1841</v>
      </c>
      <c r="E160" s="16" t="str">
        <f>"0,9246"</f>
        <v>0,9246</v>
      </c>
      <c r="F160" s="16" t="s">
        <v>4020</v>
      </c>
      <c r="G160" s="16" t="s">
        <v>804</v>
      </c>
      <c r="H160" s="36" t="s">
        <v>23</v>
      </c>
      <c r="I160" s="40" t="s">
        <v>116</v>
      </c>
      <c r="J160" s="36" t="s">
        <v>116</v>
      </c>
      <c r="K160" s="24"/>
      <c r="L160" s="30">
        <v>140</v>
      </c>
      <c r="M160" s="23" t="str">
        <f>"129,4440"</f>
        <v>129,4440</v>
      </c>
      <c r="N160" s="16" t="s">
        <v>730</v>
      </c>
    </row>
    <row r="161" spans="1:14" x14ac:dyDescent="0.2">
      <c r="A161" s="43">
        <v>1</v>
      </c>
      <c r="B161" s="16" t="s">
        <v>1842</v>
      </c>
      <c r="C161" s="16" t="s">
        <v>1843</v>
      </c>
      <c r="D161" s="16" t="s">
        <v>708</v>
      </c>
      <c r="E161" s="16" t="str">
        <f>"0,9234"</f>
        <v>0,9234</v>
      </c>
      <c r="F161" s="16" t="s">
        <v>4021</v>
      </c>
      <c r="G161" s="16" t="s">
        <v>3299</v>
      </c>
      <c r="H161" s="36" t="s">
        <v>143</v>
      </c>
      <c r="I161" s="36" t="s">
        <v>187</v>
      </c>
      <c r="J161" s="40" t="s">
        <v>296</v>
      </c>
      <c r="K161" s="24"/>
      <c r="L161" s="30">
        <v>215</v>
      </c>
      <c r="M161" s="23" t="str">
        <f>"198,5310"</f>
        <v>198,5310</v>
      </c>
      <c r="N161" s="16" t="s">
        <v>2091</v>
      </c>
    </row>
    <row r="162" spans="1:14" x14ac:dyDescent="0.2">
      <c r="A162" s="43">
        <v>2</v>
      </c>
      <c r="B162" s="16" t="s">
        <v>489</v>
      </c>
      <c r="C162" s="16" t="s">
        <v>568</v>
      </c>
      <c r="D162" s="16" t="s">
        <v>491</v>
      </c>
      <c r="E162" s="16" t="str">
        <f>"0,9226"</f>
        <v>0,9226</v>
      </c>
      <c r="F162" s="16" t="s">
        <v>492</v>
      </c>
      <c r="G162" s="16" t="s">
        <v>829</v>
      </c>
      <c r="H162" s="36" t="s">
        <v>224</v>
      </c>
      <c r="I162" s="24"/>
      <c r="J162" s="24"/>
      <c r="K162" s="24"/>
      <c r="L162" s="30">
        <v>192.5</v>
      </c>
      <c r="M162" s="23" t="str">
        <f>"177,6005"</f>
        <v>177,6005</v>
      </c>
      <c r="N162" s="16" t="s">
        <v>815</v>
      </c>
    </row>
    <row r="163" spans="1:14" x14ac:dyDescent="0.2">
      <c r="A163" s="43">
        <v>3</v>
      </c>
      <c r="B163" s="16" t="s">
        <v>1832</v>
      </c>
      <c r="C163" s="16" t="s">
        <v>1844</v>
      </c>
      <c r="D163" s="16" t="s">
        <v>1834</v>
      </c>
      <c r="E163" s="16" t="str">
        <f>"0,9374"</f>
        <v>0,9374</v>
      </c>
      <c r="F163" s="143" t="s">
        <v>111</v>
      </c>
      <c r="G163" s="16" t="s">
        <v>3300</v>
      </c>
      <c r="H163" s="36" t="s">
        <v>206</v>
      </c>
      <c r="I163" s="40" t="s">
        <v>107</v>
      </c>
      <c r="J163" s="36" t="s">
        <v>107</v>
      </c>
      <c r="K163" s="24"/>
      <c r="L163" s="30">
        <v>190</v>
      </c>
      <c r="M163" s="23" t="str">
        <f>"178,1060"</f>
        <v>178,1060</v>
      </c>
      <c r="N163" s="16" t="s">
        <v>3391</v>
      </c>
    </row>
    <row r="164" spans="1:14" x14ac:dyDescent="0.2">
      <c r="A164" s="43">
        <v>4</v>
      </c>
      <c r="B164" s="16" t="s">
        <v>1845</v>
      </c>
      <c r="C164" s="16" t="s">
        <v>1846</v>
      </c>
      <c r="D164" s="16" t="s">
        <v>1500</v>
      </c>
      <c r="E164" s="16" t="str">
        <f>"0,9218"</f>
        <v>0,9218</v>
      </c>
      <c r="F164" s="16" t="s">
        <v>858</v>
      </c>
      <c r="G164" s="16" t="s">
        <v>3223</v>
      </c>
      <c r="H164" s="36" t="s">
        <v>260</v>
      </c>
      <c r="I164" s="36" t="s">
        <v>106</v>
      </c>
      <c r="J164" s="40" t="s">
        <v>224</v>
      </c>
      <c r="K164" s="24"/>
      <c r="L164" s="30">
        <v>185</v>
      </c>
      <c r="M164" s="23" t="str">
        <f>"170,5330"</f>
        <v>170,5330</v>
      </c>
      <c r="N164" s="16" t="s">
        <v>730</v>
      </c>
    </row>
    <row r="165" spans="1:14" x14ac:dyDescent="0.2">
      <c r="A165" s="43">
        <v>5</v>
      </c>
      <c r="B165" s="16" t="s">
        <v>1847</v>
      </c>
      <c r="C165" s="16" t="s">
        <v>1675</v>
      </c>
      <c r="D165" s="16" t="s">
        <v>965</v>
      </c>
      <c r="E165" s="16" t="str">
        <f>"0,9306"</f>
        <v>0,9306</v>
      </c>
      <c r="F165" s="16" t="s">
        <v>4020</v>
      </c>
      <c r="G165" s="16" t="s">
        <v>796</v>
      </c>
      <c r="H165" s="36" t="s">
        <v>156</v>
      </c>
      <c r="I165" s="40" t="s">
        <v>106</v>
      </c>
      <c r="J165" s="40" t="s">
        <v>106</v>
      </c>
      <c r="K165" s="24"/>
      <c r="L165" s="30">
        <v>175</v>
      </c>
      <c r="M165" s="23" t="str">
        <f>"162,8550"</f>
        <v>162,8550</v>
      </c>
      <c r="N165" s="16" t="s">
        <v>735</v>
      </c>
    </row>
    <row r="166" spans="1:14" x14ac:dyDescent="0.2">
      <c r="A166" s="43">
        <v>6</v>
      </c>
      <c r="B166" s="16" t="s">
        <v>1848</v>
      </c>
      <c r="C166" s="16" t="s">
        <v>1849</v>
      </c>
      <c r="D166" s="16" t="s">
        <v>1494</v>
      </c>
      <c r="E166" s="16" t="str">
        <f>"0,9274"</f>
        <v>0,9274</v>
      </c>
      <c r="F166" s="16" t="s">
        <v>2107</v>
      </c>
      <c r="G166" s="16" t="s">
        <v>3276</v>
      </c>
      <c r="H166" s="36" t="s">
        <v>156</v>
      </c>
      <c r="I166" s="40" t="s">
        <v>106</v>
      </c>
      <c r="J166" s="40" t="s">
        <v>107</v>
      </c>
      <c r="K166" s="24"/>
      <c r="L166" s="30">
        <v>175</v>
      </c>
      <c r="M166" s="23" t="str">
        <f>"162,2950"</f>
        <v>162,2950</v>
      </c>
      <c r="N166" s="16" t="s">
        <v>3391</v>
      </c>
    </row>
    <row r="167" spans="1:14" x14ac:dyDescent="0.2">
      <c r="A167" s="43">
        <v>7</v>
      </c>
      <c r="B167" s="16" t="s">
        <v>1850</v>
      </c>
      <c r="C167" s="16" t="s">
        <v>1851</v>
      </c>
      <c r="D167" s="16" t="s">
        <v>1272</v>
      </c>
      <c r="E167" s="16" t="str">
        <f>"0,9398"</f>
        <v>0,9398</v>
      </c>
      <c r="F167" s="16" t="s">
        <v>4020</v>
      </c>
      <c r="G167" s="16" t="s">
        <v>798</v>
      </c>
      <c r="H167" s="36" t="s">
        <v>148</v>
      </c>
      <c r="I167" s="36" t="s">
        <v>127</v>
      </c>
      <c r="J167" s="36" t="s">
        <v>30</v>
      </c>
      <c r="K167" s="24"/>
      <c r="L167" s="30">
        <v>167.5</v>
      </c>
      <c r="M167" s="23" t="str">
        <f>"157,4165"</f>
        <v>157,4165</v>
      </c>
      <c r="N167" s="16" t="s">
        <v>3391</v>
      </c>
    </row>
    <row r="168" spans="1:14" x14ac:dyDescent="0.2">
      <c r="A168" s="43">
        <v>8</v>
      </c>
      <c r="B168" s="16" t="s">
        <v>1852</v>
      </c>
      <c r="C168" s="16" t="s">
        <v>1853</v>
      </c>
      <c r="D168" s="16" t="s">
        <v>965</v>
      </c>
      <c r="E168" s="16" t="str">
        <f>"0,9306"</f>
        <v>0,9306</v>
      </c>
      <c r="F168" s="16" t="s">
        <v>860</v>
      </c>
      <c r="G168" s="16" t="s">
        <v>796</v>
      </c>
      <c r="H168" s="36" t="s">
        <v>116</v>
      </c>
      <c r="I168" s="36" t="s">
        <v>36</v>
      </c>
      <c r="J168" s="36" t="s">
        <v>155</v>
      </c>
      <c r="K168" s="24"/>
      <c r="L168" s="30">
        <v>162.5</v>
      </c>
      <c r="M168" s="23" t="str">
        <f>"151,2225"</f>
        <v>151,2225</v>
      </c>
      <c r="N168" s="16" t="s">
        <v>3391</v>
      </c>
    </row>
    <row r="169" spans="1:14" x14ac:dyDescent="0.2">
      <c r="A169" s="43">
        <v>9</v>
      </c>
      <c r="B169" s="16" t="s">
        <v>468</v>
      </c>
      <c r="C169" s="16" t="s">
        <v>469</v>
      </c>
      <c r="D169" s="16" t="s">
        <v>470</v>
      </c>
      <c r="E169" s="16" t="str">
        <f>"0,9182"</f>
        <v>0,9182</v>
      </c>
      <c r="F169" s="16" t="s">
        <v>492</v>
      </c>
      <c r="G169" s="16" t="s">
        <v>830</v>
      </c>
      <c r="H169" s="36" t="s">
        <v>127</v>
      </c>
      <c r="I169" s="24"/>
      <c r="J169" s="24"/>
      <c r="K169" s="24"/>
      <c r="L169" s="30">
        <v>160</v>
      </c>
      <c r="M169" s="23" t="str">
        <f>"146,9120"</f>
        <v>146,9120</v>
      </c>
      <c r="N169" s="16" t="s">
        <v>3391</v>
      </c>
    </row>
    <row r="170" spans="1:14" x14ac:dyDescent="0.2">
      <c r="A170" s="43">
        <v>10</v>
      </c>
      <c r="B170" s="16" t="s">
        <v>474</v>
      </c>
      <c r="C170" s="16" t="s">
        <v>475</v>
      </c>
      <c r="D170" s="16" t="s">
        <v>476</v>
      </c>
      <c r="E170" s="16" t="str">
        <f>"1,3654"</f>
        <v>1,3654</v>
      </c>
      <c r="F170" s="144" t="s">
        <v>111</v>
      </c>
      <c r="G170" s="16" t="s">
        <v>3249</v>
      </c>
      <c r="H170" s="36" t="s">
        <v>36</v>
      </c>
      <c r="I170" s="24"/>
      <c r="J170" s="24"/>
      <c r="K170" s="24"/>
      <c r="L170" s="30">
        <v>150</v>
      </c>
      <c r="M170" s="23" t="str">
        <f>"204,8100"</f>
        <v>204,8100</v>
      </c>
      <c r="N170" s="16" t="s">
        <v>3391</v>
      </c>
    </row>
    <row r="171" spans="1:14" x14ac:dyDescent="0.2">
      <c r="A171" s="43">
        <v>11</v>
      </c>
      <c r="B171" s="16" t="s">
        <v>1854</v>
      </c>
      <c r="C171" s="16" t="s">
        <v>1728</v>
      </c>
      <c r="D171" s="16" t="s">
        <v>1500</v>
      </c>
      <c r="E171" s="16" t="str">
        <f>"0,9218"</f>
        <v>0,9218</v>
      </c>
      <c r="F171" s="16" t="s">
        <v>4020</v>
      </c>
      <c r="G171" s="16" t="s">
        <v>796</v>
      </c>
      <c r="H171" s="36" t="s">
        <v>116</v>
      </c>
      <c r="I171" s="36" t="s">
        <v>574</v>
      </c>
      <c r="J171" s="40" t="s">
        <v>148</v>
      </c>
      <c r="K171" s="24"/>
      <c r="L171" s="30">
        <v>147.5</v>
      </c>
      <c r="M171" s="23" t="str">
        <f>"135,9655"</f>
        <v>135,9655</v>
      </c>
      <c r="N171" s="16" t="s">
        <v>3391</v>
      </c>
    </row>
    <row r="172" spans="1:14" x14ac:dyDescent="0.2">
      <c r="A172" s="43">
        <v>12</v>
      </c>
      <c r="B172" s="16" t="s">
        <v>1855</v>
      </c>
      <c r="C172" s="16" t="s">
        <v>1856</v>
      </c>
      <c r="D172" s="16" t="s">
        <v>1857</v>
      </c>
      <c r="E172" s="16" t="str">
        <f>"0,9158"</f>
        <v>0,9158</v>
      </c>
      <c r="F172" s="16" t="s">
        <v>4020</v>
      </c>
      <c r="G172" s="16" t="s">
        <v>3298</v>
      </c>
      <c r="H172" s="36" t="s">
        <v>126</v>
      </c>
      <c r="I172" s="40" t="s">
        <v>574</v>
      </c>
      <c r="J172" s="40" t="s">
        <v>574</v>
      </c>
      <c r="K172" s="24"/>
      <c r="L172" s="30">
        <v>145</v>
      </c>
      <c r="M172" s="23" t="str">
        <f>"132,7910"</f>
        <v>132,7910</v>
      </c>
      <c r="N172" s="16" t="s">
        <v>3391</v>
      </c>
    </row>
    <row r="173" spans="1:14" x14ac:dyDescent="0.2">
      <c r="A173" s="43">
        <v>13</v>
      </c>
      <c r="B173" s="16" t="s">
        <v>1858</v>
      </c>
      <c r="C173" s="16" t="s">
        <v>1859</v>
      </c>
      <c r="D173" s="16" t="s">
        <v>647</v>
      </c>
      <c r="E173" s="16" t="str">
        <f>"0,9290"</f>
        <v>0,9290</v>
      </c>
      <c r="F173" s="16" t="s">
        <v>862</v>
      </c>
      <c r="G173" s="16" t="s">
        <v>3301</v>
      </c>
      <c r="H173" s="40" t="s">
        <v>116</v>
      </c>
      <c r="I173" s="36" t="s">
        <v>116</v>
      </c>
      <c r="J173" s="40" t="s">
        <v>36</v>
      </c>
      <c r="K173" s="24"/>
      <c r="L173" s="30">
        <v>140</v>
      </c>
      <c r="M173" s="23" t="str">
        <f>"130,0600"</f>
        <v>130,0600</v>
      </c>
      <c r="N173" s="16" t="s">
        <v>3391</v>
      </c>
    </row>
    <row r="174" spans="1:14" x14ac:dyDescent="0.2">
      <c r="B174" s="16" t="s">
        <v>1860</v>
      </c>
      <c r="C174" s="16" t="s">
        <v>1861</v>
      </c>
      <c r="D174" s="16" t="s">
        <v>1862</v>
      </c>
      <c r="E174" s="16" t="str">
        <f>"0,9480"</f>
        <v>0,9480</v>
      </c>
      <c r="F174" s="16" t="s">
        <v>853</v>
      </c>
      <c r="G174" s="16" t="s">
        <v>796</v>
      </c>
      <c r="H174" s="40" t="s">
        <v>36</v>
      </c>
      <c r="I174" s="40" t="s">
        <v>36</v>
      </c>
      <c r="J174" s="40" t="s">
        <v>36</v>
      </c>
      <c r="K174" s="24"/>
      <c r="L174" s="47">
        <v>0</v>
      </c>
      <c r="M174" s="23" t="str">
        <f>"0,0000"</f>
        <v>0,0000</v>
      </c>
      <c r="N174" s="16" t="s">
        <v>3391</v>
      </c>
    </row>
    <row r="175" spans="1:14" x14ac:dyDescent="0.2">
      <c r="A175" s="43">
        <v>1</v>
      </c>
      <c r="B175" s="16" t="s">
        <v>483</v>
      </c>
      <c r="C175" s="16" t="s">
        <v>484</v>
      </c>
      <c r="D175" s="16" t="s">
        <v>485</v>
      </c>
      <c r="E175" s="16" t="str">
        <f>"0,9206"</f>
        <v>0,9206</v>
      </c>
      <c r="F175" s="16" t="s">
        <v>266</v>
      </c>
      <c r="G175" s="16" t="s">
        <v>3272</v>
      </c>
      <c r="H175" s="36" t="s">
        <v>148</v>
      </c>
      <c r="I175" s="40" t="s">
        <v>127</v>
      </c>
      <c r="J175" s="36" t="s">
        <v>127</v>
      </c>
      <c r="K175" s="24"/>
      <c r="L175" s="30">
        <v>160</v>
      </c>
      <c r="M175" s="23" t="str">
        <f>"147,2960"</f>
        <v>147,2960</v>
      </c>
      <c r="N175" s="16" t="s">
        <v>3391</v>
      </c>
    </row>
    <row r="176" spans="1:14" x14ac:dyDescent="0.2">
      <c r="A176" s="43">
        <v>1</v>
      </c>
      <c r="B176" s="16" t="s">
        <v>1179</v>
      </c>
      <c r="C176" s="16" t="s">
        <v>1863</v>
      </c>
      <c r="D176" s="16" t="s">
        <v>1857</v>
      </c>
      <c r="E176" s="16" t="str">
        <f>"0,9158"</f>
        <v>0,9158</v>
      </c>
      <c r="F176" s="16" t="s">
        <v>4020</v>
      </c>
      <c r="G176" s="16" t="s">
        <v>3187</v>
      </c>
      <c r="H176" s="36" t="s">
        <v>106</v>
      </c>
      <c r="I176" s="40" t="s">
        <v>607</v>
      </c>
      <c r="J176" s="36" t="s">
        <v>607</v>
      </c>
      <c r="K176" s="36" t="s">
        <v>1864</v>
      </c>
      <c r="L176" s="30">
        <v>191</v>
      </c>
      <c r="M176" s="23" t="str">
        <f>"175,7924"</f>
        <v>175,7924</v>
      </c>
      <c r="N176" s="16" t="s">
        <v>2092</v>
      </c>
    </row>
    <row r="177" spans="1:14" x14ac:dyDescent="0.2">
      <c r="A177" s="43">
        <v>2</v>
      </c>
      <c r="B177" s="16" t="s">
        <v>1865</v>
      </c>
      <c r="C177" s="16" t="s">
        <v>1866</v>
      </c>
      <c r="D177" s="16" t="s">
        <v>470</v>
      </c>
      <c r="E177" s="16" t="str">
        <f>"0,9182"</f>
        <v>0,9182</v>
      </c>
      <c r="F177" s="16" t="s">
        <v>4020</v>
      </c>
      <c r="G177" s="16" t="s">
        <v>799</v>
      </c>
      <c r="H177" s="36" t="s">
        <v>116</v>
      </c>
      <c r="I177" s="36" t="s">
        <v>126</v>
      </c>
      <c r="J177" s="40" t="s">
        <v>36</v>
      </c>
      <c r="K177" s="24"/>
      <c r="L177" s="30">
        <v>145</v>
      </c>
      <c r="M177" s="23" t="str">
        <f>"136,8669"</f>
        <v>136,8669</v>
      </c>
      <c r="N177" s="16" t="s">
        <v>3391</v>
      </c>
    </row>
    <row r="178" spans="1:14" x14ac:dyDescent="0.2">
      <c r="A178" s="43">
        <v>3</v>
      </c>
      <c r="B178" s="16" t="s">
        <v>1867</v>
      </c>
      <c r="C178" s="16" t="s">
        <v>1868</v>
      </c>
      <c r="D178" s="16" t="s">
        <v>1869</v>
      </c>
      <c r="E178" s="16" t="str">
        <f>"0,9390"</f>
        <v>0,9390</v>
      </c>
      <c r="F178" s="16" t="s">
        <v>868</v>
      </c>
      <c r="G178" s="16" t="s">
        <v>876</v>
      </c>
      <c r="H178" s="40" t="s">
        <v>116</v>
      </c>
      <c r="I178" s="40" t="s">
        <v>116</v>
      </c>
      <c r="J178" s="36" t="s">
        <v>116</v>
      </c>
      <c r="K178" s="24"/>
      <c r="L178" s="30">
        <v>140</v>
      </c>
      <c r="M178" s="23" t="str">
        <f>"135,1409"</f>
        <v>135,1409</v>
      </c>
      <c r="N178" s="16" t="s">
        <v>746</v>
      </c>
    </row>
    <row r="179" spans="1:14" x14ac:dyDescent="0.2">
      <c r="A179" s="43">
        <v>1</v>
      </c>
      <c r="B179" s="16" t="s">
        <v>489</v>
      </c>
      <c r="C179" s="16" t="s">
        <v>490</v>
      </c>
      <c r="D179" s="16" t="s">
        <v>491</v>
      </c>
      <c r="E179" s="16" t="str">
        <f>"0,9226"</f>
        <v>0,9226</v>
      </c>
      <c r="F179" s="16" t="s">
        <v>492</v>
      </c>
      <c r="G179" s="16" t="s">
        <v>829</v>
      </c>
      <c r="H179" s="36" t="s">
        <v>224</v>
      </c>
      <c r="I179" s="24"/>
      <c r="J179" s="24"/>
      <c r="K179" s="24"/>
      <c r="L179" s="30">
        <v>192.5</v>
      </c>
      <c r="M179" s="23" t="str">
        <f>"197,8470"</f>
        <v>197,8470</v>
      </c>
      <c r="N179" s="16" t="s">
        <v>815</v>
      </c>
    </row>
    <row r="180" spans="1:14" x14ac:dyDescent="0.2">
      <c r="A180" s="43">
        <v>2</v>
      </c>
      <c r="B180" s="16" t="s">
        <v>1733</v>
      </c>
      <c r="C180" s="16" t="s">
        <v>1870</v>
      </c>
      <c r="D180" s="16" t="s">
        <v>1871</v>
      </c>
      <c r="E180" s="16" t="str">
        <f>"0,9666"</f>
        <v>0,9666</v>
      </c>
      <c r="F180" s="16" t="s">
        <v>857</v>
      </c>
      <c r="G180" s="16" t="s">
        <v>796</v>
      </c>
      <c r="H180" s="36" t="s">
        <v>36</v>
      </c>
      <c r="I180" s="36" t="s">
        <v>25</v>
      </c>
      <c r="J180" s="40" t="s">
        <v>127</v>
      </c>
      <c r="K180" s="24"/>
      <c r="L180" s="30">
        <v>155</v>
      </c>
      <c r="M180" s="23" t="str">
        <f>"161,5092"</f>
        <v>161,5092</v>
      </c>
      <c r="N180" s="16" t="s">
        <v>3391</v>
      </c>
    </row>
    <row r="181" spans="1:14" x14ac:dyDescent="0.2">
      <c r="A181" s="43">
        <v>3</v>
      </c>
      <c r="B181" s="16" t="s">
        <v>1872</v>
      </c>
      <c r="C181" s="16" t="s">
        <v>1873</v>
      </c>
      <c r="D181" s="16" t="s">
        <v>1874</v>
      </c>
      <c r="E181" s="16" t="str">
        <f>"0,9472"</f>
        <v>0,9472</v>
      </c>
      <c r="F181" s="16" t="s">
        <v>4020</v>
      </c>
      <c r="G181" s="16" t="s">
        <v>3257</v>
      </c>
      <c r="H181" s="36" t="s">
        <v>126</v>
      </c>
      <c r="I181" s="36" t="s">
        <v>148</v>
      </c>
      <c r="J181" s="40" t="s">
        <v>149</v>
      </c>
      <c r="K181" s="24"/>
      <c r="L181" s="30">
        <v>152.5</v>
      </c>
      <c r="M181" s="23" t="str">
        <f>"158,3150"</f>
        <v>158,3150</v>
      </c>
      <c r="N181" s="16" t="s">
        <v>2093</v>
      </c>
    </row>
    <row r="182" spans="1:14" x14ac:dyDescent="0.2">
      <c r="A182" s="43">
        <v>4</v>
      </c>
      <c r="B182" s="16" t="s">
        <v>474</v>
      </c>
      <c r="C182" s="16" t="s">
        <v>493</v>
      </c>
      <c r="D182" s="16" t="s">
        <v>476</v>
      </c>
      <c r="E182" s="16" t="str">
        <f>"1,3654"</f>
        <v>1,3654</v>
      </c>
      <c r="F182" s="144" t="s">
        <v>111</v>
      </c>
      <c r="G182" s="16" t="s">
        <v>3249</v>
      </c>
      <c r="H182" s="36" t="s">
        <v>36</v>
      </c>
      <c r="I182" s="24"/>
      <c r="J182" s="24"/>
      <c r="K182" s="24"/>
      <c r="L182" s="30">
        <v>150</v>
      </c>
      <c r="M182" s="23" t="str">
        <f>"217,0986"</f>
        <v>217,0986</v>
      </c>
      <c r="N182" s="16" t="s">
        <v>3391</v>
      </c>
    </row>
    <row r="183" spans="1:14" x14ac:dyDescent="0.2">
      <c r="A183" s="43">
        <v>1</v>
      </c>
      <c r="B183" s="16" t="s">
        <v>1875</v>
      </c>
      <c r="C183" s="16" t="s">
        <v>1876</v>
      </c>
      <c r="D183" s="16" t="s">
        <v>1877</v>
      </c>
      <c r="E183" s="16" t="str">
        <f>"0,9450"</f>
        <v>0,9450</v>
      </c>
      <c r="F183" s="16" t="s">
        <v>2104</v>
      </c>
      <c r="G183" s="16" t="s">
        <v>3271</v>
      </c>
      <c r="H183" s="36" t="s">
        <v>25</v>
      </c>
      <c r="I183" s="40" t="s">
        <v>155</v>
      </c>
      <c r="J183" s="40" t="s">
        <v>155</v>
      </c>
      <c r="K183" s="24"/>
      <c r="L183" s="30">
        <v>155</v>
      </c>
      <c r="M183" s="23" t="str">
        <f>"168,4462"</f>
        <v>168,4462</v>
      </c>
      <c r="N183" s="16" t="s">
        <v>3391</v>
      </c>
    </row>
    <row r="184" spans="1:14" x14ac:dyDescent="0.2">
      <c r="A184" s="43">
        <v>2</v>
      </c>
      <c r="B184" s="16" t="s">
        <v>1878</v>
      </c>
      <c r="C184" s="16" t="s">
        <v>1879</v>
      </c>
      <c r="D184" s="16" t="s">
        <v>1880</v>
      </c>
      <c r="E184" s="16" t="str">
        <f>"0,9194"</f>
        <v>0,9194</v>
      </c>
      <c r="F184" s="16" t="s">
        <v>855</v>
      </c>
      <c r="G184" s="16" t="s">
        <v>796</v>
      </c>
      <c r="H184" s="40" t="s">
        <v>76</v>
      </c>
      <c r="I184" s="40" t="s">
        <v>76</v>
      </c>
      <c r="J184" s="36" t="s">
        <v>76</v>
      </c>
      <c r="K184" s="24"/>
      <c r="L184" s="30">
        <v>100</v>
      </c>
      <c r="M184" s="23" t="str">
        <f>"110,9716"</f>
        <v>110,9716</v>
      </c>
      <c r="N184" s="16" t="s">
        <v>3391</v>
      </c>
    </row>
    <row r="185" spans="1:14" x14ac:dyDescent="0.2">
      <c r="A185" s="43">
        <v>1</v>
      </c>
      <c r="B185" s="17" t="s">
        <v>1881</v>
      </c>
      <c r="C185" s="17" t="s">
        <v>1882</v>
      </c>
      <c r="D185" s="17" t="s">
        <v>1883</v>
      </c>
      <c r="E185" s="17" t="str">
        <f>"0,9370"</f>
        <v>0,9370</v>
      </c>
      <c r="F185" s="17" t="s">
        <v>4020</v>
      </c>
      <c r="G185" s="17" t="s">
        <v>884</v>
      </c>
      <c r="H185" s="37" t="s">
        <v>169</v>
      </c>
      <c r="I185" s="37" t="s">
        <v>157</v>
      </c>
      <c r="J185" s="39" t="s">
        <v>112</v>
      </c>
      <c r="K185" s="26"/>
      <c r="L185" s="31">
        <v>122.5</v>
      </c>
      <c r="M185" s="25" t="str">
        <f>"187,0955"</f>
        <v>187,0955</v>
      </c>
      <c r="N185" s="17" t="s">
        <v>3391</v>
      </c>
    </row>
    <row r="186" spans="1:14" x14ac:dyDescent="0.2">
      <c r="N186" s="16"/>
    </row>
    <row r="187" spans="1:14" ht="15" x14ac:dyDescent="0.2">
      <c r="B187" s="294" t="s">
        <v>4012</v>
      </c>
      <c r="C187" s="294"/>
      <c r="D187" s="294"/>
      <c r="E187" s="294"/>
      <c r="F187" s="294"/>
      <c r="G187" s="294"/>
      <c r="H187" s="294"/>
      <c r="I187" s="294"/>
      <c r="J187" s="294"/>
      <c r="K187" s="294"/>
      <c r="L187" s="294"/>
      <c r="M187" s="294"/>
    </row>
    <row r="188" spans="1:14" x14ac:dyDescent="0.2">
      <c r="A188" s="43">
        <v>1</v>
      </c>
      <c r="B188" s="15" t="s">
        <v>1980</v>
      </c>
      <c r="C188" s="15" t="s">
        <v>1884</v>
      </c>
      <c r="D188" s="15" t="s">
        <v>1885</v>
      </c>
      <c r="E188" s="15" t="str">
        <f>"0,8886"</f>
        <v>0,8886</v>
      </c>
      <c r="F188" s="15" t="s">
        <v>4020</v>
      </c>
      <c r="G188" s="15" t="s">
        <v>796</v>
      </c>
      <c r="H188" s="35" t="s">
        <v>69</v>
      </c>
      <c r="I188" s="35" t="s">
        <v>71</v>
      </c>
      <c r="J188" s="35" t="s">
        <v>112</v>
      </c>
      <c r="K188" s="22"/>
      <c r="L188" s="29">
        <v>125</v>
      </c>
      <c r="M188" s="21" t="str">
        <f>"111,0750"</f>
        <v>111,0750</v>
      </c>
      <c r="N188" s="15" t="s">
        <v>2094</v>
      </c>
    </row>
    <row r="189" spans="1:14" x14ac:dyDescent="0.2">
      <c r="A189" s="43">
        <v>1</v>
      </c>
      <c r="B189" s="16" t="s">
        <v>1986</v>
      </c>
      <c r="C189" s="16" t="s">
        <v>1886</v>
      </c>
      <c r="D189" s="16" t="s">
        <v>1137</v>
      </c>
      <c r="E189" s="16" t="str">
        <f>"0,8882"</f>
        <v>0,8882</v>
      </c>
      <c r="F189" s="16" t="s">
        <v>4020</v>
      </c>
      <c r="G189" s="16" t="s">
        <v>3303</v>
      </c>
      <c r="H189" s="36" t="s">
        <v>106</v>
      </c>
      <c r="I189" s="36" t="s">
        <v>166</v>
      </c>
      <c r="J189" s="36" t="s">
        <v>140</v>
      </c>
      <c r="K189" s="24"/>
      <c r="L189" s="30">
        <v>200</v>
      </c>
      <c r="M189" s="23" t="str">
        <f>"177,6400"</f>
        <v>177,6400</v>
      </c>
      <c r="N189" s="16" t="s">
        <v>2095</v>
      </c>
    </row>
    <row r="190" spans="1:14" x14ac:dyDescent="0.2">
      <c r="A190" s="43">
        <v>2</v>
      </c>
      <c r="B190" s="16" t="s">
        <v>1672</v>
      </c>
      <c r="C190" s="16" t="s">
        <v>1887</v>
      </c>
      <c r="D190" s="16" t="s">
        <v>1546</v>
      </c>
      <c r="E190" s="16" t="str">
        <f>"0,9010"</f>
        <v>0,9010</v>
      </c>
      <c r="F190" s="16" t="s">
        <v>4020</v>
      </c>
      <c r="G190" s="16" t="s">
        <v>845</v>
      </c>
      <c r="H190" s="36" t="s">
        <v>574</v>
      </c>
      <c r="I190" s="40" t="s">
        <v>36</v>
      </c>
      <c r="J190" s="40" t="s">
        <v>36</v>
      </c>
      <c r="K190" s="24"/>
      <c r="L190" s="30">
        <v>147.5</v>
      </c>
      <c r="M190" s="23" t="str">
        <f>"132,8975"</f>
        <v>132,8975</v>
      </c>
      <c r="N190" s="16" t="s">
        <v>3391</v>
      </c>
    </row>
    <row r="191" spans="1:14" x14ac:dyDescent="0.2">
      <c r="A191" s="43">
        <v>1</v>
      </c>
      <c r="B191" s="16" t="s">
        <v>1992</v>
      </c>
      <c r="C191" s="16" t="s">
        <v>1687</v>
      </c>
      <c r="D191" s="16" t="s">
        <v>910</v>
      </c>
      <c r="E191" s="16" t="str">
        <f>"0,8994"</f>
        <v>0,8994</v>
      </c>
      <c r="F191" s="16" t="s">
        <v>861</v>
      </c>
      <c r="G191" s="16" t="s">
        <v>3293</v>
      </c>
      <c r="H191" s="36" t="s">
        <v>220</v>
      </c>
      <c r="I191" s="36" t="s">
        <v>202</v>
      </c>
      <c r="J191" s="36" t="s">
        <v>208</v>
      </c>
      <c r="K191" s="40" t="s">
        <v>37</v>
      </c>
      <c r="L191" s="30">
        <v>245</v>
      </c>
      <c r="M191" s="23" t="str">
        <f>"220,3530"</f>
        <v>220,3530</v>
      </c>
      <c r="N191" s="16" t="s">
        <v>3391</v>
      </c>
    </row>
    <row r="192" spans="1:14" x14ac:dyDescent="0.2">
      <c r="A192" s="43">
        <v>2</v>
      </c>
      <c r="B192" s="16" t="s">
        <v>1997</v>
      </c>
      <c r="C192" s="16" t="s">
        <v>1888</v>
      </c>
      <c r="D192" s="16" t="s">
        <v>1889</v>
      </c>
      <c r="E192" s="16" t="str">
        <f>"0,8920"</f>
        <v>0,8920</v>
      </c>
      <c r="F192" s="16" t="s">
        <v>4020</v>
      </c>
      <c r="G192" s="16" t="s">
        <v>3304</v>
      </c>
      <c r="H192" s="36" t="s">
        <v>143</v>
      </c>
      <c r="I192" s="36" t="s">
        <v>24</v>
      </c>
      <c r="J192" s="36" t="s">
        <v>246</v>
      </c>
      <c r="K192" s="24"/>
      <c r="L192" s="30">
        <v>225</v>
      </c>
      <c r="M192" s="23" t="str">
        <f>"200,7000"</f>
        <v>200,7000</v>
      </c>
      <c r="N192" s="16" t="s">
        <v>2096</v>
      </c>
    </row>
    <row r="193" spans="1:14" x14ac:dyDescent="0.2">
      <c r="A193" s="43">
        <v>3</v>
      </c>
      <c r="B193" s="16" t="s">
        <v>1999</v>
      </c>
      <c r="C193" s="16" t="s">
        <v>1890</v>
      </c>
      <c r="D193" s="16" t="s">
        <v>1384</v>
      </c>
      <c r="E193" s="16" t="str">
        <f>"0,8942"</f>
        <v>0,8942</v>
      </c>
      <c r="F193" s="16" t="s">
        <v>4020</v>
      </c>
      <c r="G193" s="16" t="s">
        <v>808</v>
      </c>
      <c r="H193" s="36" t="s">
        <v>166</v>
      </c>
      <c r="I193" s="36" t="s">
        <v>225</v>
      </c>
      <c r="J193" s="36" t="s">
        <v>135</v>
      </c>
      <c r="K193" s="24"/>
      <c r="L193" s="30">
        <v>205</v>
      </c>
      <c r="M193" s="23" t="str">
        <f>"183,3110"</f>
        <v>183,3110</v>
      </c>
      <c r="N193" s="16" t="s">
        <v>3391</v>
      </c>
    </row>
    <row r="194" spans="1:14" x14ac:dyDescent="0.2">
      <c r="A194" s="43">
        <v>4</v>
      </c>
      <c r="B194" s="16" t="s">
        <v>1370</v>
      </c>
      <c r="C194" s="16" t="s">
        <v>1891</v>
      </c>
      <c r="D194" s="16" t="s">
        <v>1892</v>
      </c>
      <c r="E194" s="16" t="str">
        <f>"0,8946"</f>
        <v>0,8946</v>
      </c>
      <c r="F194" s="16" t="s">
        <v>4020</v>
      </c>
      <c r="G194" s="16" t="s">
        <v>3281</v>
      </c>
      <c r="H194" s="36" t="s">
        <v>156</v>
      </c>
      <c r="I194" s="36" t="s">
        <v>166</v>
      </c>
      <c r="J194" s="40" t="s">
        <v>140</v>
      </c>
      <c r="K194" s="24"/>
      <c r="L194" s="30">
        <v>195</v>
      </c>
      <c r="M194" s="23" t="str">
        <f>"174,4470"</f>
        <v>174,4470</v>
      </c>
      <c r="N194" s="16" t="s">
        <v>3391</v>
      </c>
    </row>
    <row r="195" spans="1:14" x14ac:dyDescent="0.2">
      <c r="A195" s="43">
        <v>5</v>
      </c>
      <c r="B195" s="16" t="s">
        <v>2001</v>
      </c>
      <c r="C195" s="16" t="s">
        <v>1893</v>
      </c>
      <c r="D195" s="16" t="s">
        <v>1384</v>
      </c>
      <c r="E195" s="16" t="str">
        <f>"0,8942"</f>
        <v>0,8942</v>
      </c>
      <c r="F195" s="16" t="s">
        <v>4020</v>
      </c>
      <c r="G195" s="16" t="s">
        <v>796</v>
      </c>
      <c r="H195" s="36" t="s">
        <v>207</v>
      </c>
      <c r="I195" s="36" t="s">
        <v>166</v>
      </c>
      <c r="J195" s="40" t="s">
        <v>225</v>
      </c>
      <c r="K195" s="24"/>
      <c r="L195" s="30">
        <v>195</v>
      </c>
      <c r="M195" s="23" t="str">
        <f>"174,3690"</f>
        <v>174,3690</v>
      </c>
      <c r="N195" s="16" t="s">
        <v>2097</v>
      </c>
    </row>
    <row r="196" spans="1:14" x14ac:dyDescent="0.2">
      <c r="A196" s="43">
        <v>6</v>
      </c>
      <c r="B196" s="16" t="s">
        <v>2044</v>
      </c>
      <c r="C196" s="16" t="s">
        <v>1894</v>
      </c>
      <c r="D196" s="16" t="s">
        <v>1895</v>
      </c>
      <c r="E196" s="16" t="str">
        <f>"0,9060"</f>
        <v>0,9060</v>
      </c>
      <c r="F196" s="16" t="s">
        <v>4020</v>
      </c>
      <c r="G196" s="16" t="s">
        <v>885</v>
      </c>
      <c r="H196" s="40" t="s">
        <v>30</v>
      </c>
      <c r="I196" s="36" t="s">
        <v>30</v>
      </c>
      <c r="J196" s="36" t="s">
        <v>156</v>
      </c>
      <c r="K196" s="24"/>
      <c r="L196" s="30">
        <v>175</v>
      </c>
      <c r="M196" s="23" t="str">
        <f>"158,5500"</f>
        <v>158,5500</v>
      </c>
      <c r="N196" s="16" t="s">
        <v>3391</v>
      </c>
    </row>
    <row r="197" spans="1:14" x14ac:dyDescent="0.2">
      <c r="A197" s="43">
        <v>7</v>
      </c>
      <c r="B197" s="16" t="s">
        <v>2045</v>
      </c>
      <c r="C197" s="16" t="s">
        <v>1896</v>
      </c>
      <c r="D197" s="16" t="s">
        <v>1897</v>
      </c>
      <c r="E197" s="16" t="str">
        <f>"0,8990"</f>
        <v>0,8990</v>
      </c>
      <c r="F197" s="16" t="s">
        <v>4020</v>
      </c>
      <c r="G197" s="16" t="s">
        <v>3228</v>
      </c>
      <c r="H197" s="36" t="s">
        <v>127</v>
      </c>
      <c r="I197" s="36" t="s">
        <v>30</v>
      </c>
      <c r="J197" s="36" t="s">
        <v>239</v>
      </c>
      <c r="K197" s="24"/>
      <c r="L197" s="30">
        <v>172.5</v>
      </c>
      <c r="M197" s="23" t="str">
        <f>"155,0775"</f>
        <v>155,0775</v>
      </c>
      <c r="N197" s="16" t="s">
        <v>2098</v>
      </c>
    </row>
    <row r="198" spans="1:14" x14ac:dyDescent="0.2">
      <c r="A198" s="43">
        <v>8</v>
      </c>
      <c r="B198" s="16" t="s">
        <v>2046</v>
      </c>
      <c r="C198" s="16" t="s">
        <v>1898</v>
      </c>
      <c r="D198" s="16" t="s">
        <v>1137</v>
      </c>
      <c r="E198" s="16" t="str">
        <f>"0,8882"</f>
        <v>0,8882</v>
      </c>
      <c r="F198" s="16" t="s">
        <v>868</v>
      </c>
      <c r="G198" s="16" t="s">
        <v>796</v>
      </c>
      <c r="H198" s="36" t="s">
        <v>574</v>
      </c>
      <c r="I198" s="40" t="s">
        <v>30</v>
      </c>
      <c r="J198" s="24"/>
      <c r="K198" s="24"/>
      <c r="L198" s="30">
        <v>147.5</v>
      </c>
      <c r="M198" s="23" t="str">
        <f>"131,0095"</f>
        <v>131,0095</v>
      </c>
      <c r="N198" s="16" t="s">
        <v>2099</v>
      </c>
    </row>
    <row r="199" spans="1:14" x14ac:dyDescent="0.2">
      <c r="A199" s="43">
        <v>1</v>
      </c>
      <c r="B199" s="16" t="s">
        <v>2012</v>
      </c>
      <c r="C199" s="16" t="s">
        <v>1900</v>
      </c>
      <c r="D199" s="16" t="s">
        <v>986</v>
      </c>
      <c r="E199" s="16" t="str">
        <f>"0,8860"</f>
        <v>0,8860</v>
      </c>
      <c r="F199" s="16" t="s">
        <v>4020</v>
      </c>
      <c r="G199" s="16" t="s">
        <v>845</v>
      </c>
      <c r="H199" s="36" t="s">
        <v>156</v>
      </c>
      <c r="I199" s="36" t="s">
        <v>106</v>
      </c>
      <c r="J199" s="40" t="s">
        <v>166</v>
      </c>
      <c r="K199" s="24"/>
      <c r="L199" s="30">
        <v>185</v>
      </c>
      <c r="M199" s="23" t="str">
        <f>"182,5957"</f>
        <v>182,5957</v>
      </c>
      <c r="N199" s="16" t="s">
        <v>3391</v>
      </c>
    </row>
    <row r="200" spans="1:14" x14ac:dyDescent="0.2">
      <c r="A200" s="43">
        <v>2</v>
      </c>
      <c r="B200" s="16" t="s">
        <v>2017</v>
      </c>
      <c r="C200" s="16" t="s">
        <v>1901</v>
      </c>
      <c r="D200" s="16" t="s">
        <v>1902</v>
      </c>
      <c r="E200" s="16" t="str">
        <f>"0,8920"</f>
        <v>0,8920</v>
      </c>
      <c r="F200" s="16" t="s">
        <v>853</v>
      </c>
      <c r="G200" s="16" t="s">
        <v>796</v>
      </c>
      <c r="H200" s="36" t="s">
        <v>30</v>
      </c>
      <c r="I200" s="40" t="s">
        <v>239</v>
      </c>
      <c r="J200" s="36" t="s">
        <v>239</v>
      </c>
      <c r="K200" s="24"/>
      <c r="L200" s="30">
        <v>172.5</v>
      </c>
      <c r="M200" s="23" t="str">
        <f>"168,6415"</f>
        <v>168,6415</v>
      </c>
      <c r="N200" s="16" t="s">
        <v>748</v>
      </c>
    </row>
    <row r="201" spans="1:14" x14ac:dyDescent="0.2">
      <c r="A201" s="43">
        <v>3</v>
      </c>
      <c r="B201" s="16" t="s">
        <v>2019</v>
      </c>
      <c r="C201" s="16" t="s">
        <v>1903</v>
      </c>
      <c r="D201" s="16" t="s">
        <v>1885</v>
      </c>
      <c r="E201" s="16" t="str">
        <f>"0,8886"</f>
        <v>0,8886</v>
      </c>
      <c r="F201" s="16" t="s">
        <v>4020</v>
      </c>
      <c r="G201" s="16" t="s">
        <v>3305</v>
      </c>
      <c r="H201" s="36" t="s">
        <v>30</v>
      </c>
      <c r="I201" s="36" t="s">
        <v>142</v>
      </c>
      <c r="J201" s="40" t="s">
        <v>156</v>
      </c>
      <c r="K201" s="24"/>
      <c r="L201" s="30">
        <v>170</v>
      </c>
      <c r="M201" s="23" t="str">
        <f>"165,5640"</f>
        <v>165,5640</v>
      </c>
      <c r="N201" s="16" t="s">
        <v>3391</v>
      </c>
    </row>
    <row r="202" spans="1:14" x14ac:dyDescent="0.2">
      <c r="A202" s="43">
        <v>4</v>
      </c>
      <c r="B202" s="16" t="s">
        <v>2047</v>
      </c>
      <c r="C202" s="16" t="s">
        <v>1904</v>
      </c>
      <c r="D202" s="16" t="s">
        <v>1905</v>
      </c>
      <c r="E202" s="16" t="str">
        <f>"0,8966"</f>
        <v>0,8966</v>
      </c>
      <c r="F202" s="16" t="s">
        <v>4020</v>
      </c>
      <c r="G202" s="16" t="s">
        <v>3296</v>
      </c>
      <c r="H202" s="36" t="s">
        <v>155</v>
      </c>
      <c r="I202" s="40" t="s">
        <v>142</v>
      </c>
      <c r="J202" s="24"/>
      <c r="K202" s="24"/>
      <c r="L202" s="30">
        <v>162.5</v>
      </c>
      <c r="M202" s="23" t="str">
        <f>"159,6845"</f>
        <v>159,6845</v>
      </c>
      <c r="N202" s="16" t="s">
        <v>3391</v>
      </c>
    </row>
    <row r="203" spans="1:14" x14ac:dyDescent="0.2">
      <c r="A203" s="43">
        <v>1</v>
      </c>
      <c r="B203" s="16" t="s">
        <v>2016</v>
      </c>
      <c r="C203" s="16" t="s">
        <v>1906</v>
      </c>
      <c r="D203" s="16" t="s">
        <v>988</v>
      </c>
      <c r="E203" s="16" t="str">
        <f>"0,8852"</f>
        <v>0,8852</v>
      </c>
      <c r="F203" s="16" t="s">
        <v>4020</v>
      </c>
      <c r="G203" s="16" t="s">
        <v>796</v>
      </c>
      <c r="H203" s="36" t="s">
        <v>116</v>
      </c>
      <c r="I203" s="36" t="s">
        <v>574</v>
      </c>
      <c r="J203" s="36" t="s">
        <v>149</v>
      </c>
      <c r="K203" s="24"/>
      <c r="L203" s="30">
        <v>157.5</v>
      </c>
      <c r="M203" s="23" t="str">
        <f>"171,2065"</f>
        <v>171,2065</v>
      </c>
      <c r="N203" s="16" t="s">
        <v>3391</v>
      </c>
    </row>
    <row r="204" spans="1:14" x14ac:dyDescent="0.2">
      <c r="A204" s="43">
        <v>2</v>
      </c>
      <c r="B204" s="17" t="s">
        <v>2015</v>
      </c>
      <c r="C204" s="17" t="s">
        <v>1907</v>
      </c>
      <c r="D204" s="17" t="s">
        <v>1895</v>
      </c>
      <c r="E204" s="17" t="str">
        <f>"0,9060"</f>
        <v>0,9060</v>
      </c>
      <c r="F204" s="17" t="s">
        <v>4020</v>
      </c>
      <c r="G204" s="17" t="s">
        <v>807</v>
      </c>
      <c r="H204" s="37" t="s">
        <v>36</v>
      </c>
      <c r="I204" s="37" t="s">
        <v>148</v>
      </c>
      <c r="J204" s="37" t="s">
        <v>25</v>
      </c>
      <c r="K204" s="26"/>
      <c r="L204" s="31">
        <v>155</v>
      </c>
      <c r="M204" s="25" t="str">
        <f>"172,4480"</f>
        <v>172,4480</v>
      </c>
      <c r="N204" s="17" t="s">
        <v>2100</v>
      </c>
    </row>
    <row r="206" spans="1:14" ht="15" x14ac:dyDescent="0.2">
      <c r="B206" s="311" t="s">
        <v>4013</v>
      </c>
      <c r="C206" s="311"/>
      <c r="D206" s="311"/>
      <c r="E206" s="311"/>
      <c r="F206" s="314"/>
      <c r="G206" s="311"/>
      <c r="H206" s="311"/>
      <c r="I206" s="311"/>
      <c r="J206" s="311"/>
      <c r="K206" s="311"/>
      <c r="L206" s="311"/>
      <c r="M206" s="311"/>
      <c r="N206" s="50"/>
    </row>
    <row r="207" spans="1:14" x14ac:dyDescent="0.2">
      <c r="A207" s="43">
        <v>1</v>
      </c>
      <c r="B207" s="16" t="s">
        <v>506</v>
      </c>
      <c r="C207" s="16" t="s">
        <v>507</v>
      </c>
      <c r="D207" s="16" t="s">
        <v>1909</v>
      </c>
      <c r="E207" s="115" t="str">
        <f>"0,8730"</f>
        <v>0,8730</v>
      </c>
      <c r="F207" s="15" t="s">
        <v>492</v>
      </c>
      <c r="G207" s="140" t="s">
        <v>821</v>
      </c>
      <c r="H207" s="36" t="s">
        <v>140</v>
      </c>
      <c r="I207" s="24"/>
      <c r="J207" s="24"/>
      <c r="K207" s="24"/>
      <c r="L207" s="30">
        <v>200</v>
      </c>
      <c r="M207" s="23" t="str">
        <f>"174,6000"</f>
        <v>174,6000</v>
      </c>
      <c r="N207" s="16" t="s">
        <v>3391</v>
      </c>
    </row>
    <row r="208" spans="1:14" x14ac:dyDescent="0.2">
      <c r="A208" s="43">
        <v>2</v>
      </c>
      <c r="B208" s="16" t="s">
        <v>500</v>
      </c>
      <c r="C208" s="16" t="s">
        <v>501</v>
      </c>
      <c r="D208" s="16" t="s">
        <v>502</v>
      </c>
      <c r="E208" s="115" t="str">
        <f>"0,8824"</f>
        <v>0,8824</v>
      </c>
      <c r="F208" s="16" t="s">
        <v>14</v>
      </c>
      <c r="G208" s="140" t="s">
        <v>822</v>
      </c>
      <c r="H208" s="36" t="s">
        <v>224</v>
      </c>
      <c r="I208" s="24"/>
      <c r="J208" s="24"/>
      <c r="K208" s="24"/>
      <c r="L208" s="30">
        <v>192.5</v>
      </c>
      <c r="M208" s="23" t="str">
        <f>"169,8620"</f>
        <v>169,8620</v>
      </c>
      <c r="N208" s="16" t="s">
        <v>774</v>
      </c>
    </row>
    <row r="209" spans="1:14" x14ac:dyDescent="0.2">
      <c r="A209" s="43">
        <v>3</v>
      </c>
      <c r="B209" s="16" t="s">
        <v>1920</v>
      </c>
      <c r="C209" s="16" t="s">
        <v>1910</v>
      </c>
      <c r="D209" s="16" t="s">
        <v>1911</v>
      </c>
      <c r="E209" s="115" t="str">
        <f>"0,8730"</f>
        <v>0,8730</v>
      </c>
      <c r="F209" s="16" t="s">
        <v>4020</v>
      </c>
      <c r="G209" s="140" t="s">
        <v>3306</v>
      </c>
      <c r="H209" s="36" t="s">
        <v>106</v>
      </c>
      <c r="I209" s="40" t="s">
        <v>224</v>
      </c>
      <c r="J209" s="36" t="s">
        <v>224</v>
      </c>
      <c r="K209" s="24"/>
      <c r="L209" s="30">
        <v>192.5</v>
      </c>
      <c r="M209" s="23" t="str">
        <f>"168,0525"</f>
        <v>168,0525</v>
      </c>
      <c r="N209" s="16" t="s">
        <v>3391</v>
      </c>
    </row>
    <row r="210" spans="1:14" x14ac:dyDescent="0.2">
      <c r="A210" s="43">
        <v>4</v>
      </c>
      <c r="B210" s="16" t="s">
        <v>2048</v>
      </c>
      <c r="C210" s="16" t="s">
        <v>1912</v>
      </c>
      <c r="D210" s="16" t="s">
        <v>1913</v>
      </c>
      <c r="E210" s="115" t="str">
        <f>"0,8606"</f>
        <v>0,8606</v>
      </c>
      <c r="F210" s="16" t="s">
        <v>4020</v>
      </c>
      <c r="G210" s="140" t="s">
        <v>796</v>
      </c>
      <c r="H210" s="36" t="s">
        <v>260</v>
      </c>
      <c r="I210" s="40" t="s">
        <v>11</v>
      </c>
      <c r="J210" s="36" t="s">
        <v>11</v>
      </c>
      <c r="K210" s="24"/>
      <c r="L210" s="30">
        <v>180</v>
      </c>
      <c r="M210" s="23" t="str">
        <f>"154,9080"</f>
        <v>154,9080</v>
      </c>
      <c r="N210" s="16" t="s">
        <v>2082</v>
      </c>
    </row>
    <row r="211" spans="1:14" x14ac:dyDescent="0.2">
      <c r="A211" s="43">
        <v>5</v>
      </c>
      <c r="B211" s="16" t="s">
        <v>1914</v>
      </c>
      <c r="C211" s="16" t="s">
        <v>1915</v>
      </c>
      <c r="D211" s="16" t="s">
        <v>1916</v>
      </c>
      <c r="E211" s="115" t="str">
        <f>"0,8810"</f>
        <v>0,8810</v>
      </c>
      <c r="F211" s="16" t="s">
        <v>4020</v>
      </c>
      <c r="G211" s="140" t="s">
        <v>838</v>
      </c>
      <c r="H211" s="36" t="s">
        <v>127</v>
      </c>
      <c r="I211" s="36" t="s">
        <v>142</v>
      </c>
      <c r="J211" s="40" t="s">
        <v>260</v>
      </c>
      <c r="K211" s="24"/>
      <c r="L211" s="30">
        <v>170</v>
      </c>
      <c r="M211" s="23" t="str">
        <f>"149,7700"</f>
        <v>149,7700</v>
      </c>
      <c r="N211" s="16" t="s">
        <v>3391</v>
      </c>
    </row>
    <row r="212" spans="1:14" x14ac:dyDescent="0.2">
      <c r="A212" s="43">
        <v>6</v>
      </c>
      <c r="B212" s="16" t="s">
        <v>2049</v>
      </c>
      <c r="C212" s="16" t="s">
        <v>1917</v>
      </c>
      <c r="D212" s="16" t="s">
        <v>1553</v>
      </c>
      <c r="E212" s="115" t="str">
        <f>"0,8638"</f>
        <v>0,8638</v>
      </c>
      <c r="F212" s="16" t="s">
        <v>4020</v>
      </c>
      <c r="G212" s="140" t="s">
        <v>796</v>
      </c>
      <c r="H212" s="36" t="s">
        <v>25</v>
      </c>
      <c r="I212" s="36" t="s">
        <v>141</v>
      </c>
      <c r="J212" s="40" t="s">
        <v>156</v>
      </c>
      <c r="K212" s="24"/>
      <c r="L212" s="30">
        <v>165</v>
      </c>
      <c r="M212" s="23" t="str">
        <f>"142,5270"</f>
        <v>142,5270</v>
      </c>
      <c r="N212" s="16" t="s">
        <v>2101</v>
      </c>
    </row>
    <row r="213" spans="1:14" x14ac:dyDescent="0.2">
      <c r="A213" s="43">
        <v>7</v>
      </c>
      <c r="B213" s="16" t="s">
        <v>2050</v>
      </c>
      <c r="C213" s="16" t="s">
        <v>1918</v>
      </c>
      <c r="D213" s="16" t="s">
        <v>1919</v>
      </c>
      <c r="E213" s="115" t="str">
        <f>"0,8798"</f>
        <v>0,8798</v>
      </c>
      <c r="F213" s="16" t="s">
        <v>4020</v>
      </c>
      <c r="G213" s="140" t="s">
        <v>796</v>
      </c>
      <c r="H213" s="36" t="s">
        <v>148</v>
      </c>
      <c r="I213" s="36" t="s">
        <v>127</v>
      </c>
      <c r="J213" s="40" t="s">
        <v>155</v>
      </c>
      <c r="K213" s="24"/>
      <c r="L213" s="30">
        <v>160</v>
      </c>
      <c r="M213" s="23" t="str">
        <f>"140,7680"</f>
        <v>140,7680</v>
      </c>
      <c r="N213" s="16" t="s">
        <v>3391</v>
      </c>
    </row>
    <row r="214" spans="1:14" x14ac:dyDescent="0.2">
      <c r="A214" s="43">
        <v>1</v>
      </c>
      <c r="B214" s="16" t="s">
        <v>1920</v>
      </c>
      <c r="C214" s="16" t="s">
        <v>1921</v>
      </c>
      <c r="D214" s="16" t="s">
        <v>1911</v>
      </c>
      <c r="E214" s="115" t="str">
        <f>"0,8730"</f>
        <v>0,8730</v>
      </c>
      <c r="F214" s="16" t="s">
        <v>4020</v>
      </c>
      <c r="G214" s="140" t="s">
        <v>3306</v>
      </c>
      <c r="H214" s="36" t="s">
        <v>106</v>
      </c>
      <c r="I214" s="40" t="s">
        <v>224</v>
      </c>
      <c r="J214" s="36" t="s">
        <v>224</v>
      </c>
      <c r="K214" s="24"/>
      <c r="L214" s="30">
        <v>192.5</v>
      </c>
      <c r="M214" s="23" t="str">
        <f>"168,0525"</f>
        <v>168,0525</v>
      </c>
      <c r="N214" s="16" t="s">
        <v>3391</v>
      </c>
    </row>
    <row r="215" spans="1:14" x14ac:dyDescent="0.2">
      <c r="A215" s="43">
        <v>2</v>
      </c>
      <c r="B215" s="16" t="s">
        <v>2003</v>
      </c>
      <c r="C215" s="16" t="s">
        <v>1922</v>
      </c>
      <c r="D215" s="16" t="s">
        <v>1923</v>
      </c>
      <c r="E215" s="115" t="str">
        <f>"0,8610"</f>
        <v>0,8610</v>
      </c>
      <c r="F215" s="16" t="s">
        <v>266</v>
      </c>
      <c r="G215" s="140" t="s">
        <v>3237</v>
      </c>
      <c r="H215" s="40" t="s">
        <v>36</v>
      </c>
      <c r="I215" s="36" t="s">
        <v>25</v>
      </c>
      <c r="J215" s="40" t="s">
        <v>141</v>
      </c>
      <c r="K215" s="24"/>
      <c r="L215" s="30">
        <v>155</v>
      </c>
      <c r="M215" s="23" t="str">
        <f>"133,4550"</f>
        <v>133,4550</v>
      </c>
      <c r="N215" s="16" t="s">
        <v>1924</v>
      </c>
    </row>
    <row r="216" spans="1:14" x14ac:dyDescent="0.2">
      <c r="A216" s="43">
        <v>1</v>
      </c>
      <c r="B216" s="16" t="s">
        <v>1914</v>
      </c>
      <c r="C216" s="16" t="s">
        <v>1925</v>
      </c>
      <c r="D216" s="16" t="s">
        <v>1916</v>
      </c>
      <c r="E216" s="115" t="str">
        <f>"0,8810"</f>
        <v>0,8810</v>
      </c>
      <c r="F216" s="16" t="s">
        <v>4020</v>
      </c>
      <c r="G216" s="140" t="s">
        <v>838</v>
      </c>
      <c r="H216" s="36" t="s">
        <v>127</v>
      </c>
      <c r="I216" s="36" t="s">
        <v>142</v>
      </c>
      <c r="J216" s="40" t="s">
        <v>260</v>
      </c>
      <c r="K216" s="24"/>
      <c r="L216" s="30">
        <v>170</v>
      </c>
      <c r="M216" s="23" t="str">
        <f>"151,8668"</f>
        <v>151,8668</v>
      </c>
      <c r="N216" s="16" t="s">
        <v>3391</v>
      </c>
    </row>
    <row r="217" spans="1:14" x14ac:dyDescent="0.2">
      <c r="A217" s="43">
        <v>1</v>
      </c>
      <c r="B217" s="17" t="s">
        <v>1908</v>
      </c>
      <c r="C217" s="17" t="s">
        <v>1926</v>
      </c>
      <c r="D217" s="17" t="s">
        <v>1927</v>
      </c>
      <c r="E217" s="116" t="str">
        <f>"0,8830"</f>
        <v>0,8830</v>
      </c>
      <c r="F217" s="17" t="s">
        <v>4020</v>
      </c>
      <c r="G217" s="141" t="s">
        <v>807</v>
      </c>
      <c r="H217" s="37" t="s">
        <v>36</v>
      </c>
      <c r="I217" s="37" t="s">
        <v>149</v>
      </c>
      <c r="J217" s="39" t="s">
        <v>155</v>
      </c>
      <c r="K217" s="26"/>
      <c r="L217" s="31">
        <v>157.5</v>
      </c>
      <c r="M217" s="25" t="str">
        <f>"204,4366"</f>
        <v>204,4366</v>
      </c>
      <c r="N217" s="17" t="s">
        <v>3391</v>
      </c>
    </row>
    <row r="219" spans="1:14" ht="15" x14ac:dyDescent="0.2">
      <c r="B219" s="294" t="s">
        <v>4016</v>
      </c>
      <c r="C219" s="294"/>
      <c r="D219" s="294"/>
      <c r="E219" s="294"/>
      <c r="F219" s="294"/>
      <c r="G219" s="294"/>
      <c r="H219" s="294"/>
      <c r="I219" s="294"/>
      <c r="J219" s="294"/>
      <c r="K219" s="294"/>
      <c r="L219" s="294"/>
      <c r="M219" s="294"/>
    </row>
    <row r="220" spans="1:14" x14ac:dyDescent="0.2">
      <c r="A220" s="43">
        <v>1</v>
      </c>
      <c r="B220" s="15" t="s">
        <v>1156</v>
      </c>
      <c r="C220" s="15" t="s">
        <v>1153</v>
      </c>
      <c r="D220" s="15" t="s">
        <v>1154</v>
      </c>
      <c r="E220" s="15" t="str">
        <f>"0,8450"</f>
        <v>0,8450</v>
      </c>
      <c r="F220" s="15" t="s">
        <v>266</v>
      </c>
      <c r="G220" s="15" t="s">
        <v>3237</v>
      </c>
      <c r="H220" s="35" t="s">
        <v>140</v>
      </c>
      <c r="I220" s="35" t="s">
        <v>143</v>
      </c>
      <c r="J220" s="35" t="s">
        <v>187</v>
      </c>
      <c r="K220" s="22"/>
      <c r="L220" s="29">
        <v>215</v>
      </c>
      <c r="M220" s="21" t="str">
        <f>"181,6750"</f>
        <v>181,6750</v>
      </c>
      <c r="N220" s="15" t="s">
        <v>1155</v>
      </c>
    </row>
    <row r="221" spans="1:14" x14ac:dyDescent="0.2">
      <c r="A221" s="43">
        <v>2</v>
      </c>
      <c r="B221" s="16" t="s">
        <v>2051</v>
      </c>
      <c r="C221" s="16" t="s">
        <v>1928</v>
      </c>
      <c r="D221" s="16" t="s">
        <v>1929</v>
      </c>
      <c r="E221" s="16" t="str">
        <f>"0,8560"</f>
        <v>0,8560</v>
      </c>
      <c r="F221" s="16" t="s">
        <v>3314</v>
      </c>
      <c r="G221" s="16" t="s">
        <v>796</v>
      </c>
      <c r="H221" s="36" t="s">
        <v>140</v>
      </c>
      <c r="I221" s="40" t="s">
        <v>143</v>
      </c>
      <c r="J221" s="40" t="s">
        <v>143</v>
      </c>
      <c r="K221" s="24"/>
      <c r="L221" s="30">
        <v>200</v>
      </c>
      <c r="M221" s="23" t="str">
        <f>"171,2000"</f>
        <v>171,2000</v>
      </c>
      <c r="N221" s="16" t="s">
        <v>2057</v>
      </c>
    </row>
    <row r="222" spans="1:14" x14ac:dyDescent="0.2">
      <c r="A222" s="43">
        <v>1</v>
      </c>
      <c r="B222" s="16" t="s">
        <v>2021</v>
      </c>
      <c r="C222" s="16" t="s">
        <v>1930</v>
      </c>
      <c r="D222" s="16" t="s">
        <v>1931</v>
      </c>
      <c r="E222" s="16" t="str">
        <f>"0,8470"</f>
        <v>0,8470</v>
      </c>
      <c r="F222" s="16" t="s">
        <v>862</v>
      </c>
      <c r="G222" s="16" t="s">
        <v>796</v>
      </c>
      <c r="H222" s="36" t="s">
        <v>11</v>
      </c>
      <c r="I222" s="36" t="s">
        <v>107</v>
      </c>
      <c r="J222" s="40" t="s">
        <v>166</v>
      </c>
      <c r="K222" s="24"/>
      <c r="L222" s="30">
        <v>190</v>
      </c>
      <c r="M222" s="23" t="str">
        <f>"160,9300"</f>
        <v>160,9300</v>
      </c>
      <c r="N222" s="16" t="s">
        <v>1655</v>
      </c>
    </row>
    <row r="223" spans="1:14" x14ac:dyDescent="0.2">
      <c r="A223" s="43">
        <v>1</v>
      </c>
      <c r="B223" s="17" t="s">
        <v>2009</v>
      </c>
      <c r="C223" s="17" t="s">
        <v>1932</v>
      </c>
      <c r="D223" s="17" t="s">
        <v>1933</v>
      </c>
      <c r="E223" s="17" t="str">
        <f>"0,8566"</f>
        <v>0,8566</v>
      </c>
      <c r="F223" s="17" t="s">
        <v>4020</v>
      </c>
      <c r="G223" s="17" t="s">
        <v>805</v>
      </c>
      <c r="H223" s="37" t="s">
        <v>141</v>
      </c>
      <c r="I223" s="39" t="s">
        <v>142</v>
      </c>
      <c r="J223" s="39" t="s">
        <v>142</v>
      </c>
      <c r="K223" s="26"/>
      <c r="L223" s="31">
        <v>165</v>
      </c>
      <c r="M223" s="25" t="str">
        <f>"195,0478"</f>
        <v>195,0478</v>
      </c>
      <c r="N223" s="17" t="s">
        <v>2068</v>
      </c>
    </row>
    <row r="225" spans="1:14" ht="15" x14ac:dyDescent="0.2">
      <c r="B225" s="294" t="s">
        <v>4017</v>
      </c>
      <c r="C225" s="294"/>
      <c r="D225" s="294"/>
      <c r="E225" s="294"/>
      <c r="F225" s="294"/>
      <c r="G225" s="294"/>
      <c r="H225" s="294"/>
      <c r="I225" s="294"/>
      <c r="J225" s="294"/>
      <c r="K225" s="294"/>
      <c r="L225" s="294"/>
      <c r="M225" s="294"/>
      <c r="N225" s="50"/>
    </row>
    <row r="226" spans="1:14" x14ac:dyDescent="0.2">
      <c r="A226" s="43">
        <v>1</v>
      </c>
      <c r="B226" s="15" t="s">
        <v>2052</v>
      </c>
      <c r="C226" s="15" t="s">
        <v>1934</v>
      </c>
      <c r="D226" s="15" t="s">
        <v>1935</v>
      </c>
      <c r="E226" s="15" t="str">
        <f>"0,8242"</f>
        <v>0,8242</v>
      </c>
      <c r="F226" s="15" t="s">
        <v>266</v>
      </c>
      <c r="G226" s="15" t="s">
        <v>837</v>
      </c>
      <c r="H226" s="35" t="s">
        <v>141</v>
      </c>
      <c r="I226" s="35" t="s">
        <v>260</v>
      </c>
      <c r="J226" s="35" t="s">
        <v>207</v>
      </c>
      <c r="K226" s="22"/>
      <c r="L226" s="29">
        <v>187.5</v>
      </c>
      <c r="M226" s="21" t="str">
        <f>"154,5375"</f>
        <v>154,5375</v>
      </c>
      <c r="N226" s="16" t="s">
        <v>3391</v>
      </c>
    </row>
    <row r="227" spans="1:14" x14ac:dyDescent="0.2">
      <c r="A227" s="43">
        <v>2</v>
      </c>
      <c r="B227" s="16" t="s">
        <v>508</v>
      </c>
      <c r="C227" s="16" t="s">
        <v>509</v>
      </c>
      <c r="D227" s="16" t="s">
        <v>510</v>
      </c>
      <c r="E227" s="16" t="str">
        <f>"0,8380"</f>
        <v>0,8380</v>
      </c>
      <c r="F227" s="16" t="s">
        <v>492</v>
      </c>
      <c r="G227" s="16" t="s">
        <v>821</v>
      </c>
      <c r="H227" s="36" t="s">
        <v>71</v>
      </c>
      <c r="I227" s="24"/>
      <c r="J227" s="24"/>
      <c r="K227" s="24"/>
      <c r="L227" s="30">
        <v>120</v>
      </c>
      <c r="M227" s="23" t="str">
        <f>"100,5600"</f>
        <v>100,5600</v>
      </c>
      <c r="N227" s="16" t="s">
        <v>3391</v>
      </c>
    </row>
    <row r="228" spans="1:14" x14ac:dyDescent="0.2">
      <c r="A228" s="43">
        <v>1</v>
      </c>
      <c r="B228" s="17" t="s">
        <v>2053</v>
      </c>
      <c r="C228" s="17" t="s">
        <v>1936</v>
      </c>
      <c r="D228" s="17" t="s">
        <v>1937</v>
      </c>
      <c r="E228" s="17" t="str">
        <f>"0,8312"</f>
        <v>0,8312</v>
      </c>
      <c r="F228" s="17" t="s">
        <v>4020</v>
      </c>
      <c r="G228" s="17" t="s">
        <v>3307</v>
      </c>
      <c r="H228" s="37" t="s">
        <v>116</v>
      </c>
      <c r="I228" s="26"/>
      <c r="J228" s="26"/>
      <c r="K228" s="26"/>
      <c r="L228" s="31">
        <v>140</v>
      </c>
      <c r="M228" s="25" t="str">
        <f>"148,1365"</f>
        <v>148,1365</v>
      </c>
      <c r="N228" s="17" t="s">
        <v>2102</v>
      </c>
    </row>
    <row r="230" spans="1:14" ht="18" x14ac:dyDescent="0.25">
      <c r="B230" s="8" t="s">
        <v>4022</v>
      </c>
      <c r="C230" s="8"/>
    </row>
    <row r="231" spans="1:14" ht="15" x14ac:dyDescent="0.2">
      <c r="B231" s="9" t="s">
        <v>283</v>
      </c>
      <c r="C231" s="9"/>
    </row>
    <row r="232" spans="1:14" ht="14.25" x14ac:dyDescent="0.2">
      <c r="B232" s="11"/>
      <c r="C232" s="12" t="s">
        <v>18</v>
      </c>
      <c r="G232"/>
      <c r="H232" s="43"/>
      <c r="I232" s="43"/>
      <c r="J232" s="43"/>
      <c r="K232" s="43"/>
      <c r="M232" s="43"/>
      <c r="N232"/>
    </row>
    <row r="233" spans="1:14" ht="15" x14ac:dyDescent="0.2">
      <c r="B233" s="13" t="s">
        <v>0</v>
      </c>
      <c r="C233" s="13" t="s">
        <v>19</v>
      </c>
      <c r="D233" s="13" t="s">
        <v>20</v>
      </c>
      <c r="E233" s="13" t="s">
        <v>3593</v>
      </c>
      <c r="F233" s="13" t="s">
        <v>9</v>
      </c>
      <c r="G233"/>
      <c r="H233" s="43"/>
      <c r="I233" s="43"/>
      <c r="J233" s="43"/>
      <c r="K233" s="43"/>
      <c r="M233" s="43"/>
      <c r="N233"/>
    </row>
    <row r="234" spans="1:14" x14ac:dyDescent="0.2">
      <c r="A234" s="43">
        <v>1</v>
      </c>
      <c r="B234" s="10" t="s">
        <v>1696</v>
      </c>
      <c r="C234" s="18" t="s">
        <v>18</v>
      </c>
      <c r="D234" s="27" t="s">
        <v>288</v>
      </c>
      <c r="E234" s="27" t="s">
        <v>1693</v>
      </c>
      <c r="F234" s="27" t="s">
        <v>1938</v>
      </c>
      <c r="G234"/>
      <c r="H234" s="43"/>
      <c r="I234" s="43"/>
      <c r="J234" s="43"/>
      <c r="K234" s="43"/>
      <c r="M234" s="43"/>
      <c r="N234"/>
    </row>
    <row r="235" spans="1:14" x14ac:dyDescent="0.2">
      <c r="A235" s="43">
        <v>2</v>
      </c>
      <c r="B235" s="10" t="s">
        <v>1945</v>
      </c>
      <c r="C235" s="18" t="s">
        <v>18</v>
      </c>
      <c r="D235" s="27" t="s">
        <v>295</v>
      </c>
      <c r="E235" s="27" t="s">
        <v>76</v>
      </c>
      <c r="F235" s="27" t="s">
        <v>1946</v>
      </c>
      <c r="G235"/>
      <c r="H235" s="43"/>
      <c r="I235" s="43"/>
      <c r="J235" s="43"/>
      <c r="K235" s="43"/>
      <c r="M235" s="43"/>
      <c r="N235"/>
    </row>
    <row r="236" spans="1:14" x14ac:dyDescent="0.2">
      <c r="A236" s="43">
        <v>3</v>
      </c>
      <c r="B236" s="10" t="s">
        <v>1947</v>
      </c>
      <c r="C236" s="18" t="s">
        <v>18</v>
      </c>
      <c r="D236" s="27" t="s">
        <v>286</v>
      </c>
      <c r="E236" s="27" t="s">
        <v>54</v>
      </c>
      <c r="F236" s="27" t="s">
        <v>1948</v>
      </c>
      <c r="G236"/>
      <c r="H236" s="43"/>
      <c r="I236" s="43"/>
      <c r="J236" s="43"/>
      <c r="K236" s="43"/>
      <c r="M236" s="43"/>
      <c r="N236"/>
    </row>
    <row r="239" spans="1:14" ht="15" x14ac:dyDescent="0.2">
      <c r="B239" s="9" t="s">
        <v>3499</v>
      </c>
      <c r="C239" s="9"/>
      <c r="G239"/>
      <c r="H239" s="43"/>
      <c r="I239" s="43"/>
      <c r="J239" s="43"/>
      <c r="K239" s="43"/>
      <c r="M239" s="43"/>
      <c r="N239"/>
    </row>
    <row r="240" spans="1:14" ht="14.25" x14ac:dyDescent="0.2">
      <c r="B240" s="11"/>
      <c r="C240" s="12" t="s">
        <v>297</v>
      </c>
      <c r="G240"/>
      <c r="H240" s="43"/>
      <c r="I240" s="43"/>
      <c r="J240" s="43"/>
      <c r="K240" s="43"/>
      <c r="M240" s="43"/>
      <c r="N240"/>
    </row>
    <row r="241" spans="1:14" ht="15" x14ac:dyDescent="0.2">
      <c r="B241" s="13" t="s">
        <v>0</v>
      </c>
      <c r="C241" s="13" t="s">
        <v>19</v>
      </c>
      <c r="D241" s="13" t="s">
        <v>20</v>
      </c>
      <c r="E241" s="13" t="s">
        <v>3593</v>
      </c>
      <c r="F241" s="13" t="s">
        <v>9</v>
      </c>
      <c r="G241"/>
      <c r="H241" s="43"/>
      <c r="I241" s="43"/>
      <c r="J241" s="43"/>
      <c r="K241" s="43"/>
      <c r="M241" s="43"/>
      <c r="N241"/>
    </row>
    <row r="242" spans="1:14" x14ac:dyDescent="0.2">
      <c r="A242" s="43">
        <v>1</v>
      </c>
      <c r="B242" s="10" t="s">
        <v>1797</v>
      </c>
      <c r="C242" s="18" t="s">
        <v>298</v>
      </c>
      <c r="D242" s="27" t="s">
        <v>32</v>
      </c>
      <c r="E242" s="27" t="s">
        <v>156</v>
      </c>
      <c r="F242" s="27" t="s">
        <v>1967</v>
      </c>
      <c r="G242"/>
      <c r="H242" s="43"/>
      <c r="I242" s="43"/>
      <c r="J242" s="43"/>
      <c r="K242" s="43"/>
      <c r="M242" s="43"/>
      <c r="N242"/>
    </row>
    <row r="243" spans="1:14" x14ac:dyDescent="0.2">
      <c r="A243" s="43">
        <v>2</v>
      </c>
      <c r="B243" s="10" t="s">
        <v>1968</v>
      </c>
      <c r="C243" s="18" t="s">
        <v>299</v>
      </c>
      <c r="D243" s="27" t="s">
        <v>515</v>
      </c>
      <c r="E243" s="27" t="s">
        <v>65</v>
      </c>
      <c r="F243" s="27" t="s">
        <v>1969</v>
      </c>
      <c r="G243"/>
      <c r="H243" s="43"/>
      <c r="I243" s="43"/>
      <c r="J243" s="43"/>
      <c r="K243" s="43"/>
      <c r="M243" s="43"/>
      <c r="N243"/>
    </row>
    <row r="244" spans="1:14" x14ac:dyDescent="0.2">
      <c r="A244" s="43">
        <v>3</v>
      </c>
      <c r="B244" s="10" t="s">
        <v>1970</v>
      </c>
      <c r="C244" s="18" t="s">
        <v>298</v>
      </c>
      <c r="D244" s="27" t="s">
        <v>21</v>
      </c>
      <c r="E244" s="27" t="s">
        <v>25</v>
      </c>
      <c r="F244" s="27" t="s">
        <v>1971</v>
      </c>
      <c r="G244"/>
      <c r="H244" s="43"/>
      <c r="I244" s="43"/>
      <c r="J244" s="43"/>
      <c r="K244" s="43"/>
      <c r="M244" s="43"/>
      <c r="N244"/>
    </row>
    <row r="245" spans="1:14" x14ac:dyDescent="0.2">
      <c r="C245" s="18"/>
    </row>
    <row r="246" spans="1:14" ht="14.25" x14ac:dyDescent="0.2">
      <c r="B246" s="11"/>
      <c r="C246" s="12" t="s">
        <v>284</v>
      </c>
      <c r="G246"/>
      <c r="H246" s="43"/>
      <c r="I246" s="43"/>
      <c r="J246" s="43"/>
      <c r="K246" s="43"/>
      <c r="M246" s="43"/>
      <c r="N246"/>
    </row>
    <row r="247" spans="1:14" ht="15" x14ac:dyDescent="0.2">
      <c r="B247" s="13" t="s">
        <v>0</v>
      </c>
      <c r="C247" s="13" t="s">
        <v>19</v>
      </c>
      <c r="D247" s="13" t="s">
        <v>20</v>
      </c>
      <c r="E247" s="13" t="s">
        <v>3593</v>
      </c>
      <c r="F247" s="13" t="s">
        <v>9</v>
      </c>
      <c r="G247"/>
      <c r="H247" s="43"/>
      <c r="I247" s="43"/>
      <c r="J247" s="43"/>
      <c r="K247" s="43"/>
      <c r="M247" s="43"/>
      <c r="N247"/>
    </row>
    <row r="248" spans="1:14" x14ac:dyDescent="0.2">
      <c r="A248" s="43">
        <v>1</v>
      </c>
      <c r="B248" s="10" t="s">
        <v>1752</v>
      </c>
      <c r="C248" s="18" t="s">
        <v>285</v>
      </c>
      <c r="D248" s="27" t="s">
        <v>291</v>
      </c>
      <c r="E248" s="27" t="s">
        <v>141</v>
      </c>
      <c r="F248" s="27" t="s">
        <v>1982</v>
      </c>
      <c r="G248"/>
      <c r="H248" s="43"/>
      <c r="I248" s="43"/>
      <c r="J248" s="43"/>
      <c r="K248" s="43"/>
      <c r="M248" s="43"/>
      <c r="N248"/>
    </row>
    <row r="249" spans="1:14" x14ac:dyDescent="0.2">
      <c r="A249" s="43">
        <v>2</v>
      </c>
      <c r="B249" s="10" t="s">
        <v>1983</v>
      </c>
      <c r="C249" s="18" t="s">
        <v>285</v>
      </c>
      <c r="D249" s="27" t="s">
        <v>291</v>
      </c>
      <c r="E249" s="27" t="s">
        <v>149</v>
      </c>
      <c r="F249" s="27" t="s">
        <v>1984</v>
      </c>
      <c r="G249"/>
      <c r="H249" s="43"/>
      <c r="I249" s="43"/>
      <c r="J249" s="43"/>
      <c r="K249" s="43"/>
      <c r="M249" s="43"/>
      <c r="N249"/>
    </row>
    <row r="250" spans="1:14" x14ac:dyDescent="0.2">
      <c r="A250" s="43">
        <v>3</v>
      </c>
      <c r="B250" s="10" t="s">
        <v>1832</v>
      </c>
      <c r="C250" s="18" t="s">
        <v>285</v>
      </c>
      <c r="D250" s="27" t="s">
        <v>300</v>
      </c>
      <c r="E250" s="27" t="s">
        <v>107</v>
      </c>
      <c r="F250" s="27" t="s">
        <v>1985</v>
      </c>
      <c r="G250"/>
      <c r="H250" s="43"/>
      <c r="I250" s="43"/>
      <c r="J250" s="43"/>
      <c r="K250" s="43"/>
      <c r="M250" s="43"/>
      <c r="N250"/>
    </row>
    <row r="252" spans="1:14" ht="14.25" x14ac:dyDescent="0.2">
      <c r="B252" s="11"/>
      <c r="C252" s="12" t="s">
        <v>18</v>
      </c>
      <c r="G252"/>
      <c r="H252" s="43"/>
      <c r="I252" s="43"/>
      <c r="J252" s="43"/>
      <c r="K252" s="43"/>
      <c r="M252" s="43"/>
      <c r="N252"/>
    </row>
    <row r="253" spans="1:14" ht="15" x14ac:dyDescent="0.2">
      <c r="B253" s="13" t="s">
        <v>0</v>
      </c>
      <c r="C253" s="13" t="s">
        <v>19</v>
      </c>
      <c r="D253" s="13" t="s">
        <v>20</v>
      </c>
      <c r="E253" s="13" t="s">
        <v>3593</v>
      </c>
      <c r="F253" s="13" t="s">
        <v>9</v>
      </c>
      <c r="G253"/>
      <c r="H253" s="43"/>
      <c r="I253" s="43"/>
      <c r="J253" s="43"/>
      <c r="K253" s="43"/>
      <c r="M253" s="43"/>
      <c r="N253"/>
    </row>
    <row r="254" spans="1:14" x14ac:dyDescent="0.2">
      <c r="A254" s="43">
        <v>1</v>
      </c>
      <c r="B254" s="10" t="s">
        <v>1992</v>
      </c>
      <c r="C254" s="18" t="s">
        <v>18</v>
      </c>
      <c r="D254" s="27" t="s">
        <v>306</v>
      </c>
      <c r="E254" s="27" t="s">
        <v>208</v>
      </c>
      <c r="F254" s="27" t="s">
        <v>1993</v>
      </c>
      <c r="G254"/>
      <c r="H254" s="43"/>
      <c r="I254" s="43"/>
      <c r="J254" s="43"/>
      <c r="K254" s="43"/>
      <c r="M254" s="43"/>
      <c r="N254"/>
    </row>
    <row r="255" spans="1:14" x14ac:dyDescent="0.2">
      <c r="A255" s="43">
        <v>2</v>
      </c>
      <c r="B255" s="10" t="s">
        <v>561</v>
      </c>
      <c r="C255" s="18" t="s">
        <v>18</v>
      </c>
      <c r="D255" s="27" t="s">
        <v>21</v>
      </c>
      <c r="E255" s="27" t="s">
        <v>389</v>
      </c>
      <c r="F255" s="27" t="s">
        <v>1994</v>
      </c>
      <c r="G255"/>
      <c r="H255" s="43"/>
      <c r="I255" s="43"/>
      <c r="J255" s="43"/>
      <c r="K255" s="43"/>
      <c r="M255" s="43"/>
      <c r="N255"/>
    </row>
    <row r="256" spans="1:14" x14ac:dyDescent="0.2">
      <c r="A256" s="43">
        <v>3</v>
      </c>
      <c r="B256" s="10" t="s">
        <v>1899</v>
      </c>
      <c r="C256" s="18" t="s">
        <v>18</v>
      </c>
      <c r="D256" s="27" t="s">
        <v>291</v>
      </c>
      <c r="E256" s="27" t="s">
        <v>106</v>
      </c>
      <c r="F256" s="27" t="s">
        <v>1995</v>
      </c>
      <c r="G256"/>
      <c r="H256" s="43"/>
      <c r="I256" s="43"/>
      <c r="J256" s="43"/>
      <c r="K256" s="43"/>
      <c r="M256" s="43"/>
      <c r="N256"/>
    </row>
    <row r="257" spans="1:14" x14ac:dyDescent="0.2">
      <c r="C257" s="18"/>
      <c r="D257" s="14"/>
      <c r="E257" s="14"/>
    </row>
    <row r="258" spans="1:14" ht="14.25" x14ac:dyDescent="0.2">
      <c r="B258" s="11"/>
      <c r="C258" s="12" t="s">
        <v>310</v>
      </c>
      <c r="G258"/>
      <c r="H258" s="43"/>
      <c r="I258" s="43"/>
      <c r="J258" s="43"/>
      <c r="K258" s="43"/>
      <c r="M258" s="43"/>
      <c r="N258"/>
    </row>
    <row r="259" spans="1:14" ht="15" x14ac:dyDescent="0.2">
      <c r="B259" s="13" t="s">
        <v>0</v>
      </c>
      <c r="C259" s="13" t="s">
        <v>19</v>
      </c>
      <c r="D259" s="13" t="s">
        <v>20</v>
      </c>
      <c r="E259" s="13" t="s">
        <v>3593</v>
      </c>
      <c r="F259" s="13" t="s">
        <v>9</v>
      </c>
      <c r="G259"/>
      <c r="H259" s="43"/>
      <c r="I259" s="43"/>
      <c r="J259" s="43"/>
      <c r="K259" s="43"/>
      <c r="M259" s="43"/>
      <c r="N259"/>
    </row>
    <row r="260" spans="1:14" x14ac:dyDescent="0.2">
      <c r="A260" s="43">
        <v>1</v>
      </c>
      <c r="B260" s="10" t="s">
        <v>474</v>
      </c>
      <c r="C260" s="18" t="s">
        <v>314</v>
      </c>
      <c r="D260" s="27" t="s">
        <v>300</v>
      </c>
      <c r="E260" s="27" t="s">
        <v>36</v>
      </c>
      <c r="F260" s="27" t="s">
        <v>2004</v>
      </c>
      <c r="G260"/>
      <c r="H260" s="43"/>
      <c r="I260" s="43"/>
      <c r="J260" s="43"/>
      <c r="K260" s="43"/>
      <c r="M260" s="43"/>
      <c r="N260"/>
    </row>
    <row r="261" spans="1:14" x14ac:dyDescent="0.2">
      <c r="A261" s="43">
        <v>2</v>
      </c>
      <c r="B261" s="10" t="s">
        <v>2005</v>
      </c>
      <c r="C261" s="18" t="s">
        <v>313</v>
      </c>
      <c r="D261" s="27" t="s">
        <v>32</v>
      </c>
      <c r="E261" s="27" t="s">
        <v>142</v>
      </c>
      <c r="F261" s="27" t="s">
        <v>2006</v>
      </c>
      <c r="G261"/>
      <c r="H261" s="43"/>
      <c r="I261" s="43"/>
      <c r="J261" s="43"/>
      <c r="K261" s="43"/>
      <c r="M261" s="43"/>
      <c r="N261"/>
    </row>
    <row r="262" spans="1:14" x14ac:dyDescent="0.2">
      <c r="A262" s="43">
        <v>3</v>
      </c>
      <c r="B262" s="10" t="s">
        <v>1908</v>
      </c>
      <c r="C262" s="18" t="s">
        <v>1175</v>
      </c>
      <c r="D262" s="27" t="s">
        <v>303</v>
      </c>
      <c r="E262" s="27" t="s">
        <v>149</v>
      </c>
      <c r="F262" s="27" t="s">
        <v>2007</v>
      </c>
      <c r="G262"/>
      <c r="H262" s="43"/>
      <c r="I262" s="43"/>
      <c r="J262" s="43"/>
      <c r="K262" s="43"/>
      <c r="M262" s="43"/>
      <c r="N262"/>
    </row>
  </sheetData>
  <mergeCells count="33">
    <mergeCell ref="A1:N1"/>
    <mergeCell ref="A2:N2"/>
    <mergeCell ref="A3:N3"/>
    <mergeCell ref="N4:N5"/>
    <mergeCell ref="E4:E5"/>
    <mergeCell ref="F4:F5"/>
    <mergeCell ref="G4:G5"/>
    <mergeCell ref="H4:K4"/>
    <mergeCell ref="L4:L5"/>
    <mergeCell ref="M4:M5"/>
    <mergeCell ref="B225:M225"/>
    <mergeCell ref="A4:A5"/>
    <mergeCell ref="B76:M76"/>
    <mergeCell ref="B95:M95"/>
    <mergeCell ref="B117:M117"/>
    <mergeCell ref="B156:M156"/>
    <mergeCell ref="B187:M187"/>
    <mergeCell ref="B206:M206"/>
    <mergeCell ref="B43:M43"/>
    <mergeCell ref="B55:M55"/>
    <mergeCell ref="B58:M58"/>
    <mergeCell ref="B62:M62"/>
    <mergeCell ref="B219:M219"/>
    <mergeCell ref="B4:B5"/>
    <mergeCell ref="C4:C5"/>
    <mergeCell ref="D4:D5"/>
    <mergeCell ref="B71:M71"/>
    <mergeCell ref="B33:M33"/>
    <mergeCell ref="B6:M6"/>
    <mergeCell ref="B11:M11"/>
    <mergeCell ref="B16:M16"/>
    <mergeCell ref="B67:M67"/>
    <mergeCell ref="B27:M27"/>
  </mergeCells>
  <hyperlinks>
    <hyperlink ref="F163" r:id="rId1" tooltip="Finland" display="http://www.maplandia.com/finland/"/>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topLeftCell="D135" workbookViewId="0">
      <selection activeCell="F74" sqref="F74"/>
    </sheetView>
  </sheetViews>
  <sheetFormatPr defaultColWidth="8.7109375" defaultRowHeight="12.75" x14ac:dyDescent="0.2"/>
  <cols>
    <col min="1" max="1" width="6.85546875" style="42" bestFit="1" customWidth="1"/>
    <col min="2" max="2" width="22.5703125" style="75" bestFit="1" customWidth="1"/>
    <col min="3" max="3" width="33.42578125" style="65" bestFit="1" customWidth="1"/>
    <col min="4" max="4" width="8.5703125" style="65" bestFit="1" customWidth="1"/>
    <col min="5" max="5" width="7.5703125" style="65" bestFit="1" customWidth="1"/>
    <col min="6" max="6" width="26.42578125" style="65" bestFit="1" customWidth="1"/>
    <col min="7" max="7" width="48.5703125" style="65" bestFit="1" customWidth="1"/>
    <col min="8" max="11" width="6.42578125" style="86" bestFit="1" customWidth="1"/>
    <col min="12" max="12" width="6.42578125" style="96" bestFit="1" customWidth="1"/>
    <col min="13" max="13" width="9.85546875" style="86" bestFit="1" customWidth="1"/>
    <col min="14" max="14" width="28.7109375" style="65" bestFit="1" customWidth="1"/>
    <col min="15" max="257" width="8.7109375" style="1"/>
    <col min="258" max="258" width="30.28515625" style="1" bestFit="1" customWidth="1"/>
    <col min="259" max="259" width="30.85546875" style="1" bestFit="1" customWidth="1"/>
    <col min="260" max="260" width="7.7109375" style="1" bestFit="1" customWidth="1"/>
    <col min="261" max="261" width="6.7109375" style="1" bestFit="1" customWidth="1"/>
    <col min="262" max="262" width="18.7109375" style="1" bestFit="1" customWidth="1"/>
    <col min="263" max="263" width="40.28515625" style="1" bestFit="1" customWidth="1"/>
    <col min="264" max="267" width="5.5703125" style="1" bestFit="1" customWidth="1"/>
    <col min="268" max="268" width="6.7109375" style="1" bestFit="1" customWidth="1"/>
    <col min="269" max="269" width="8.5703125" style="1" bestFit="1" customWidth="1"/>
    <col min="270" max="270" width="30.85546875" style="1" bestFit="1" customWidth="1"/>
    <col min="271" max="513" width="8.7109375" style="1"/>
    <col min="514" max="514" width="30.28515625" style="1" bestFit="1" customWidth="1"/>
    <col min="515" max="515" width="30.85546875" style="1" bestFit="1" customWidth="1"/>
    <col min="516" max="516" width="7.7109375" style="1" bestFit="1" customWidth="1"/>
    <col min="517" max="517" width="6.7109375" style="1" bestFit="1" customWidth="1"/>
    <col min="518" max="518" width="18.7109375" style="1" bestFit="1" customWidth="1"/>
    <col min="519" max="519" width="40.28515625" style="1" bestFit="1" customWidth="1"/>
    <col min="520" max="523" width="5.5703125" style="1" bestFit="1" customWidth="1"/>
    <col min="524" max="524" width="6.7109375" style="1" bestFit="1" customWidth="1"/>
    <col min="525" max="525" width="8.5703125" style="1" bestFit="1" customWidth="1"/>
    <col min="526" max="526" width="30.85546875" style="1" bestFit="1" customWidth="1"/>
    <col min="527" max="769" width="8.7109375" style="1"/>
    <col min="770" max="770" width="30.28515625" style="1" bestFit="1" customWidth="1"/>
    <col min="771" max="771" width="30.85546875" style="1" bestFit="1" customWidth="1"/>
    <col min="772" max="772" width="7.7109375" style="1" bestFit="1" customWidth="1"/>
    <col min="773" max="773" width="6.7109375" style="1" bestFit="1" customWidth="1"/>
    <col min="774" max="774" width="18.7109375" style="1" bestFit="1" customWidth="1"/>
    <col min="775" max="775" width="40.28515625" style="1" bestFit="1" customWidth="1"/>
    <col min="776" max="779" width="5.5703125" style="1" bestFit="1" customWidth="1"/>
    <col min="780" max="780" width="6.7109375" style="1" bestFit="1" customWidth="1"/>
    <col min="781" max="781" width="8.5703125" style="1" bestFit="1" customWidth="1"/>
    <col min="782" max="782" width="30.85546875" style="1" bestFit="1" customWidth="1"/>
    <col min="783" max="1025" width="8.7109375" style="1"/>
    <col min="1026" max="1026" width="30.28515625" style="1" bestFit="1" customWidth="1"/>
    <col min="1027" max="1027" width="30.85546875" style="1" bestFit="1" customWidth="1"/>
    <col min="1028" max="1028" width="7.7109375" style="1" bestFit="1" customWidth="1"/>
    <col min="1029" max="1029" width="6.7109375" style="1" bestFit="1" customWidth="1"/>
    <col min="1030" max="1030" width="18.7109375" style="1" bestFit="1" customWidth="1"/>
    <col min="1031" max="1031" width="40.28515625" style="1" bestFit="1" customWidth="1"/>
    <col min="1032" max="1035" width="5.5703125" style="1" bestFit="1" customWidth="1"/>
    <col min="1036" max="1036" width="6.7109375" style="1" bestFit="1" customWidth="1"/>
    <col min="1037" max="1037" width="8.5703125" style="1" bestFit="1" customWidth="1"/>
    <col min="1038" max="1038" width="30.85546875" style="1" bestFit="1" customWidth="1"/>
    <col min="1039" max="1281" width="8.7109375" style="1"/>
    <col min="1282" max="1282" width="30.28515625" style="1" bestFit="1" customWidth="1"/>
    <col min="1283" max="1283" width="30.85546875" style="1" bestFit="1" customWidth="1"/>
    <col min="1284" max="1284" width="7.7109375" style="1" bestFit="1" customWidth="1"/>
    <col min="1285" max="1285" width="6.7109375" style="1" bestFit="1" customWidth="1"/>
    <col min="1286" max="1286" width="18.7109375" style="1" bestFit="1" customWidth="1"/>
    <col min="1287" max="1287" width="40.28515625" style="1" bestFit="1" customWidth="1"/>
    <col min="1288" max="1291" width="5.5703125" style="1" bestFit="1" customWidth="1"/>
    <col min="1292" max="1292" width="6.7109375" style="1" bestFit="1" customWidth="1"/>
    <col min="1293" max="1293" width="8.5703125" style="1" bestFit="1" customWidth="1"/>
    <col min="1294" max="1294" width="30.85546875" style="1" bestFit="1" customWidth="1"/>
    <col min="1295" max="1537" width="8.7109375" style="1"/>
    <col min="1538" max="1538" width="30.28515625" style="1" bestFit="1" customWidth="1"/>
    <col min="1539" max="1539" width="30.85546875" style="1" bestFit="1" customWidth="1"/>
    <col min="1540" max="1540" width="7.7109375" style="1" bestFit="1" customWidth="1"/>
    <col min="1541" max="1541" width="6.7109375" style="1" bestFit="1" customWidth="1"/>
    <col min="1542" max="1542" width="18.7109375" style="1" bestFit="1" customWidth="1"/>
    <col min="1543" max="1543" width="40.28515625" style="1" bestFit="1" customWidth="1"/>
    <col min="1544" max="1547" width="5.5703125" style="1" bestFit="1" customWidth="1"/>
    <col min="1548" max="1548" width="6.7109375" style="1" bestFit="1" customWidth="1"/>
    <col min="1549" max="1549" width="8.5703125" style="1" bestFit="1" customWidth="1"/>
    <col min="1550" max="1550" width="30.85546875" style="1" bestFit="1" customWidth="1"/>
    <col min="1551" max="1793" width="8.7109375" style="1"/>
    <col min="1794" max="1794" width="30.28515625" style="1" bestFit="1" customWidth="1"/>
    <col min="1795" max="1795" width="30.85546875" style="1" bestFit="1" customWidth="1"/>
    <col min="1796" max="1796" width="7.7109375" style="1" bestFit="1" customWidth="1"/>
    <col min="1797" max="1797" width="6.7109375" style="1" bestFit="1" customWidth="1"/>
    <col min="1798" max="1798" width="18.7109375" style="1" bestFit="1" customWidth="1"/>
    <col min="1799" max="1799" width="40.28515625" style="1" bestFit="1" customWidth="1"/>
    <col min="1800" max="1803" width="5.5703125" style="1" bestFit="1" customWidth="1"/>
    <col min="1804" max="1804" width="6.7109375" style="1" bestFit="1" customWidth="1"/>
    <col min="1805" max="1805" width="8.5703125" style="1" bestFit="1" customWidth="1"/>
    <col min="1806" max="1806" width="30.85546875" style="1" bestFit="1" customWidth="1"/>
    <col min="1807" max="2049" width="8.7109375" style="1"/>
    <col min="2050" max="2050" width="30.28515625" style="1" bestFit="1" customWidth="1"/>
    <col min="2051" max="2051" width="30.85546875" style="1" bestFit="1" customWidth="1"/>
    <col min="2052" max="2052" width="7.7109375" style="1" bestFit="1" customWidth="1"/>
    <col min="2053" max="2053" width="6.7109375" style="1" bestFit="1" customWidth="1"/>
    <col min="2054" max="2054" width="18.7109375" style="1" bestFit="1" customWidth="1"/>
    <col min="2055" max="2055" width="40.28515625" style="1" bestFit="1" customWidth="1"/>
    <col min="2056" max="2059" width="5.5703125" style="1" bestFit="1" customWidth="1"/>
    <col min="2060" max="2060" width="6.7109375" style="1" bestFit="1" customWidth="1"/>
    <col min="2061" max="2061" width="8.5703125" style="1" bestFit="1" customWidth="1"/>
    <col min="2062" max="2062" width="30.85546875" style="1" bestFit="1" customWidth="1"/>
    <col min="2063" max="2305" width="8.7109375" style="1"/>
    <col min="2306" max="2306" width="30.28515625" style="1" bestFit="1" customWidth="1"/>
    <col min="2307" max="2307" width="30.85546875" style="1" bestFit="1" customWidth="1"/>
    <col min="2308" max="2308" width="7.7109375" style="1" bestFit="1" customWidth="1"/>
    <col min="2309" max="2309" width="6.7109375" style="1" bestFit="1" customWidth="1"/>
    <col min="2310" max="2310" width="18.7109375" style="1" bestFit="1" customWidth="1"/>
    <col min="2311" max="2311" width="40.28515625" style="1" bestFit="1" customWidth="1"/>
    <col min="2312" max="2315" width="5.5703125" style="1" bestFit="1" customWidth="1"/>
    <col min="2316" max="2316" width="6.7109375" style="1" bestFit="1" customWidth="1"/>
    <col min="2317" max="2317" width="8.5703125" style="1" bestFit="1" customWidth="1"/>
    <col min="2318" max="2318" width="30.85546875" style="1" bestFit="1" customWidth="1"/>
    <col min="2319" max="2561" width="8.7109375" style="1"/>
    <col min="2562" max="2562" width="30.28515625" style="1" bestFit="1" customWidth="1"/>
    <col min="2563" max="2563" width="30.85546875" style="1" bestFit="1" customWidth="1"/>
    <col min="2564" max="2564" width="7.7109375" style="1" bestFit="1" customWidth="1"/>
    <col min="2565" max="2565" width="6.7109375" style="1" bestFit="1" customWidth="1"/>
    <col min="2566" max="2566" width="18.7109375" style="1" bestFit="1" customWidth="1"/>
    <col min="2567" max="2567" width="40.28515625" style="1" bestFit="1" customWidth="1"/>
    <col min="2568" max="2571" width="5.5703125" style="1" bestFit="1" customWidth="1"/>
    <col min="2572" max="2572" width="6.7109375" style="1" bestFit="1" customWidth="1"/>
    <col min="2573" max="2573" width="8.5703125" style="1" bestFit="1" customWidth="1"/>
    <col min="2574" max="2574" width="30.85546875" style="1" bestFit="1" customWidth="1"/>
    <col min="2575" max="2817" width="8.7109375" style="1"/>
    <col min="2818" max="2818" width="30.28515625" style="1" bestFit="1" customWidth="1"/>
    <col min="2819" max="2819" width="30.85546875" style="1" bestFit="1" customWidth="1"/>
    <col min="2820" max="2820" width="7.7109375" style="1" bestFit="1" customWidth="1"/>
    <col min="2821" max="2821" width="6.7109375" style="1" bestFit="1" customWidth="1"/>
    <col min="2822" max="2822" width="18.7109375" style="1" bestFit="1" customWidth="1"/>
    <col min="2823" max="2823" width="40.28515625" style="1" bestFit="1" customWidth="1"/>
    <col min="2824" max="2827" width="5.5703125" style="1" bestFit="1" customWidth="1"/>
    <col min="2828" max="2828" width="6.7109375" style="1" bestFit="1" customWidth="1"/>
    <col min="2829" max="2829" width="8.5703125" style="1" bestFit="1" customWidth="1"/>
    <col min="2830" max="2830" width="30.85546875" style="1" bestFit="1" customWidth="1"/>
    <col min="2831" max="3073" width="8.7109375" style="1"/>
    <col min="3074" max="3074" width="30.28515625" style="1" bestFit="1" customWidth="1"/>
    <col min="3075" max="3075" width="30.85546875" style="1" bestFit="1" customWidth="1"/>
    <col min="3076" max="3076" width="7.7109375" style="1" bestFit="1" customWidth="1"/>
    <col min="3077" max="3077" width="6.7109375" style="1" bestFit="1" customWidth="1"/>
    <col min="3078" max="3078" width="18.7109375" style="1" bestFit="1" customWidth="1"/>
    <col min="3079" max="3079" width="40.28515625" style="1" bestFit="1" customWidth="1"/>
    <col min="3080" max="3083" width="5.5703125" style="1" bestFit="1" customWidth="1"/>
    <col min="3084" max="3084" width="6.7109375" style="1" bestFit="1" customWidth="1"/>
    <col min="3085" max="3085" width="8.5703125" style="1" bestFit="1" customWidth="1"/>
    <col min="3086" max="3086" width="30.85546875" style="1" bestFit="1" customWidth="1"/>
    <col min="3087" max="3329" width="8.7109375" style="1"/>
    <col min="3330" max="3330" width="30.28515625" style="1" bestFit="1" customWidth="1"/>
    <col min="3331" max="3331" width="30.85546875" style="1" bestFit="1" customWidth="1"/>
    <col min="3332" max="3332" width="7.7109375" style="1" bestFit="1" customWidth="1"/>
    <col min="3333" max="3333" width="6.7109375" style="1" bestFit="1" customWidth="1"/>
    <col min="3334" max="3334" width="18.7109375" style="1" bestFit="1" customWidth="1"/>
    <col min="3335" max="3335" width="40.28515625" style="1" bestFit="1" customWidth="1"/>
    <col min="3336" max="3339" width="5.5703125" style="1" bestFit="1" customWidth="1"/>
    <col min="3340" max="3340" width="6.7109375" style="1" bestFit="1" customWidth="1"/>
    <col min="3341" max="3341" width="8.5703125" style="1" bestFit="1" customWidth="1"/>
    <col min="3342" max="3342" width="30.85546875" style="1" bestFit="1" customWidth="1"/>
    <col min="3343" max="3585" width="8.7109375" style="1"/>
    <col min="3586" max="3586" width="30.28515625" style="1" bestFit="1" customWidth="1"/>
    <col min="3587" max="3587" width="30.85546875" style="1" bestFit="1" customWidth="1"/>
    <col min="3588" max="3588" width="7.7109375" style="1" bestFit="1" customWidth="1"/>
    <col min="3589" max="3589" width="6.7109375" style="1" bestFit="1" customWidth="1"/>
    <col min="3590" max="3590" width="18.7109375" style="1" bestFit="1" customWidth="1"/>
    <col min="3591" max="3591" width="40.28515625" style="1" bestFit="1" customWidth="1"/>
    <col min="3592" max="3595" width="5.5703125" style="1" bestFit="1" customWidth="1"/>
    <col min="3596" max="3596" width="6.7109375" style="1" bestFit="1" customWidth="1"/>
    <col min="3597" max="3597" width="8.5703125" style="1" bestFit="1" customWidth="1"/>
    <col min="3598" max="3598" width="30.85546875" style="1" bestFit="1" customWidth="1"/>
    <col min="3599" max="3841" width="8.7109375" style="1"/>
    <col min="3842" max="3842" width="30.28515625" style="1" bestFit="1" customWidth="1"/>
    <col min="3843" max="3843" width="30.85546875" style="1" bestFit="1" customWidth="1"/>
    <col min="3844" max="3844" width="7.7109375" style="1" bestFit="1" customWidth="1"/>
    <col min="3845" max="3845" width="6.7109375" style="1" bestFit="1" customWidth="1"/>
    <col min="3846" max="3846" width="18.7109375" style="1" bestFit="1" customWidth="1"/>
    <col min="3847" max="3847" width="40.28515625" style="1" bestFit="1" customWidth="1"/>
    <col min="3848" max="3851" width="5.5703125" style="1" bestFit="1" customWidth="1"/>
    <col min="3852" max="3852" width="6.7109375" style="1" bestFit="1" customWidth="1"/>
    <col min="3853" max="3853" width="8.5703125" style="1" bestFit="1" customWidth="1"/>
    <col min="3854" max="3854" width="30.85546875" style="1" bestFit="1" customWidth="1"/>
    <col min="3855" max="4097" width="8.7109375" style="1"/>
    <col min="4098" max="4098" width="30.28515625" style="1" bestFit="1" customWidth="1"/>
    <col min="4099" max="4099" width="30.85546875" style="1" bestFit="1" customWidth="1"/>
    <col min="4100" max="4100" width="7.7109375" style="1" bestFit="1" customWidth="1"/>
    <col min="4101" max="4101" width="6.7109375" style="1" bestFit="1" customWidth="1"/>
    <col min="4102" max="4102" width="18.7109375" style="1" bestFit="1" customWidth="1"/>
    <col min="4103" max="4103" width="40.28515625" style="1" bestFit="1" customWidth="1"/>
    <col min="4104" max="4107" width="5.5703125" style="1" bestFit="1" customWidth="1"/>
    <col min="4108" max="4108" width="6.7109375" style="1" bestFit="1" customWidth="1"/>
    <col min="4109" max="4109" width="8.5703125" style="1" bestFit="1" customWidth="1"/>
    <col min="4110" max="4110" width="30.85546875" style="1" bestFit="1" customWidth="1"/>
    <col min="4111" max="4353" width="8.7109375" style="1"/>
    <col min="4354" max="4354" width="30.28515625" style="1" bestFit="1" customWidth="1"/>
    <col min="4355" max="4355" width="30.85546875" style="1" bestFit="1" customWidth="1"/>
    <col min="4356" max="4356" width="7.7109375" style="1" bestFit="1" customWidth="1"/>
    <col min="4357" max="4357" width="6.7109375" style="1" bestFit="1" customWidth="1"/>
    <col min="4358" max="4358" width="18.7109375" style="1" bestFit="1" customWidth="1"/>
    <col min="4359" max="4359" width="40.28515625" style="1" bestFit="1" customWidth="1"/>
    <col min="4360" max="4363" width="5.5703125" style="1" bestFit="1" customWidth="1"/>
    <col min="4364" max="4364" width="6.7109375" style="1" bestFit="1" customWidth="1"/>
    <col min="4365" max="4365" width="8.5703125" style="1" bestFit="1" customWidth="1"/>
    <col min="4366" max="4366" width="30.85546875" style="1" bestFit="1" customWidth="1"/>
    <col min="4367" max="4609" width="8.7109375" style="1"/>
    <col min="4610" max="4610" width="30.28515625" style="1" bestFit="1" customWidth="1"/>
    <col min="4611" max="4611" width="30.85546875" style="1" bestFit="1" customWidth="1"/>
    <col min="4612" max="4612" width="7.7109375" style="1" bestFit="1" customWidth="1"/>
    <col min="4613" max="4613" width="6.7109375" style="1" bestFit="1" customWidth="1"/>
    <col min="4614" max="4614" width="18.7109375" style="1" bestFit="1" customWidth="1"/>
    <col min="4615" max="4615" width="40.28515625" style="1" bestFit="1" customWidth="1"/>
    <col min="4616" max="4619" width="5.5703125" style="1" bestFit="1" customWidth="1"/>
    <col min="4620" max="4620" width="6.7109375" style="1" bestFit="1" customWidth="1"/>
    <col min="4621" max="4621" width="8.5703125" style="1" bestFit="1" customWidth="1"/>
    <col min="4622" max="4622" width="30.85546875" style="1" bestFit="1" customWidth="1"/>
    <col min="4623" max="4865" width="8.7109375" style="1"/>
    <col min="4866" max="4866" width="30.28515625" style="1" bestFit="1" customWidth="1"/>
    <col min="4867" max="4867" width="30.85546875" style="1" bestFit="1" customWidth="1"/>
    <col min="4868" max="4868" width="7.7109375" style="1" bestFit="1" customWidth="1"/>
    <col min="4869" max="4869" width="6.7109375" style="1" bestFit="1" customWidth="1"/>
    <col min="4870" max="4870" width="18.7109375" style="1" bestFit="1" customWidth="1"/>
    <col min="4871" max="4871" width="40.28515625" style="1" bestFit="1" customWidth="1"/>
    <col min="4872" max="4875" width="5.5703125" style="1" bestFit="1" customWidth="1"/>
    <col min="4876" max="4876" width="6.7109375" style="1" bestFit="1" customWidth="1"/>
    <col min="4877" max="4877" width="8.5703125" style="1" bestFit="1" customWidth="1"/>
    <col min="4878" max="4878" width="30.85546875" style="1" bestFit="1" customWidth="1"/>
    <col min="4879" max="5121" width="8.7109375" style="1"/>
    <col min="5122" max="5122" width="30.28515625" style="1" bestFit="1" customWidth="1"/>
    <col min="5123" max="5123" width="30.85546875" style="1" bestFit="1" customWidth="1"/>
    <col min="5124" max="5124" width="7.7109375" style="1" bestFit="1" customWidth="1"/>
    <col min="5125" max="5125" width="6.7109375" style="1" bestFit="1" customWidth="1"/>
    <col min="5126" max="5126" width="18.7109375" style="1" bestFit="1" customWidth="1"/>
    <col min="5127" max="5127" width="40.28515625" style="1" bestFit="1" customWidth="1"/>
    <col min="5128" max="5131" width="5.5703125" style="1" bestFit="1" customWidth="1"/>
    <col min="5132" max="5132" width="6.7109375" style="1" bestFit="1" customWidth="1"/>
    <col min="5133" max="5133" width="8.5703125" style="1" bestFit="1" customWidth="1"/>
    <col min="5134" max="5134" width="30.85546875" style="1" bestFit="1" customWidth="1"/>
    <col min="5135" max="5377" width="8.7109375" style="1"/>
    <col min="5378" max="5378" width="30.28515625" style="1" bestFit="1" customWidth="1"/>
    <col min="5379" max="5379" width="30.85546875" style="1" bestFit="1" customWidth="1"/>
    <col min="5380" max="5380" width="7.7109375" style="1" bestFit="1" customWidth="1"/>
    <col min="5381" max="5381" width="6.7109375" style="1" bestFit="1" customWidth="1"/>
    <col min="5382" max="5382" width="18.7109375" style="1" bestFit="1" customWidth="1"/>
    <col min="5383" max="5383" width="40.28515625" style="1" bestFit="1" customWidth="1"/>
    <col min="5384" max="5387" width="5.5703125" style="1" bestFit="1" customWidth="1"/>
    <col min="5388" max="5388" width="6.7109375" style="1" bestFit="1" customWidth="1"/>
    <col min="5389" max="5389" width="8.5703125" style="1" bestFit="1" customWidth="1"/>
    <col min="5390" max="5390" width="30.85546875" style="1" bestFit="1" customWidth="1"/>
    <col min="5391" max="5633" width="8.7109375" style="1"/>
    <col min="5634" max="5634" width="30.28515625" style="1" bestFit="1" customWidth="1"/>
    <col min="5635" max="5635" width="30.85546875" style="1" bestFit="1" customWidth="1"/>
    <col min="5636" max="5636" width="7.7109375" style="1" bestFit="1" customWidth="1"/>
    <col min="5637" max="5637" width="6.7109375" style="1" bestFit="1" customWidth="1"/>
    <col min="5638" max="5638" width="18.7109375" style="1" bestFit="1" customWidth="1"/>
    <col min="5639" max="5639" width="40.28515625" style="1" bestFit="1" customWidth="1"/>
    <col min="5640" max="5643" width="5.5703125" style="1" bestFit="1" customWidth="1"/>
    <col min="5644" max="5644" width="6.7109375" style="1" bestFit="1" customWidth="1"/>
    <col min="5645" max="5645" width="8.5703125" style="1" bestFit="1" customWidth="1"/>
    <col min="5646" max="5646" width="30.85546875" style="1" bestFit="1" customWidth="1"/>
    <col min="5647" max="5889" width="8.7109375" style="1"/>
    <col min="5890" max="5890" width="30.28515625" style="1" bestFit="1" customWidth="1"/>
    <col min="5891" max="5891" width="30.85546875" style="1" bestFit="1" customWidth="1"/>
    <col min="5892" max="5892" width="7.7109375" style="1" bestFit="1" customWidth="1"/>
    <col min="5893" max="5893" width="6.7109375" style="1" bestFit="1" customWidth="1"/>
    <col min="5894" max="5894" width="18.7109375" style="1" bestFit="1" customWidth="1"/>
    <col min="5895" max="5895" width="40.28515625" style="1" bestFit="1" customWidth="1"/>
    <col min="5896" max="5899" width="5.5703125" style="1" bestFit="1" customWidth="1"/>
    <col min="5900" max="5900" width="6.7109375" style="1" bestFit="1" customWidth="1"/>
    <col min="5901" max="5901" width="8.5703125" style="1" bestFit="1" customWidth="1"/>
    <col min="5902" max="5902" width="30.85546875" style="1" bestFit="1" customWidth="1"/>
    <col min="5903" max="6145" width="8.7109375" style="1"/>
    <col min="6146" max="6146" width="30.28515625" style="1" bestFit="1" customWidth="1"/>
    <col min="6147" max="6147" width="30.85546875" style="1" bestFit="1" customWidth="1"/>
    <col min="6148" max="6148" width="7.7109375" style="1" bestFit="1" customWidth="1"/>
    <col min="6149" max="6149" width="6.7109375" style="1" bestFit="1" customWidth="1"/>
    <col min="6150" max="6150" width="18.7109375" style="1" bestFit="1" customWidth="1"/>
    <col min="6151" max="6151" width="40.28515625" style="1" bestFit="1" customWidth="1"/>
    <col min="6152" max="6155" width="5.5703125" style="1" bestFit="1" customWidth="1"/>
    <col min="6156" max="6156" width="6.7109375" style="1" bestFit="1" customWidth="1"/>
    <col min="6157" max="6157" width="8.5703125" style="1" bestFit="1" customWidth="1"/>
    <col min="6158" max="6158" width="30.85546875" style="1" bestFit="1" customWidth="1"/>
    <col min="6159" max="6401" width="8.7109375" style="1"/>
    <col min="6402" max="6402" width="30.28515625" style="1" bestFit="1" customWidth="1"/>
    <col min="6403" max="6403" width="30.85546875" style="1" bestFit="1" customWidth="1"/>
    <col min="6404" max="6404" width="7.7109375" style="1" bestFit="1" customWidth="1"/>
    <col min="6405" max="6405" width="6.7109375" style="1" bestFit="1" customWidth="1"/>
    <col min="6406" max="6406" width="18.7109375" style="1" bestFit="1" customWidth="1"/>
    <col min="6407" max="6407" width="40.28515625" style="1" bestFit="1" customWidth="1"/>
    <col min="6408" max="6411" width="5.5703125" style="1" bestFit="1" customWidth="1"/>
    <col min="6412" max="6412" width="6.7109375" style="1" bestFit="1" customWidth="1"/>
    <col min="6413" max="6413" width="8.5703125" style="1" bestFit="1" customWidth="1"/>
    <col min="6414" max="6414" width="30.85546875" style="1" bestFit="1" customWidth="1"/>
    <col min="6415" max="6657" width="8.7109375" style="1"/>
    <col min="6658" max="6658" width="30.28515625" style="1" bestFit="1" customWidth="1"/>
    <col min="6659" max="6659" width="30.85546875" style="1" bestFit="1" customWidth="1"/>
    <col min="6660" max="6660" width="7.7109375" style="1" bestFit="1" customWidth="1"/>
    <col min="6661" max="6661" width="6.7109375" style="1" bestFit="1" customWidth="1"/>
    <col min="6662" max="6662" width="18.7109375" style="1" bestFit="1" customWidth="1"/>
    <col min="6663" max="6663" width="40.28515625" style="1" bestFit="1" customWidth="1"/>
    <col min="6664" max="6667" width="5.5703125" style="1" bestFit="1" customWidth="1"/>
    <col min="6668" max="6668" width="6.7109375" style="1" bestFit="1" customWidth="1"/>
    <col min="6669" max="6669" width="8.5703125" style="1" bestFit="1" customWidth="1"/>
    <col min="6670" max="6670" width="30.85546875" style="1" bestFit="1" customWidth="1"/>
    <col min="6671" max="6913" width="8.7109375" style="1"/>
    <col min="6914" max="6914" width="30.28515625" style="1" bestFit="1" customWidth="1"/>
    <col min="6915" max="6915" width="30.85546875" style="1" bestFit="1" customWidth="1"/>
    <col min="6916" max="6916" width="7.7109375" style="1" bestFit="1" customWidth="1"/>
    <col min="6917" max="6917" width="6.7109375" style="1" bestFit="1" customWidth="1"/>
    <col min="6918" max="6918" width="18.7109375" style="1" bestFit="1" customWidth="1"/>
    <col min="6919" max="6919" width="40.28515625" style="1" bestFit="1" customWidth="1"/>
    <col min="6920" max="6923" width="5.5703125" style="1" bestFit="1" customWidth="1"/>
    <col min="6924" max="6924" width="6.7109375" style="1" bestFit="1" customWidth="1"/>
    <col min="6925" max="6925" width="8.5703125" style="1" bestFit="1" customWidth="1"/>
    <col min="6926" max="6926" width="30.85546875" style="1" bestFit="1" customWidth="1"/>
    <col min="6927" max="7169" width="8.7109375" style="1"/>
    <col min="7170" max="7170" width="30.28515625" style="1" bestFit="1" customWidth="1"/>
    <col min="7171" max="7171" width="30.85546875" style="1" bestFit="1" customWidth="1"/>
    <col min="7172" max="7172" width="7.7109375" style="1" bestFit="1" customWidth="1"/>
    <col min="7173" max="7173" width="6.7109375" style="1" bestFit="1" customWidth="1"/>
    <col min="7174" max="7174" width="18.7109375" style="1" bestFit="1" customWidth="1"/>
    <col min="7175" max="7175" width="40.28515625" style="1" bestFit="1" customWidth="1"/>
    <col min="7176" max="7179" width="5.5703125" style="1" bestFit="1" customWidth="1"/>
    <col min="7180" max="7180" width="6.7109375" style="1" bestFit="1" customWidth="1"/>
    <col min="7181" max="7181" width="8.5703125" style="1" bestFit="1" customWidth="1"/>
    <col min="7182" max="7182" width="30.85546875" style="1" bestFit="1" customWidth="1"/>
    <col min="7183" max="7425" width="8.7109375" style="1"/>
    <col min="7426" max="7426" width="30.28515625" style="1" bestFit="1" customWidth="1"/>
    <col min="7427" max="7427" width="30.85546875" style="1" bestFit="1" customWidth="1"/>
    <col min="7428" max="7428" width="7.7109375" style="1" bestFit="1" customWidth="1"/>
    <col min="7429" max="7429" width="6.7109375" style="1" bestFit="1" customWidth="1"/>
    <col min="7430" max="7430" width="18.7109375" style="1" bestFit="1" customWidth="1"/>
    <col min="7431" max="7431" width="40.28515625" style="1" bestFit="1" customWidth="1"/>
    <col min="7432" max="7435" width="5.5703125" style="1" bestFit="1" customWidth="1"/>
    <col min="7436" max="7436" width="6.7109375" style="1" bestFit="1" customWidth="1"/>
    <col min="7437" max="7437" width="8.5703125" style="1" bestFit="1" customWidth="1"/>
    <col min="7438" max="7438" width="30.85546875" style="1" bestFit="1" customWidth="1"/>
    <col min="7439" max="7681" width="8.7109375" style="1"/>
    <col min="7682" max="7682" width="30.28515625" style="1" bestFit="1" customWidth="1"/>
    <col min="7683" max="7683" width="30.85546875" style="1" bestFit="1" customWidth="1"/>
    <col min="7684" max="7684" width="7.7109375" style="1" bestFit="1" customWidth="1"/>
    <col min="7685" max="7685" width="6.7109375" style="1" bestFit="1" customWidth="1"/>
    <col min="7686" max="7686" width="18.7109375" style="1" bestFit="1" customWidth="1"/>
    <col min="7687" max="7687" width="40.28515625" style="1" bestFit="1" customWidth="1"/>
    <col min="7688" max="7691" width="5.5703125" style="1" bestFit="1" customWidth="1"/>
    <col min="7692" max="7692" width="6.7109375" style="1" bestFit="1" customWidth="1"/>
    <col min="7693" max="7693" width="8.5703125" style="1" bestFit="1" customWidth="1"/>
    <col min="7694" max="7694" width="30.85546875" style="1" bestFit="1" customWidth="1"/>
    <col min="7695" max="7937" width="8.7109375" style="1"/>
    <col min="7938" max="7938" width="30.28515625" style="1" bestFit="1" customWidth="1"/>
    <col min="7939" max="7939" width="30.85546875" style="1" bestFit="1" customWidth="1"/>
    <col min="7940" max="7940" width="7.7109375" style="1" bestFit="1" customWidth="1"/>
    <col min="7941" max="7941" width="6.7109375" style="1" bestFit="1" customWidth="1"/>
    <col min="7942" max="7942" width="18.7109375" style="1" bestFit="1" customWidth="1"/>
    <col min="7943" max="7943" width="40.28515625" style="1" bestFit="1" customWidth="1"/>
    <col min="7944" max="7947" width="5.5703125" style="1" bestFit="1" customWidth="1"/>
    <col min="7948" max="7948" width="6.7109375" style="1" bestFit="1" customWidth="1"/>
    <col min="7949" max="7949" width="8.5703125" style="1" bestFit="1" customWidth="1"/>
    <col min="7950" max="7950" width="30.85546875" style="1" bestFit="1" customWidth="1"/>
    <col min="7951" max="8193" width="8.7109375" style="1"/>
    <col min="8194" max="8194" width="30.28515625" style="1" bestFit="1" customWidth="1"/>
    <col min="8195" max="8195" width="30.85546875" style="1" bestFit="1" customWidth="1"/>
    <col min="8196" max="8196" width="7.7109375" style="1" bestFit="1" customWidth="1"/>
    <col min="8197" max="8197" width="6.7109375" style="1" bestFit="1" customWidth="1"/>
    <col min="8198" max="8198" width="18.7109375" style="1" bestFit="1" customWidth="1"/>
    <col min="8199" max="8199" width="40.28515625" style="1" bestFit="1" customWidth="1"/>
    <col min="8200" max="8203" width="5.5703125" style="1" bestFit="1" customWidth="1"/>
    <col min="8204" max="8204" width="6.7109375" style="1" bestFit="1" customWidth="1"/>
    <col min="8205" max="8205" width="8.5703125" style="1" bestFit="1" customWidth="1"/>
    <col min="8206" max="8206" width="30.85546875" style="1" bestFit="1" customWidth="1"/>
    <col min="8207" max="8449" width="8.7109375" style="1"/>
    <col min="8450" max="8450" width="30.28515625" style="1" bestFit="1" customWidth="1"/>
    <col min="8451" max="8451" width="30.85546875" style="1" bestFit="1" customWidth="1"/>
    <col min="8452" max="8452" width="7.7109375" style="1" bestFit="1" customWidth="1"/>
    <col min="8453" max="8453" width="6.7109375" style="1" bestFit="1" customWidth="1"/>
    <col min="8454" max="8454" width="18.7109375" style="1" bestFit="1" customWidth="1"/>
    <col min="8455" max="8455" width="40.28515625" style="1" bestFit="1" customWidth="1"/>
    <col min="8456" max="8459" width="5.5703125" style="1" bestFit="1" customWidth="1"/>
    <col min="8460" max="8460" width="6.7109375" style="1" bestFit="1" customWidth="1"/>
    <col min="8461" max="8461" width="8.5703125" style="1" bestFit="1" customWidth="1"/>
    <col min="8462" max="8462" width="30.85546875" style="1" bestFit="1" customWidth="1"/>
    <col min="8463" max="8705" width="8.7109375" style="1"/>
    <col min="8706" max="8706" width="30.28515625" style="1" bestFit="1" customWidth="1"/>
    <col min="8707" max="8707" width="30.85546875" style="1" bestFit="1" customWidth="1"/>
    <col min="8708" max="8708" width="7.7109375" style="1" bestFit="1" customWidth="1"/>
    <col min="8709" max="8709" width="6.7109375" style="1" bestFit="1" customWidth="1"/>
    <col min="8710" max="8710" width="18.7109375" style="1" bestFit="1" customWidth="1"/>
    <col min="8711" max="8711" width="40.28515625" style="1" bestFit="1" customWidth="1"/>
    <col min="8712" max="8715" width="5.5703125" style="1" bestFit="1" customWidth="1"/>
    <col min="8716" max="8716" width="6.7109375" style="1" bestFit="1" customWidth="1"/>
    <col min="8717" max="8717" width="8.5703125" style="1" bestFit="1" customWidth="1"/>
    <col min="8718" max="8718" width="30.85546875" style="1" bestFit="1" customWidth="1"/>
    <col min="8719" max="8961" width="8.7109375" style="1"/>
    <col min="8962" max="8962" width="30.28515625" style="1" bestFit="1" customWidth="1"/>
    <col min="8963" max="8963" width="30.85546875" style="1" bestFit="1" customWidth="1"/>
    <col min="8964" max="8964" width="7.7109375" style="1" bestFit="1" customWidth="1"/>
    <col min="8965" max="8965" width="6.7109375" style="1" bestFit="1" customWidth="1"/>
    <col min="8966" max="8966" width="18.7109375" style="1" bestFit="1" customWidth="1"/>
    <col min="8967" max="8967" width="40.28515625" style="1" bestFit="1" customWidth="1"/>
    <col min="8968" max="8971" width="5.5703125" style="1" bestFit="1" customWidth="1"/>
    <col min="8972" max="8972" width="6.7109375" style="1" bestFit="1" customWidth="1"/>
    <col min="8973" max="8973" width="8.5703125" style="1" bestFit="1" customWidth="1"/>
    <col min="8974" max="8974" width="30.85546875" style="1" bestFit="1" customWidth="1"/>
    <col min="8975" max="9217" width="8.7109375" style="1"/>
    <col min="9218" max="9218" width="30.28515625" style="1" bestFit="1" customWidth="1"/>
    <col min="9219" max="9219" width="30.85546875" style="1" bestFit="1" customWidth="1"/>
    <col min="9220" max="9220" width="7.7109375" style="1" bestFit="1" customWidth="1"/>
    <col min="9221" max="9221" width="6.7109375" style="1" bestFit="1" customWidth="1"/>
    <col min="9222" max="9222" width="18.7109375" style="1" bestFit="1" customWidth="1"/>
    <col min="9223" max="9223" width="40.28515625" style="1" bestFit="1" customWidth="1"/>
    <col min="9224" max="9227" width="5.5703125" style="1" bestFit="1" customWidth="1"/>
    <col min="9228" max="9228" width="6.7109375" style="1" bestFit="1" customWidth="1"/>
    <col min="9229" max="9229" width="8.5703125" style="1" bestFit="1" customWidth="1"/>
    <col min="9230" max="9230" width="30.85546875" style="1" bestFit="1" customWidth="1"/>
    <col min="9231" max="9473" width="8.7109375" style="1"/>
    <col min="9474" max="9474" width="30.28515625" style="1" bestFit="1" customWidth="1"/>
    <col min="9475" max="9475" width="30.85546875" style="1" bestFit="1" customWidth="1"/>
    <col min="9476" max="9476" width="7.7109375" style="1" bestFit="1" customWidth="1"/>
    <col min="9477" max="9477" width="6.7109375" style="1" bestFit="1" customWidth="1"/>
    <col min="9478" max="9478" width="18.7109375" style="1" bestFit="1" customWidth="1"/>
    <col min="9479" max="9479" width="40.28515625" style="1" bestFit="1" customWidth="1"/>
    <col min="9480" max="9483" width="5.5703125" style="1" bestFit="1" customWidth="1"/>
    <col min="9484" max="9484" width="6.7109375" style="1" bestFit="1" customWidth="1"/>
    <col min="9485" max="9485" width="8.5703125" style="1" bestFit="1" customWidth="1"/>
    <col min="9486" max="9486" width="30.85546875" style="1" bestFit="1" customWidth="1"/>
    <col min="9487" max="9729" width="8.7109375" style="1"/>
    <col min="9730" max="9730" width="30.28515625" style="1" bestFit="1" customWidth="1"/>
    <col min="9731" max="9731" width="30.85546875" style="1" bestFit="1" customWidth="1"/>
    <col min="9732" max="9732" width="7.7109375" style="1" bestFit="1" customWidth="1"/>
    <col min="9733" max="9733" width="6.7109375" style="1" bestFit="1" customWidth="1"/>
    <col min="9734" max="9734" width="18.7109375" style="1" bestFit="1" customWidth="1"/>
    <col min="9735" max="9735" width="40.28515625" style="1" bestFit="1" customWidth="1"/>
    <col min="9736" max="9739" width="5.5703125" style="1" bestFit="1" customWidth="1"/>
    <col min="9740" max="9740" width="6.7109375" style="1" bestFit="1" customWidth="1"/>
    <col min="9741" max="9741" width="8.5703125" style="1" bestFit="1" customWidth="1"/>
    <col min="9742" max="9742" width="30.85546875" style="1" bestFit="1" customWidth="1"/>
    <col min="9743" max="9985" width="8.7109375" style="1"/>
    <col min="9986" max="9986" width="30.28515625" style="1" bestFit="1" customWidth="1"/>
    <col min="9987" max="9987" width="30.85546875" style="1" bestFit="1" customWidth="1"/>
    <col min="9988" max="9988" width="7.7109375" style="1" bestFit="1" customWidth="1"/>
    <col min="9989" max="9989" width="6.7109375" style="1" bestFit="1" customWidth="1"/>
    <col min="9990" max="9990" width="18.7109375" style="1" bestFit="1" customWidth="1"/>
    <col min="9991" max="9991" width="40.28515625" style="1" bestFit="1" customWidth="1"/>
    <col min="9992" max="9995" width="5.5703125" style="1" bestFit="1" customWidth="1"/>
    <col min="9996" max="9996" width="6.7109375" style="1" bestFit="1" customWidth="1"/>
    <col min="9997" max="9997" width="8.5703125" style="1" bestFit="1" customWidth="1"/>
    <col min="9998" max="9998" width="30.85546875" style="1" bestFit="1" customWidth="1"/>
    <col min="9999" max="10241" width="8.7109375" style="1"/>
    <col min="10242" max="10242" width="30.28515625" style="1" bestFit="1" customWidth="1"/>
    <col min="10243" max="10243" width="30.85546875" style="1" bestFit="1" customWidth="1"/>
    <col min="10244" max="10244" width="7.7109375" style="1" bestFit="1" customWidth="1"/>
    <col min="10245" max="10245" width="6.7109375" style="1" bestFit="1" customWidth="1"/>
    <col min="10246" max="10246" width="18.7109375" style="1" bestFit="1" customWidth="1"/>
    <col min="10247" max="10247" width="40.28515625" style="1" bestFit="1" customWidth="1"/>
    <col min="10248" max="10251" width="5.5703125" style="1" bestFit="1" customWidth="1"/>
    <col min="10252" max="10252" width="6.7109375" style="1" bestFit="1" customWidth="1"/>
    <col min="10253" max="10253" width="8.5703125" style="1" bestFit="1" customWidth="1"/>
    <col min="10254" max="10254" width="30.85546875" style="1" bestFit="1" customWidth="1"/>
    <col min="10255" max="10497" width="8.7109375" style="1"/>
    <col min="10498" max="10498" width="30.28515625" style="1" bestFit="1" customWidth="1"/>
    <col min="10499" max="10499" width="30.85546875" style="1" bestFit="1" customWidth="1"/>
    <col min="10500" max="10500" width="7.7109375" style="1" bestFit="1" customWidth="1"/>
    <col min="10501" max="10501" width="6.7109375" style="1" bestFit="1" customWidth="1"/>
    <col min="10502" max="10502" width="18.7109375" style="1" bestFit="1" customWidth="1"/>
    <col min="10503" max="10503" width="40.28515625" style="1" bestFit="1" customWidth="1"/>
    <col min="10504" max="10507" width="5.5703125" style="1" bestFit="1" customWidth="1"/>
    <col min="10508" max="10508" width="6.7109375" style="1" bestFit="1" customWidth="1"/>
    <col min="10509" max="10509" width="8.5703125" style="1" bestFit="1" customWidth="1"/>
    <col min="10510" max="10510" width="30.85546875" style="1" bestFit="1" customWidth="1"/>
    <col min="10511" max="10753" width="8.7109375" style="1"/>
    <col min="10754" max="10754" width="30.28515625" style="1" bestFit="1" customWidth="1"/>
    <col min="10755" max="10755" width="30.85546875" style="1" bestFit="1" customWidth="1"/>
    <col min="10756" max="10756" width="7.7109375" style="1" bestFit="1" customWidth="1"/>
    <col min="10757" max="10757" width="6.7109375" style="1" bestFit="1" customWidth="1"/>
    <col min="10758" max="10758" width="18.7109375" style="1" bestFit="1" customWidth="1"/>
    <col min="10759" max="10759" width="40.28515625" style="1" bestFit="1" customWidth="1"/>
    <col min="10760" max="10763" width="5.5703125" style="1" bestFit="1" customWidth="1"/>
    <col min="10764" max="10764" width="6.7109375" style="1" bestFit="1" customWidth="1"/>
    <col min="10765" max="10765" width="8.5703125" style="1" bestFit="1" customWidth="1"/>
    <col min="10766" max="10766" width="30.85546875" style="1" bestFit="1" customWidth="1"/>
    <col min="10767" max="11009" width="8.7109375" style="1"/>
    <col min="11010" max="11010" width="30.28515625" style="1" bestFit="1" customWidth="1"/>
    <col min="11011" max="11011" width="30.85546875" style="1" bestFit="1" customWidth="1"/>
    <col min="11012" max="11012" width="7.7109375" style="1" bestFit="1" customWidth="1"/>
    <col min="11013" max="11013" width="6.7109375" style="1" bestFit="1" customWidth="1"/>
    <col min="11014" max="11014" width="18.7109375" style="1" bestFit="1" customWidth="1"/>
    <col min="11015" max="11015" width="40.28515625" style="1" bestFit="1" customWidth="1"/>
    <col min="11016" max="11019" width="5.5703125" style="1" bestFit="1" customWidth="1"/>
    <col min="11020" max="11020" width="6.7109375" style="1" bestFit="1" customWidth="1"/>
    <col min="11021" max="11021" width="8.5703125" style="1" bestFit="1" customWidth="1"/>
    <col min="11022" max="11022" width="30.85546875" style="1" bestFit="1" customWidth="1"/>
    <col min="11023" max="11265" width="8.7109375" style="1"/>
    <col min="11266" max="11266" width="30.28515625" style="1" bestFit="1" customWidth="1"/>
    <col min="11267" max="11267" width="30.85546875" style="1" bestFit="1" customWidth="1"/>
    <col min="11268" max="11268" width="7.7109375" style="1" bestFit="1" customWidth="1"/>
    <col min="11269" max="11269" width="6.7109375" style="1" bestFit="1" customWidth="1"/>
    <col min="11270" max="11270" width="18.7109375" style="1" bestFit="1" customWidth="1"/>
    <col min="11271" max="11271" width="40.28515625" style="1" bestFit="1" customWidth="1"/>
    <col min="11272" max="11275" width="5.5703125" style="1" bestFit="1" customWidth="1"/>
    <col min="11276" max="11276" width="6.7109375" style="1" bestFit="1" customWidth="1"/>
    <col min="11277" max="11277" width="8.5703125" style="1" bestFit="1" customWidth="1"/>
    <col min="11278" max="11278" width="30.85546875" style="1" bestFit="1" customWidth="1"/>
    <col min="11279" max="11521" width="8.7109375" style="1"/>
    <col min="11522" max="11522" width="30.28515625" style="1" bestFit="1" customWidth="1"/>
    <col min="11523" max="11523" width="30.85546875" style="1" bestFit="1" customWidth="1"/>
    <col min="11524" max="11524" width="7.7109375" style="1" bestFit="1" customWidth="1"/>
    <col min="11525" max="11525" width="6.7109375" style="1" bestFit="1" customWidth="1"/>
    <col min="11526" max="11526" width="18.7109375" style="1" bestFit="1" customWidth="1"/>
    <col min="11527" max="11527" width="40.28515625" style="1" bestFit="1" customWidth="1"/>
    <col min="11528" max="11531" width="5.5703125" style="1" bestFit="1" customWidth="1"/>
    <col min="11532" max="11532" width="6.7109375" style="1" bestFit="1" customWidth="1"/>
    <col min="11533" max="11533" width="8.5703125" style="1" bestFit="1" customWidth="1"/>
    <col min="11534" max="11534" width="30.85546875" style="1" bestFit="1" customWidth="1"/>
    <col min="11535" max="11777" width="8.7109375" style="1"/>
    <col min="11778" max="11778" width="30.28515625" style="1" bestFit="1" customWidth="1"/>
    <col min="11779" max="11779" width="30.85546875" style="1" bestFit="1" customWidth="1"/>
    <col min="11780" max="11780" width="7.7109375" style="1" bestFit="1" customWidth="1"/>
    <col min="11781" max="11781" width="6.7109375" style="1" bestFit="1" customWidth="1"/>
    <col min="11782" max="11782" width="18.7109375" style="1" bestFit="1" customWidth="1"/>
    <col min="11783" max="11783" width="40.28515625" style="1" bestFit="1" customWidth="1"/>
    <col min="11784" max="11787" width="5.5703125" style="1" bestFit="1" customWidth="1"/>
    <col min="11788" max="11788" width="6.7109375" style="1" bestFit="1" customWidth="1"/>
    <col min="11789" max="11789" width="8.5703125" style="1" bestFit="1" customWidth="1"/>
    <col min="11790" max="11790" width="30.85546875" style="1" bestFit="1" customWidth="1"/>
    <col min="11791" max="12033" width="8.7109375" style="1"/>
    <col min="12034" max="12034" width="30.28515625" style="1" bestFit="1" customWidth="1"/>
    <col min="12035" max="12035" width="30.85546875" style="1" bestFit="1" customWidth="1"/>
    <col min="12036" max="12036" width="7.7109375" style="1" bestFit="1" customWidth="1"/>
    <col min="12037" max="12037" width="6.7109375" style="1" bestFit="1" customWidth="1"/>
    <col min="12038" max="12038" width="18.7109375" style="1" bestFit="1" customWidth="1"/>
    <col min="12039" max="12039" width="40.28515625" style="1" bestFit="1" customWidth="1"/>
    <col min="12040" max="12043" width="5.5703125" style="1" bestFit="1" customWidth="1"/>
    <col min="12044" max="12044" width="6.7109375" style="1" bestFit="1" customWidth="1"/>
    <col min="12045" max="12045" width="8.5703125" style="1" bestFit="1" customWidth="1"/>
    <col min="12046" max="12046" width="30.85546875" style="1" bestFit="1" customWidth="1"/>
    <col min="12047" max="12289" width="8.7109375" style="1"/>
    <col min="12290" max="12290" width="30.28515625" style="1" bestFit="1" customWidth="1"/>
    <col min="12291" max="12291" width="30.85546875" style="1" bestFit="1" customWidth="1"/>
    <col min="12292" max="12292" width="7.7109375" style="1" bestFit="1" customWidth="1"/>
    <col min="12293" max="12293" width="6.7109375" style="1" bestFit="1" customWidth="1"/>
    <col min="12294" max="12294" width="18.7109375" style="1" bestFit="1" customWidth="1"/>
    <col min="12295" max="12295" width="40.28515625" style="1" bestFit="1" customWidth="1"/>
    <col min="12296" max="12299" width="5.5703125" style="1" bestFit="1" customWidth="1"/>
    <col min="12300" max="12300" width="6.7109375" style="1" bestFit="1" customWidth="1"/>
    <col min="12301" max="12301" width="8.5703125" style="1" bestFit="1" customWidth="1"/>
    <col min="12302" max="12302" width="30.85546875" style="1" bestFit="1" customWidth="1"/>
    <col min="12303" max="12545" width="8.7109375" style="1"/>
    <col min="12546" max="12546" width="30.28515625" style="1" bestFit="1" customWidth="1"/>
    <col min="12547" max="12547" width="30.85546875" style="1" bestFit="1" customWidth="1"/>
    <col min="12548" max="12548" width="7.7109375" style="1" bestFit="1" customWidth="1"/>
    <col min="12549" max="12549" width="6.7109375" style="1" bestFit="1" customWidth="1"/>
    <col min="12550" max="12550" width="18.7109375" style="1" bestFit="1" customWidth="1"/>
    <col min="12551" max="12551" width="40.28515625" style="1" bestFit="1" customWidth="1"/>
    <col min="12552" max="12555" width="5.5703125" style="1" bestFit="1" customWidth="1"/>
    <col min="12556" max="12556" width="6.7109375" style="1" bestFit="1" customWidth="1"/>
    <col min="12557" max="12557" width="8.5703125" style="1" bestFit="1" customWidth="1"/>
    <col min="12558" max="12558" width="30.85546875" style="1" bestFit="1" customWidth="1"/>
    <col min="12559" max="12801" width="8.7109375" style="1"/>
    <col min="12802" max="12802" width="30.28515625" style="1" bestFit="1" customWidth="1"/>
    <col min="12803" max="12803" width="30.85546875" style="1" bestFit="1" customWidth="1"/>
    <col min="12804" max="12804" width="7.7109375" style="1" bestFit="1" customWidth="1"/>
    <col min="12805" max="12805" width="6.7109375" style="1" bestFit="1" customWidth="1"/>
    <col min="12806" max="12806" width="18.7109375" style="1" bestFit="1" customWidth="1"/>
    <col min="12807" max="12807" width="40.28515625" style="1" bestFit="1" customWidth="1"/>
    <col min="12808" max="12811" width="5.5703125" style="1" bestFit="1" customWidth="1"/>
    <col min="12812" max="12812" width="6.7109375" style="1" bestFit="1" customWidth="1"/>
    <col min="12813" max="12813" width="8.5703125" style="1" bestFit="1" customWidth="1"/>
    <col min="12814" max="12814" width="30.85546875" style="1" bestFit="1" customWidth="1"/>
    <col min="12815" max="13057" width="8.7109375" style="1"/>
    <col min="13058" max="13058" width="30.28515625" style="1" bestFit="1" customWidth="1"/>
    <col min="13059" max="13059" width="30.85546875" style="1" bestFit="1" customWidth="1"/>
    <col min="13060" max="13060" width="7.7109375" style="1" bestFit="1" customWidth="1"/>
    <col min="13061" max="13061" width="6.7109375" style="1" bestFit="1" customWidth="1"/>
    <col min="13062" max="13062" width="18.7109375" style="1" bestFit="1" customWidth="1"/>
    <col min="13063" max="13063" width="40.28515625" style="1" bestFit="1" customWidth="1"/>
    <col min="13064" max="13067" width="5.5703125" style="1" bestFit="1" customWidth="1"/>
    <col min="13068" max="13068" width="6.7109375" style="1" bestFit="1" customWidth="1"/>
    <col min="13069" max="13069" width="8.5703125" style="1" bestFit="1" customWidth="1"/>
    <col min="13070" max="13070" width="30.85546875" style="1" bestFit="1" customWidth="1"/>
    <col min="13071" max="13313" width="8.7109375" style="1"/>
    <col min="13314" max="13314" width="30.28515625" style="1" bestFit="1" customWidth="1"/>
    <col min="13315" max="13315" width="30.85546875" style="1" bestFit="1" customWidth="1"/>
    <col min="13316" max="13316" width="7.7109375" style="1" bestFit="1" customWidth="1"/>
    <col min="13317" max="13317" width="6.7109375" style="1" bestFit="1" customWidth="1"/>
    <col min="13318" max="13318" width="18.7109375" style="1" bestFit="1" customWidth="1"/>
    <col min="13319" max="13319" width="40.28515625" style="1" bestFit="1" customWidth="1"/>
    <col min="13320" max="13323" width="5.5703125" style="1" bestFit="1" customWidth="1"/>
    <col min="13324" max="13324" width="6.7109375" style="1" bestFit="1" customWidth="1"/>
    <col min="13325" max="13325" width="8.5703125" style="1" bestFit="1" customWidth="1"/>
    <col min="13326" max="13326" width="30.85546875" style="1" bestFit="1" customWidth="1"/>
    <col min="13327" max="13569" width="8.7109375" style="1"/>
    <col min="13570" max="13570" width="30.28515625" style="1" bestFit="1" customWidth="1"/>
    <col min="13571" max="13571" width="30.85546875" style="1" bestFit="1" customWidth="1"/>
    <col min="13572" max="13572" width="7.7109375" style="1" bestFit="1" customWidth="1"/>
    <col min="13573" max="13573" width="6.7109375" style="1" bestFit="1" customWidth="1"/>
    <col min="13574" max="13574" width="18.7109375" style="1" bestFit="1" customWidth="1"/>
    <col min="13575" max="13575" width="40.28515625" style="1" bestFit="1" customWidth="1"/>
    <col min="13576" max="13579" width="5.5703125" style="1" bestFit="1" customWidth="1"/>
    <col min="13580" max="13580" width="6.7109375" style="1" bestFit="1" customWidth="1"/>
    <col min="13581" max="13581" width="8.5703125" style="1" bestFit="1" customWidth="1"/>
    <col min="13582" max="13582" width="30.85546875" style="1" bestFit="1" customWidth="1"/>
    <col min="13583" max="13825" width="8.7109375" style="1"/>
    <col min="13826" max="13826" width="30.28515625" style="1" bestFit="1" customWidth="1"/>
    <col min="13827" max="13827" width="30.85546875" style="1" bestFit="1" customWidth="1"/>
    <col min="13828" max="13828" width="7.7109375" style="1" bestFit="1" customWidth="1"/>
    <col min="13829" max="13829" width="6.7109375" style="1" bestFit="1" customWidth="1"/>
    <col min="13830" max="13830" width="18.7109375" style="1" bestFit="1" customWidth="1"/>
    <col min="13831" max="13831" width="40.28515625" style="1" bestFit="1" customWidth="1"/>
    <col min="13832" max="13835" width="5.5703125" style="1" bestFit="1" customWidth="1"/>
    <col min="13836" max="13836" width="6.7109375" style="1" bestFit="1" customWidth="1"/>
    <col min="13837" max="13837" width="8.5703125" style="1" bestFit="1" customWidth="1"/>
    <col min="13838" max="13838" width="30.85546875" style="1" bestFit="1" customWidth="1"/>
    <col min="13839" max="14081" width="8.7109375" style="1"/>
    <col min="14082" max="14082" width="30.28515625" style="1" bestFit="1" customWidth="1"/>
    <col min="14083" max="14083" width="30.85546875" style="1" bestFit="1" customWidth="1"/>
    <col min="14084" max="14084" width="7.7109375" style="1" bestFit="1" customWidth="1"/>
    <col min="14085" max="14085" width="6.7109375" style="1" bestFit="1" customWidth="1"/>
    <col min="14086" max="14086" width="18.7109375" style="1" bestFit="1" customWidth="1"/>
    <col min="14087" max="14087" width="40.28515625" style="1" bestFit="1" customWidth="1"/>
    <col min="14088" max="14091" width="5.5703125" style="1" bestFit="1" customWidth="1"/>
    <col min="14092" max="14092" width="6.7109375" style="1" bestFit="1" customWidth="1"/>
    <col min="14093" max="14093" width="8.5703125" style="1" bestFit="1" customWidth="1"/>
    <col min="14094" max="14094" width="30.85546875" style="1" bestFit="1" customWidth="1"/>
    <col min="14095" max="14337" width="8.7109375" style="1"/>
    <col min="14338" max="14338" width="30.28515625" style="1" bestFit="1" customWidth="1"/>
    <col min="14339" max="14339" width="30.85546875" style="1" bestFit="1" customWidth="1"/>
    <col min="14340" max="14340" width="7.7109375" style="1" bestFit="1" customWidth="1"/>
    <col min="14341" max="14341" width="6.7109375" style="1" bestFit="1" customWidth="1"/>
    <col min="14342" max="14342" width="18.7109375" style="1" bestFit="1" customWidth="1"/>
    <col min="14343" max="14343" width="40.28515625" style="1" bestFit="1" customWidth="1"/>
    <col min="14344" max="14347" width="5.5703125" style="1" bestFit="1" customWidth="1"/>
    <col min="14348" max="14348" width="6.7109375" style="1" bestFit="1" customWidth="1"/>
    <col min="14349" max="14349" width="8.5703125" style="1" bestFit="1" customWidth="1"/>
    <col min="14350" max="14350" width="30.85546875" style="1" bestFit="1" customWidth="1"/>
    <col min="14351" max="14593" width="8.7109375" style="1"/>
    <col min="14594" max="14594" width="30.28515625" style="1" bestFit="1" customWidth="1"/>
    <col min="14595" max="14595" width="30.85546875" style="1" bestFit="1" customWidth="1"/>
    <col min="14596" max="14596" width="7.7109375" style="1" bestFit="1" customWidth="1"/>
    <col min="14597" max="14597" width="6.7109375" style="1" bestFit="1" customWidth="1"/>
    <col min="14598" max="14598" width="18.7109375" style="1" bestFit="1" customWidth="1"/>
    <col min="14599" max="14599" width="40.28515625" style="1" bestFit="1" customWidth="1"/>
    <col min="14600" max="14603" width="5.5703125" style="1" bestFit="1" customWidth="1"/>
    <col min="14604" max="14604" width="6.7109375" style="1" bestFit="1" customWidth="1"/>
    <col min="14605" max="14605" width="8.5703125" style="1" bestFit="1" customWidth="1"/>
    <col min="14606" max="14606" width="30.85546875" style="1" bestFit="1" customWidth="1"/>
    <col min="14607" max="14849" width="8.7109375" style="1"/>
    <col min="14850" max="14850" width="30.28515625" style="1" bestFit="1" customWidth="1"/>
    <col min="14851" max="14851" width="30.85546875" style="1" bestFit="1" customWidth="1"/>
    <col min="14852" max="14852" width="7.7109375" style="1" bestFit="1" customWidth="1"/>
    <col min="14853" max="14853" width="6.7109375" style="1" bestFit="1" customWidth="1"/>
    <col min="14854" max="14854" width="18.7109375" style="1" bestFit="1" customWidth="1"/>
    <col min="14855" max="14855" width="40.28515625" style="1" bestFit="1" customWidth="1"/>
    <col min="14856" max="14859" width="5.5703125" style="1" bestFit="1" customWidth="1"/>
    <col min="14860" max="14860" width="6.7109375" style="1" bestFit="1" customWidth="1"/>
    <col min="14861" max="14861" width="8.5703125" style="1" bestFit="1" customWidth="1"/>
    <col min="14862" max="14862" width="30.85546875" style="1" bestFit="1" customWidth="1"/>
    <col min="14863" max="15105" width="8.7109375" style="1"/>
    <col min="15106" max="15106" width="30.28515625" style="1" bestFit="1" customWidth="1"/>
    <col min="15107" max="15107" width="30.85546875" style="1" bestFit="1" customWidth="1"/>
    <col min="15108" max="15108" width="7.7109375" style="1" bestFit="1" customWidth="1"/>
    <col min="15109" max="15109" width="6.7109375" style="1" bestFit="1" customWidth="1"/>
    <col min="15110" max="15110" width="18.7109375" style="1" bestFit="1" customWidth="1"/>
    <col min="15111" max="15111" width="40.28515625" style="1" bestFit="1" customWidth="1"/>
    <col min="15112" max="15115" width="5.5703125" style="1" bestFit="1" customWidth="1"/>
    <col min="15116" max="15116" width="6.7109375" style="1" bestFit="1" customWidth="1"/>
    <col min="15117" max="15117" width="8.5703125" style="1" bestFit="1" customWidth="1"/>
    <col min="15118" max="15118" width="30.85546875" style="1" bestFit="1" customWidth="1"/>
    <col min="15119" max="15361" width="8.7109375" style="1"/>
    <col min="15362" max="15362" width="30.28515625" style="1" bestFit="1" customWidth="1"/>
    <col min="15363" max="15363" width="30.85546875" style="1" bestFit="1" customWidth="1"/>
    <col min="15364" max="15364" width="7.7109375" style="1" bestFit="1" customWidth="1"/>
    <col min="15365" max="15365" width="6.7109375" style="1" bestFit="1" customWidth="1"/>
    <col min="15366" max="15366" width="18.7109375" style="1" bestFit="1" customWidth="1"/>
    <col min="15367" max="15367" width="40.28515625" style="1" bestFit="1" customWidth="1"/>
    <col min="15368" max="15371" width="5.5703125" style="1" bestFit="1" customWidth="1"/>
    <col min="15372" max="15372" width="6.7109375" style="1" bestFit="1" customWidth="1"/>
    <col min="15373" max="15373" width="8.5703125" style="1" bestFit="1" customWidth="1"/>
    <col min="15374" max="15374" width="30.85546875" style="1" bestFit="1" customWidth="1"/>
    <col min="15375" max="15617" width="8.7109375" style="1"/>
    <col min="15618" max="15618" width="30.28515625" style="1" bestFit="1" customWidth="1"/>
    <col min="15619" max="15619" width="30.85546875" style="1" bestFit="1" customWidth="1"/>
    <col min="15620" max="15620" width="7.7109375" style="1" bestFit="1" customWidth="1"/>
    <col min="15621" max="15621" width="6.7109375" style="1" bestFit="1" customWidth="1"/>
    <col min="15622" max="15622" width="18.7109375" style="1" bestFit="1" customWidth="1"/>
    <col min="15623" max="15623" width="40.28515625" style="1" bestFit="1" customWidth="1"/>
    <col min="15624" max="15627" width="5.5703125" style="1" bestFit="1" customWidth="1"/>
    <col min="15628" max="15628" width="6.7109375" style="1" bestFit="1" customWidth="1"/>
    <col min="15629" max="15629" width="8.5703125" style="1" bestFit="1" customWidth="1"/>
    <col min="15630" max="15630" width="30.85546875" style="1" bestFit="1" customWidth="1"/>
    <col min="15631" max="15873" width="8.7109375" style="1"/>
    <col min="15874" max="15874" width="30.28515625" style="1" bestFit="1" customWidth="1"/>
    <col min="15875" max="15875" width="30.85546875" style="1" bestFit="1" customWidth="1"/>
    <col min="15876" max="15876" width="7.7109375" style="1" bestFit="1" customWidth="1"/>
    <col min="15877" max="15877" width="6.7109375" style="1" bestFit="1" customWidth="1"/>
    <col min="15878" max="15878" width="18.7109375" style="1" bestFit="1" customWidth="1"/>
    <col min="15879" max="15879" width="40.28515625" style="1" bestFit="1" customWidth="1"/>
    <col min="15880" max="15883" width="5.5703125" style="1" bestFit="1" customWidth="1"/>
    <col min="15884" max="15884" width="6.7109375" style="1" bestFit="1" customWidth="1"/>
    <col min="15885" max="15885" width="8.5703125" style="1" bestFit="1" customWidth="1"/>
    <col min="15886" max="15886" width="30.85546875" style="1" bestFit="1" customWidth="1"/>
    <col min="15887" max="16129" width="8.7109375" style="1"/>
    <col min="16130" max="16130" width="30.28515625" style="1" bestFit="1" customWidth="1"/>
    <col min="16131" max="16131" width="30.85546875" style="1" bestFit="1" customWidth="1"/>
    <col min="16132" max="16132" width="7.7109375" style="1" bestFit="1" customWidth="1"/>
    <col min="16133" max="16133" width="6.7109375" style="1" bestFit="1" customWidth="1"/>
    <col min="16134" max="16134" width="18.7109375" style="1" bestFit="1" customWidth="1"/>
    <col min="16135" max="16135" width="40.28515625" style="1" bestFit="1" customWidth="1"/>
    <col min="16136" max="16139" width="5.5703125" style="1" bestFit="1" customWidth="1"/>
    <col min="16140" max="16140" width="6.7109375" style="1" bestFit="1" customWidth="1"/>
    <col min="16141" max="16141" width="8.5703125" style="1" bestFit="1" customWidth="1"/>
    <col min="16142" max="16142" width="30.85546875" style="1" bestFit="1" customWidth="1"/>
    <col min="16143" max="16384" width="8.7109375" style="1"/>
  </cols>
  <sheetData>
    <row r="1" spans="1:18" ht="30" customHeight="1" x14ac:dyDescent="0.2">
      <c r="A1" s="295" t="s">
        <v>4023</v>
      </c>
      <c r="B1" s="295"/>
      <c r="C1" s="295"/>
      <c r="D1" s="295"/>
      <c r="E1" s="295"/>
      <c r="F1" s="295"/>
      <c r="G1" s="295"/>
      <c r="H1" s="295"/>
      <c r="I1" s="295"/>
      <c r="J1" s="295"/>
      <c r="K1" s="295"/>
      <c r="L1" s="295"/>
      <c r="M1" s="295"/>
      <c r="N1" s="295"/>
      <c r="O1" s="241"/>
      <c r="P1" s="241"/>
      <c r="Q1" s="241"/>
      <c r="R1" s="241"/>
    </row>
    <row r="2" spans="1:18" ht="30" customHeight="1" x14ac:dyDescent="0.2">
      <c r="A2" s="295" t="s">
        <v>4040</v>
      </c>
      <c r="B2" s="295"/>
      <c r="C2" s="295"/>
      <c r="D2" s="295"/>
      <c r="E2" s="295"/>
      <c r="F2" s="295"/>
      <c r="G2" s="295"/>
      <c r="H2" s="295"/>
      <c r="I2" s="295"/>
      <c r="J2" s="295"/>
      <c r="K2" s="295"/>
      <c r="L2" s="295"/>
      <c r="M2" s="295"/>
      <c r="N2" s="295"/>
      <c r="O2" s="241"/>
      <c r="P2" s="241"/>
      <c r="Q2" s="241"/>
      <c r="R2" s="241"/>
    </row>
    <row r="3" spans="1:18" ht="30.75" customHeight="1" thickBot="1" x14ac:dyDescent="0.25">
      <c r="A3" s="295" t="s">
        <v>3381</v>
      </c>
      <c r="B3" s="295"/>
      <c r="C3" s="295"/>
      <c r="D3" s="295"/>
      <c r="E3" s="295"/>
      <c r="F3" s="295"/>
      <c r="G3" s="295"/>
      <c r="H3" s="295"/>
      <c r="I3" s="295"/>
      <c r="J3" s="295"/>
      <c r="K3" s="295"/>
      <c r="L3" s="295"/>
      <c r="M3" s="295"/>
      <c r="N3" s="295"/>
      <c r="O3" s="241"/>
      <c r="P3" s="241"/>
      <c r="Q3" s="241"/>
      <c r="R3" s="241"/>
    </row>
    <row r="4" spans="1:18" s="5" customFormat="1" ht="12.75" customHeight="1" x14ac:dyDescent="0.2">
      <c r="A4" s="297" t="s">
        <v>719</v>
      </c>
      <c r="B4" s="300" t="s">
        <v>0</v>
      </c>
      <c r="C4" s="302" t="s">
        <v>3382</v>
      </c>
      <c r="D4" s="302" t="s">
        <v>8</v>
      </c>
      <c r="E4" s="304" t="s">
        <v>9</v>
      </c>
      <c r="F4" s="304" t="s">
        <v>1</v>
      </c>
      <c r="G4" s="305" t="s">
        <v>795</v>
      </c>
      <c r="H4" s="300" t="s">
        <v>3</v>
      </c>
      <c r="I4" s="304"/>
      <c r="J4" s="304"/>
      <c r="K4" s="307"/>
      <c r="L4" s="308" t="s">
        <v>3593</v>
      </c>
      <c r="M4" s="304" t="s">
        <v>6</v>
      </c>
      <c r="N4" s="307" t="s">
        <v>5</v>
      </c>
    </row>
    <row r="5" spans="1:18" s="5" customFormat="1" ht="23.25" customHeight="1" thickBot="1" x14ac:dyDescent="0.25">
      <c r="A5" s="298"/>
      <c r="B5" s="301"/>
      <c r="C5" s="303"/>
      <c r="D5" s="303"/>
      <c r="E5" s="303"/>
      <c r="F5" s="303"/>
      <c r="G5" s="306"/>
      <c r="H5" s="60">
        <v>1</v>
      </c>
      <c r="I5" s="58">
        <v>2</v>
      </c>
      <c r="J5" s="58">
        <v>3</v>
      </c>
      <c r="K5" s="59" t="s">
        <v>7</v>
      </c>
      <c r="L5" s="309"/>
      <c r="M5" s="303"/>
      <c r="N5" s="310"/>
    </row>
    <row r="6" spans="1:18" s="66" customFormat="1" ht="15" x14ac:dyDescent="0.2">
      <c r="A6" s="86"/>
      <c r="B6" s="315" t="s">
        <v>4018</v>
      </c>
      <c r="C6" s="299"/>
      <c r="D6" s="299"/>
      <c r="E6" s="299"/>
      <c r="F6" s="299"/>
      <c r="G6" s="299"/>
      <c r="H6" s="299"/>
      <c r="I6" s="299"/>
      <c r="J6" s="299"/>
      <c r="K6" s="299"/>
      <c r="L6" s="299"/>
      <c r="M6" s="299"/>
      <c r="N6" s="65"/>
    </row>
    <row r="7" spans="1:18" s="66" customFormat="1" x14ac:dyDescent="0.2">
      <c r="A7" s="86" t="s">
        <v>892</v>
      </c>
      <c r="B7" s="74" t="s">
        <v>2583</v>
      </c>
      <c r="C7" s="68" t="s">
        <v>2404</v>
      </c>
      <c r="D7" s="68" t="s">
        <v>2405</v>
      </c>
      <c r="E7" s="68" t="str">
        <f>"3,1450"</f>
        <v>3,1450</v>
      </c>
      <c r="F7" s="68" t="s">
        <v>4020</v>
      </c>
      <c r="G7" s="68" t="s">
        <v>3185</v>
      </c>
      <c r="H7" s="34" t="s">
        <v>1588</v>
      </c>
      <c r="I7" s="34" t="s">
        <v>1589</v>
      </c>
      <c r="J7" s="34" t="s">
        <v>1590</v>
      </c>
      <c r="K7" s="91"/>
      <c r="L7" s="95">
        <v>32.5</v>
      </c>
      <c r="M7" s="87" t="str">
        <f>"102,2125"</f>
        <v>102,2125</v>
      </c>
      <c r="N7" s="68" t="s">
        <v>3391</v>
      </c>
    </row>
    <row r="8" spans="1:18" s="66" customFormat="1" x14ac:dyDescent="0.2">
      <c r="A8" s="86"/>
      <c r="B8" s="75"/>
      <c r="C8" s="65"/>
      <c r="D8" s="65"/>
      <c r="E8" s="65"/>
      <c r="F8" s="65"/>
      <c r="G8" s="65"/>
      <c r="H8" s="86"/>
      <c r="I8" s="86"/>
      <c r="J8" s="86"/>
      <c r="K8" s="86"/>
      <c r="L8" s="96"/>
      <c r="M8" s="86"/>
      <c r="N8" s="65"/>
    </row>
    <row r="9" spans="1:18" ht="15" x14ac:dyDescent="0.2">
      <c r="B9" s="316" t="s">
        <v>4005</v>
      </c>
      <c r="C9" s="316"/>
      <c r="D9" s="316"/>
      <c r="E9" s="316"/>
      <c r="F9" s="316"/>
      <c r="G9" s="316"/>
      <c r="H9" s="316"/>
      <c r="I9" s="316"/>
      <c r="J9" s="316"/>
      <c r="K9" s="316"/>
      <c r="L9" s="316"/>
      <c r="M9" s="316"/>
    </row>
    <row r="10" spans="1:18" x14ac:dyDescent="0.2">
      <c r="A10" s="42">
        <v>1</v>
      </c>
      <c r="B10" s="76" t="s">
        <v>2584</v>
      </c>
      <c r="C10" s="70" t="s">
        <v>2280</v>
      </c>
      <c r="D10" s="70" t="s">
        <v>64</v>
      </c>
      <c r="E10" s="70" t="str">
        <f>"2,0790"</f>
        <v>2,0790</v>
      </c>
      <c r="F10" s="70" t="s">
        <v>4020</v>
      </c>
      <c r="G10" s="70" t="s">
        <v>802</v>
      </c>
      <c r="H10" s="35" t="s">
        <v>81</v>
      </c>
      <c r="I10" s="100" t="s">
        <v>46</v>
      </c>
      <c r="J10" s="100" t="s">
        <v>46</v>
      </c>
      <c r="K10" s="92"/>
      <c r="L10" s="97">
        <v>85</v>
      </c>
      <c r="M10" s="88" t="str">
        <f>"176,7150"</f>
        <v>176,7150</v>
      </c>
      <c r="N10" s="70" t="s">
        <v>3339</v>
      </c>
    </row>
    <row r="11" spans="1:18" x14ac:dyDescent="0.2">
      <c r="A11" s="42">
        <v>2</v>
      </c>
      <c r="B11" s="77" t="s">
        <v>2585</v>
      </c>
      <c r="C11" s="71" t="s">
        <v>2406</v>
      </c>
      <c r="D11" s="71" t="s">
        <v>2407</v>
      </c>
      <c r="E11" s="71" t="str">
        <f>"2,1432"</f>
        <v>2,1432</v>
      </c>
      <c r="F11" s="71" t="s">
        <v>4020</v>
      </c>
      <c r="G11" s="71" t="s">
        <v>3317</v>
      </c>
      <c r="H11" s="103" t="s">
        <v>86</v>
      </c>
      <c r="I11" s="36" t="s">
        <v>86</v>
      </c>
      <c r="J11" s="103" t="s">
        <v>68</v>
      </c>
      <c r="K11" s="93"/>
      <c r="L11" s="98">
        <v>60</v>
      </c>
      <c r="M11" s="89" t="str">
        <f>"128,5920"</f>
        <v>128,5920</v>
      </c>
      <c r="N11" s="71" t="s">
        <v>2654</v>
      </c>
    </row>
    <row r="12" spans="1:18" x14ac:dyDescent="0.2">
      <c r="A12" s="42">
        <v>1</v>
      </c>
      <c r="B12" s="77" t="s">
        <v>2586</v>
      </c>
      <c r="C12" s="71" t="s">
        <v>2408</v>
      </c>
      <c r="D12" s="71" t="s">
        <v>2409</v>
      </c>
      <c r="E12" s="71" t="str">
        <f>"2,1024"</f>
        <v>2,1024</v>
      </c>
      <c r="F12" s="71" t="s">
        <v>1076</v>
      </c>
      <c r="G12" s="71" t="s">
        <v>3331</v>
      </c>
      <c r="H12" s="36" t="s">
        <v>45</v>
      </c>
      <c r="I12" s="103" t="s">
        <v>92</v>
      </c>
      <c r="J12" s="103" t="s">
        <v>92</v>
      </c>
      <c r="K12" s="93"/>
      <c r="L12" s="98">
        <v>45</v>
      </c>
      <c r="M12" s="89" t="str">
        <f>"98,7708"</f>
        <v>98,7708</v>
      </c>
      <c r="N12" s="71" t="s">
        <v>2410</v>
      </c>
    </row>
    <row r="13" spans="1:18" x14ac:dyDescent="0.2">
      <c r="B13" s="78" t="s">
        <v>2587</v>
      </c>
      <c r="C13" s="72" t="s">
        <v>2411</v>
      </c>
      <c r="D13" s="72" t="s">
        <v>2412</v>
      </c>
      <c r="E13" s="72" t="str">
        <f>"2,2064"</f>
        <v>2,2064</v>
      </c>
      <c r="F13" s="72" t="s">
        <v>1076</v>
      </c>
      <c r="G13" s="72" t="s">
        <v>3332</v>
      </c>
      <c r="H13" s="37" t="s">
        <v>60</v>
      </c>
      <c r="I13" s="37" t="s">
        <v>2413</v>
      </c>
      <c r="J13" s="101" t="s">
        <v>2414</v>
      </c>
      <c r="K13" s="94"/>
      <c r="L13" s="99">
        <v>54</v>
      </c>
      <c r="M13" s="90" t="str">
        <f>"178,8375"</f>
        <v>178,8375</v>
      </c>
      <c r="N13" s="72" t="s">
        <v>3391</v>
      </c>
    </row>
    <row r="15" spans="1:18" ht="15" x14ac:dyDescent="0.2">
      <c r="B15" s="316" t="s">
        <v>4014</v>
      </c>
      <c r="C15" s="316"/>
      <c r="D15" s="316"/>
      <c r="E15" s="316"/>
      <c r="F15" s="316"/>
      <c r="G15" s="316"/>
      <c r="H15" s="316"/>
      <c r="I15" s="316"/>
      <c r="J15" s="316"/>
      <c r="K15" s="316"/>
      <c r="L15" s="316"/>
      <c r="M15" s="316"/>
    </row>
    <row r="16" spans="1:18" x14ac:dyDescent="0.2">
      <c r="A16" s="42">
        <v>1</v>
      </c>
      <c r="B16" s="74" t="s">
        <v>2588</v>
      </c>
      <c r="C16" s="68" t="s">
        <v>2415</v>
      </c>
      <c r="D16" s="68" t="s">
        <v>2416</v>
      </c>
      <c r="E16" s="68" t="str">
        <f>"1,9380"</f>
        <v>1,9380</v>
      </c>
      <c r="F16" s="68" t="s">
        <v>2653</v>
      </c>
      <c r="G16" s="68" t="s">
        <v>3286</v>
      </c>
      <c r="H16" s="34" t="s">
        <v>81</v>
      </c>
      <c r="I16" s="34" t="s">
        <v>85</v>
      </c>
      <c r="J16" s="102" t="s">
        <v>46</v>
      </c>
      <c r="K16" s="91"/>
      <c r="L16" s="95">
        <v>87.5</v>
      </c>
      <c r="M16" s="87" t="str">
        <f>"169,5750"</f>
        <v>169,5750</v>
      </c>
      <c r="N16" s="68" t="s">
        <v>2655</v>
      </c>
    </row>
    <row r="17" spans="1:14" x14ac:dyDescent="0.2">
      <c r="G17" s="65" t="s">
        <v>794</v>
      </c>
    </row>
    <row r="18" spans="1:14" ht="15" x14ac:dyDescent="0.2">
      <c r="B18" s="316" t="s">
        <v>4007</v>
      </c>
      <c r="C18" s="316"/>
      <c r="D18" s="316"/>
      <c r="E18" s="316"/>
      <c r="F18" s="316"/>
      <c r="G18" s="316"/>
      <c r="H18" s="316"/>
      <c r="I18" s="316"/>
      <c r="J18" s="316"/>
      <c r="K18" s="316"/>
      <c r="L18" s="316"/>
      <c r="M18" s="316"/>
    </row>
    <row r="19" spans="1:14" x14ac:dyDescent="0.2">
      <c r="A19" s="42">
        <v>1</v>
      </c>
      <c r="B19" s="76" t="s">
        <v>2589</v>
      </c>
      <c r="C19" s="70" t="s">
        <v>2417</v>
      </c>
      <c r="D19" s="70" t="s">
        <v>2418</v>
      </c>
      <c r="E19" s="70" t="str">
        <f>"1,7498"</f>
        <v>1,7498</v>
      </c>
      <c r="F19" s="70" t="s">
        <v>851</v>
      </c>
      <c r="G19" s="70" t="s">
        <v>864</v>
      </c>
      <c r="H19" s="35" t="s">
        <v>70</v>
      </c>
      <c r="I19" s="35" t="s">
        <v>71</v>
      </c>
      <c r="J19" s="35" t="s">
        <v>112</v>
      </c>
      <c r="K19" s="92"/>
      <c r="L19" s="97">
        <v>125</v>
      </c>
      <c r="M19" s="88" t="str">
        <f>"218,7250"</f>
        <v>218,7250</v>
      </c>
      <c r="N19" s="70" t="s">
        <v>3391</v>
      </c>
    </row>
    <row r="20" spans="1:14" x14ac:dyDescent="0.2">
      <c r="A20" s="42">
        <v>2</v>
      </c>
      <c r="B20" s="77" t="s">
        <v>2419</v>
      </c>
      <c r="C20" s="71" t="s">
        <v>2420</v>
      </c>
      <c r="D20" s="71" t="s">
        <v>2192</v>
      </c>
      <c r="E20" s="71" t="str">
        <f>"1,6720"</f>
        <v>1,6720</v>
      </c>
      <c r="F20" s="71" t="s">
        <v>4020</v>
      </c>
      <c r="G20" s="71" t="s">
        <v>840</v>
      </c>
      <c r="H20" s="36" t="s">
        <v>81</v>
      </c>
      <c r="I20" s="103" t="s">
        <v>85</v>
      </c>
      <c r="J20" s="103" t="s">
        <v>46</v>
      </c>
      <c r="K20" s="93"/>
      <c r="L20" s="98">
        <v>85</v>
      </c>
      <c r="M20" s="89" t="str">
        <f>"142,1200"</f>
        <v>142,1200</v>
      </c>
      <c r="N20" s="71" t="s">
        <v>3338</v>
      </c>
    </row>
    <row r="21" spans="1:14" x14ac:dyDescent="0.2">
      <c r="A21" s="42">
        <v>1</v>
      </c>
      <c r="B21" s="78" t="s">
        <v>2590</v>
      </c>
      <c r="C21" s="72" t="s">
        <v>2421</v>
      </c>
      <c r="D21" s="72" t="s">
        <v>2192</v>
      </c>
      <c r="E21" s="72" t="str">
        <f>"1,6720"</f>
        <v>1,6720</v>
      </c>
      <c r="F21" s="72" t="s">
        <v>4020</v>
      </c>
      <c r="G21" s="72" t="s">
        <v>840</v>
      </c>
      <c r="H21" s="37" t="s">
        <v>81</v>
      </c>
      <c r="I21" s="101" t="s">
        <v>85</v>
      </c>
      <c r="J21" s="101" t="s">
        <v>46</v>
      </c>
      <c r="K21" s="94"/>
      <c r="L21" s="99">
        <v>85</v>
      </c>
      <c r="M21" s="90" t="str">
        <f>"153,2054"</f>
        <v>153,2054</v>
      </c>
      <c r="N21" s="72" t="s">
        <v>3338</v>
      </c>
    </row>
    <row r="23" spans="1:14" ht="15" x14ac:dyDescent="0.2">
      <c r="B23" s="316" t="s">
        <v>4008</v>
      </c>
      <c r="C23" s="316"/>
      <c r="D23" s="316"/>
      <c r="E23" s="316"/>
      <c r="F23" s="316"/>
      <c r="G23" s="316"/>
      <c r="H23" s="316"/>
      <c r="I23" s="316"/>
      <c r="J23" s="316"/>
      <c r="K23" s="316"/>
      <c r="L23" s="316"/>
      <c r="M23" s="316"/>
    </row>
    <row r="24" spans="1:14" x14ac:dyDescent="0.2">
      <c r="A24" s="42">
        <v>1</v>
      </c>
      <c r="B24" s="76" t="s">
        <v>2591</v>
      </c>
      <c r="C24" s="70" t="s">
        <v>2422</v>
      </c>
      <c r="D24" s="70" t="s">
        <v>393</v>
      </c>
      <c r="E24" s="70" t="str">
        <f>"1,5670"</f>
        <v>1,5670</v>
      </c>
      <c r="F24" s="70" t="s">
        <v>4020</v>
      </c>
      <c r="G24" s="70" t="s">
        <v>796</v>
      </c>
      <c r="H24" s="35" t="s">
        <v>46</v>
      </c>
      <c r="I24" s="35" t="s">
        <v>61</v>
      </c>
      <c r="J24" s="100" t="s">
        <v>76</v>
      </c>
      <c r="K24" s="92"/>
      <c r="L24" s="97">
        <v>95</v>
      </c>
      <c r="M24" s="88" t="str">
        <f>"148,8650"</f>
        <v>148,8650</v>
      </c>
      <c r="N24" s="70" t="s">
        <v>2656</v>
      </c>
    </row>
    <row r="25" spans="1:14" x14ac:dyDescent="0.2">
      <c r="A25" s="42">
        <v>1</v>
      </c>
      <c r="B25" s="77" t="s">
        <v>1434</v>
      </c>
      <c r="C25" s="71" t="s">
        <v>1300</v>
      </c>
      <c r="D25" s="71" t="s">
        <v>570</v>
      </c>
      <c r="E25" s="71" t="str">
        <f>"1,5514"</f>
        <v>1,5514</v>
      </c>
      <c r="F25" s="71" t="s">
        <v>111</v>
      </c>
      <c r="G25" s="71" t="s">
        <v>3211</v>
      </c>
      <c r="H25" s="36" t="s">
        <v>71</v>
      </c>
      <c r="I25" s="93"/>
      <c r="J25" s="93"/>
      <c r="K25" s="93"/>
      <c r="L25" s="98">
        <v>120</v>
      </c>
      <c r="M25" s="89" t="str">
        <f>"186,1680"</f>
        <v>186,1680</v>
      </c>
      <c r="N25" s="71" t="s">
        <v>3232</v>
      </c>
    </row>
    <row r="26" spans="1:14" x14ac:dyDescent="0.2">
      <c r="A26" s="42">
        <v>2</v>
      </c>
      <c r="B26" s="78" t="s">
        <v>2592</v>
      </c>
      <c r="C26" s="72" t="s">
        <v>2424</v>
      </c>
      <c r="D26" s="72" t="s">
        <v>2425</v>
      </c>
      <c r="E26" s="72" t="str">
        <f>"1,5908"</f>
        <v>1,5908</v>
      </c>
      <c r="F26" s="72" t="s">
        <v>14</v>
      </c>
      <c r="G26" s="72" t="s">
        <v>3318</v>
      </c>
      <c r="H26" s="37" t="s">
        <v>42</v>
      </c>
      <c r="I26" s="101" t="s">
        <v>81</v>
      </c>
      <c r="J26" s="101" t="s">
        <v>81</v>
      </c>
      <c r="K26" s="94"/>
      <c r="L26" s="99">
        <v>80</v>
      </c>
      <c r="M26" s="90" t="str">
        <f>"127,2640"</f>
        <v>127,2640</v>
      </c>
      <c r="N26" s="72" t="s">
        <v>2657</v>
      </c>
    </row>
    <row r="28" spans="1:14" ht="15" x14ac:dyDescent="0.2">
      <c r="B28" s="316" t="s">
        <v>4010</v>
      </c>
      <c r="C28" s="316"/>
      <c r="D28" s="316"/>
      <c r="E28" s="316"/>
      <c r="F28" s="316"/>
      <c r="G28" s="316"/>
      <c r="H28" s="316"/>
      <c r="I28" s="316"/>
      <c r="J28" s="316"/>
      <c r="K28" s="316"/>
      <c r="L28" s="316"/>
      <c r="M28" s="316"/>
    </row>
    <row r="29" spans="1:14" x14ac:dyDescent="0.2">
      <c r="A29" s="42">
        <v>1</v>
      </c>
      <c r="B29" s="74" t="s">
        <v>2593</v>
      </c>
      <c r="C29" s="68" t="s">
        <v>906</v>
      </c>
      <c r="D29" s="68" t="s">
        <v>214</v>
      </c>
      <c r="E29" s="68" t="str">
        <f>"1,4334"</f>
        <v>1,4334</v>
      </c>
      <c r="F29" s="68" t="s">
        <v>4020</v>
      </c>
      <c r="G29" s="68" t="s">
        <v>840</v>
      </c>
      <c r="H29" s="34" t="s">
        <v>127</v>
      </c>
      <c r="I29" s="91"/>
      <c r="J29" s="91"/>
      <c r="K29" s="91"/>
      <c r="L29" s="95">
        <v>160</v>
      </c>
      <c r="M29" s="87" t="str">
        <f>"229,3440"</f>
        <v>229,3440</v>
      </c>
      <c r="N29" s="68" t="s">
        <v>907</v>
      </c>
    </row>
    <row r="31" spans="1:14" ht="15" x14ac:dyDescent="0.2">
      <c r="B31" s="316" t="s">
        <v>4014</v>
      </c>
      <c r="C31" s="316"/>
      <c r="D31" s="316"/>
      <c r="E31" s="316"/>
      <c r="F31" s="316"/>
      <c r="G31" s="316"/>
      <c r="H31" s="316"/>
      <c r="I31" s="316"/>
      <c r="J31" s="316"/>
      <c r="K31" s="316"/>
      <c r="L31" s="316"/>
      <c r="M31" s="316"/>
    </row>
    <row r="32" spans="1:14" x14ac:dyDescent="0.2">
      <c r="A32" s="42">
        <v>1</v>
      </c>
      <c r="B32" s="76" t="s">
        <v>2426</v>
      </c>
      <c r="C32" s="70" t="s">
        <v>2427</v>
      </c>
      <c r="D32" s="70" t="s">
        <v>529</v>
      </c>
      <c r="E32" s="70" t="str">
        <f>"1,6524"</f>
        <v>1,6524</v>
      </c>
      <c r="F32" s="70" t="s">
        <v>4020</v>
      </c>
      <c r="G32" s="70" t="s">
        <v>3227</v>
      </c>
      <c r="H32" s="35" t="s">
        <v>45</v>
      </c>
      <c r="I32" s="35" t="s">
        <v>59</v>
      </c>
      <c r="J32" s="35" t="s">
        <v>60</v>
      </c>
      <c r="K32" s="92"/>
      <c r="L32" s="97">
        <v>52.5</v>
      </c>
      <c r="M32" s="88" t="str">
        <f>"86,7510"</f>
        <v>86,7510</v>
      </c>
      <c r="N32" s="70" t="s">
        <v>2658</v>
      </c>
    </row>
    <row r="33" spans="1:14" x14ac:dyDescent="0.2">
      <c r="A33" s="42">
        <v>1</v>
      </c>
      <c r="B33" s="78" t="s">
        <v>2594</v>
      </c>
      <c r="C33" s="72" t="s">
        <v>2428</v>
      </c>
      <c r="D33" s="72" t="s">
        <v>582</v>
      </c>
      <c r="E33" s="72" t="str">
        <f>"1,6670"</f>
        <v>1,6670</v>
      </c>
      <c r="F33" s="72" t="s">
        <v>4020</v>
      </c>
      <c r="G33" s="72" t="s">
        <v>3296</v>
      </c>
      <c r="H33" s="37" t="s">
        <v>149</v>
      </c>
      <c r="I33" s="37" t="s">
        <v>155</v>
      </c>
      <c r="J33" s="101" t="s">
        <v>141</v>
      </c>
      <c r="K33" s="94"/>
      <c r="L33" s="99">
        <v>162.5</v>
      </c>
      <c r="M33" s="90" t="str">
        <f>"270,8875"</f>
        <v>270,8875</v>
      </c>
      <c r="N33" s="72" t="s">
        <v>2085</v>
      </c>
    </row>
    <row r="35" spans="1:14" ht="15" x14ac:dyDescent="0.2">
      <c r="B35" s="316" t="s">
        <v>4006</v>
      </c>
      <c r="C35" s="316"/>
      <c r="D35" s="316"/>
      <c r="E35" s="316"/>
      <c r="F35" s="316"/>
      <c r="G35" s="316"/>
      <c r="H35" s="316"/>
      <c r="I35" s="316"/>
      <c r="J35" s="316"/>
      <c r="K35" s="316"/>
      <c r="L35" s="316"/>
      <c r="M35" s="316"/>
    </row>
    <row r="36" spans="1:14" x14ac:dyDescent="0.2">
      <c r="A36" s="42">
        <v>1</v>
      </c>
      <c r="B36" s="76" t="s">
        <v>2429</v>
      </c>
      <c r="C36" s="70" t="s">
        <v>2430</v>
      </c>
      <c r="D36" s="70" t="s">
        <v>329</v>
      </c>
      <c r="E36" s="70" t="str">
        <f>"1,4456"</f>
        <v>1,4456</v>
      </c>
      <c r="F36" s="70" t="s">
        <v>4020</v>
      </c>
      <c r="G36" s="70" t="s">
        <v>796</v>
      </c>
      <c r="H36" s="100" t="s">
        <v>53</v>
      </c>
      <c r="I36" s="100" t="s">
        <v>51</v>
      </c>
      <c r="J36" s="35" t="s">
        <v>51</v>
      </c>
      <c r="K36" s="100" t="s">
        <v>41</v>
      </c>
      <c r="L36" s="97">
        <v>70</v>
      </c>
      <c r="M36" s="88" t="str">
        <f>"101,1920"</f>
        <v>101,1920</v>
      </c>
      <c r="N36" s="70" t="s">
        <v>2659</v>
      </c>
    </row>
    <row r="37" spans="1:14" x14ac:dyDescent="0.2">
      <c r="A37" s="42">
        <v>1</v>
      </c>
      <c r="B37" s="78" t="s">
        <v>2595</v>
      </c>
      <c r="C37" s="72" t="s">
        <v>2431</v>
      </c>
      <c r="D37" s="72" t="s">
        <v>2432</v>
      </c>
      <c r="E37" s="72" t="str">
        <f>"1,4934"</f>
        <v>1,4934</v>
      </c>
      <c r="F37" s="72" t="s">
        <v>4020</v>
      </c>
      <c r="G37" s="72" t="s">
        <v>801</v>
      </c>
      <c r="H37" s="37" t="s">
        <v>42</v>
      </c>
      <c r="I37" s="37" t="s">
        <v>85</v>
      </c>
      <c r="J37" s="37" t="s">
        <v>91</v>
      </c>
      <c r="K37" s="94"/>
      <c r="L37" s="99">
        <v>92.5</v>
      </c>
      <c r="M37" s="90" t="str">
        <f>"138,1395"</f>
        <v>138,1395</v>
      </c>
      <c r="N37" s="72" t="s">
        <v>2660</v>
      </c>
    </row>
    <row r="39" spans="1:14" ht="15" x14ac:dyDescent="0.2">
      <c r="B39" s="316" t="s">
        <v>4007</v>
      </c>
      <c r="C39" s="316"/>
      <c r="D39" s="316"/>
      <c r="E39" s="316"/>
      <c r="F39" s="316"/>
      <c r="G39" s="316"/>
      <c r="H39" s="316"/>
      <c r="I39" s="316"/>
      <c r="J39" s="316"/>
      <c r="K39" s="316"/>
      <c r="L39" s="316"/>
      <c r="M39" s="316"/>
    </row>
    <row r="40" spans="1:14" x14ac:dyDescent="0.2">
      <c r="A40" s="42">
        <v>1</v>
      </c>
      <c r="B40" s="76" t="s">
        <v>2596</v>
      </c>
      <c r="C40" s="70" t="s">
        <v>2433</v>
      </c>
      <c r="D40" s="70" t="s">
        <v>115</v>
      </c>
      <c r="E40" s="70" t="str">
        <f>"1,2508"</f>
        <v>1,2508</v>
      </c>
      <c r="F40" s="70" t="s">
        <v>4020</v>
      </c>
      <c r="G40" s="70" t="s">
        <v>3257</v>
      </c>
      <c r="H40" s="35" t="s">
        <v>127</v>
      </c>
      <c r="I40" s="35" t="s">
        <v>141</v>
      </c>
      <c r="J40" s="100" t="s">
        <v>142</v>
      </c>
      <c r="K40" s="92"/>
      <c r="L40" s="97">
        <v>165</v>
      </c>
      <c r="M40" s="88" t="str">
        <f>"206,3820"</f>
        <v>206,3820</v>
      </c>
      <c r="N40" s="70" t="s">
        <v>3391</v>
      </c>
    </row>
    <row r="41" spans="1:14" x14ac:dyDescent="0.2">
      <c r="A41" s="42">
        <v>2</v>
      </c>
      <c r="B41" s="78" t="s">
        <v>2597</v>
      </c>
      <c r="C41" s="72" t="s">
        <v>2434</v>
      </c>
      <c r="D41" s="72" t="s">
        <v>115</v>
      </c>
      <c r="E41" s="72" t="str">
        <f>"1,2508"</f>
        <v>1,2508</v>
      </c>
      <c r="F41" s="72" t="s">
        <v>4020</v>
      </c>
      <c r="G41" s="72" t="s">
        <v>3319</v>
      </c>
      <c r="H41" s="37" t="s">
        <v>36</v>
      </c>
      <c r="I41" s="37" t="s">
        <v>149</v>
      </c>
      <c r="J41" s="101" t="s">
        <v>155</v>
      </c>
      <c r="K41" s="94"/>
      <c r="L41" s="99">
        <v>157.5</v>
      </c>
      <c r="M41" s="90" t="str">
        <f>"197,0010"</f>
        <v>197,0010</v>
      </c>
      <c r="N41" s="72" t="s">
        <v>3391</v>
      </c>
    </row>
    <row r="43" spans="1:14" ht="15" x14ac:dyDescent="0.2">
      <c r="B43" s="316" t="s">
        <v>4008</v>
      </c>
      <c r="C43" s="316"/>
      <c r="D43" s="316"/>
      <c r="E43" s="316"/>
      <c r="F43" s="316"/>
      <c r="G43" s="316"/>
      <c r="H43" s="316"/>
      <c r="I43" s="316"/>
      <c r="J43" s="316"/>
      <c r="K43" s="316"/>
      <c r="L43" s="316"/>
      <c r="M43" s="316"/>
    </row>
    <row r="44" spans="1:14" x14ac:dyDescent="0.2">
      <c r="A44" s="42">
        <v>1</v>
      </c>
      <c r="B44" s="76" t="s">
        <v>2365</v>
      </c>
      <c r="C44" s="70" t="s">
        <v>914</v>
      </c>
      <c r="D44" s="70" t="s">
        <v>915</v>
      </c>
      <c r="E44" s="70" t="str">
        <f>"1,1588"</f>
        <v>1,1588</v>
      </c>
      <c r="F44" s="70" t="s">
        <v>4020</v>
      </c>
      <c r="G44" s="70" t="s">
        <v>3186</v>
      </c>
      <c r="H44" s="35" t="s">
        <v>70</v>
      </c>
      <c r="I44" s="92"/>
      <c r="J44" s="92"/>
      <c r="K44" s="92"/>
      <c r="L44" s="97">
        <v>115</v>
      </c>
      <c r="M44" s="88" t="str">
        <f>"133,2620"</f>
        <v>133,2620</v>
      </c>
      <c r="N44" s="70" t="s">
        <v>3391</v>
      </c>
    </row>
    <row r="45" spans="1:14" x14ac:dyDescent="0.2">
      <c r="A45" s="42">
        <v>1</v>
      </c>
      <c r="B45" s="77" t="s">
        <v>2598</v>
      </c>
      <c r="C45" s="71" t="s">
        <v>2435</v>
      </c>
      <c r="D45" s="71" t="s">
        <v>2436</v>
      </c>
      <c r="E45" s="71" t="str">
        <f>"1,1304"</f>
        <v>1,1304</v>
      </c>
      <c r="F45" s="71" t="s">
        <v>4020</v>
      </c>
      <c r="G45" s="71" t="s">
        <v>796</v>
      </c>
      <c r="H45" s="36" t="s">
        <v>140</v>
      </c>
      <c r="I45" s="36" t="s">
        <v>389</v>
      </c>
      <c r="J45" s="36" t="s">
        <v>143</v>
      </c>
      <c r="K45" s="103" t="s">
        <v>378</v>
      </c>
      <c r="L45" s="98">
        <v>210</v>
      </c>
      <c r="M45" s="89" t="str">
        <f>"237,3840"</f>
        <v>237,3840</v>
      </c>
      <c r="N45" s="71" t="s">
        <v>2661</v>
      </c>
    </row>
    <row r="46" spans="1:14" x14ac:dyDescent="0.2">
      <c r="A46" s="42">
        <v>2</v>
      </c>
      <c r="B46" s="77" t="s">
        <v>2599</v>
      </c>
      <c r="C46" s="71" t="s">
        <v>2437</v>
      </c>
      <c r="D46" s="71" t="s">
        <v>179</v>
      </c>
      <c r="E46" s="71" t="str">
        <f>"1,1486"</f>
        <v>1,1486</v>
      </c>
      <c r="F46" s="71" t="s">
        <v>4020</v>
      </c>
      <c r="G46" s="71" t="s">
        <v>840</v>
      </c>
      <c r="H46" s="36" t="s">
        <v>106</v>
      </c>
      <c r="I46" s="103" t="s">
        <v>166</v>
      </c>
      <c r="J46" s="103" t="s">
        <v>140</v>
      </c>
      <c r="K46" s="93"/>
      <c r="L46" s="98">
        <v>185</v>
      </c>
      <c r="M46" s="89" t="str">
        <f>"212,4910"</f>
        <v>212,4910</v>
      </c>
      <c r="N46" s="71" t="s">
        <v>1273</v>
      </c>
    </row>
    <row r="47" spans="1:14" x14ac:dyDescent="0.2">
      <c r="A47" s="42">
        <v>3</v>
      </c>
      <c r="B47" s="77" t="s">
        <v>2257</v>
      </c>
      <c r="C47" s="71" t="s">
        <v>916</v>
      </c>
      <c r="D47" s="71" t="s">
        <v>388</v>
      </c>
      <c r="E47" s="71" t="str">
        <f>"1,1692"</f>
        <v>1,1692</v>
      </c>
      <c r="F47" s="71" t="s">
        <v>857</v>
      </c>
      <c r="G47" s="71" t="s">
        <v>796</v>
      </c>
      <c r="H47" s="36" t="s">
        <v>158</v>
      </c>
      <c r="I47" s="93"/>
      <c r="J47" s="93"/>
      <c r="K47" s="93"/>
      <c r="L47" s="98">
        <v>127.5</v>
      </c>
      <c r="M47" s="89" t="str">
        <f>"149,0730"</f>
        <v>149,0730</v>
      </c>
      <c r="N47" s="71" t="s">
        <v>1062</v>
      </c>
    </row>
    <row r="48" spans="1:14" x14ac:dyDescent="0.2">
      <c r="A48" s="42">
        <v>1</v>
      </c>
      <c r="B48" s="77" t="s">
        <v>2600</v>
      </c>
      <c r="C48" s="71" t="s">
        <v>2438</v>
      </c>
      <c r="D48" s="71" t="s">
        <v>1612</v>
      </c>
      <c r="E48" s="71" t="str">
        <f>"1,2174"</f>
        <v>1,2174</v>
      </c>
      <c r="F48" s="71" t="s">
        <v>492</v>
      </c>
      <c r="G48" s="71" t="s">
        <v>821</v>
      </c>
      <c r="H48" s="36" t="s">
        <v>112</v>
      </c>
      <c r="I48" s="36" t="s">
        <v>23</v>
      </c>
      <c r="J48" s="103" t="s">
        <v>116</v>
      </c>
      <c r="K48" s="93"/>
      <c r="L48" s="98">
        <v>135</v>
      </c>
      <c r="M48" s="89" t="str">
        <f>"186,0431"</f>
        <v>186,0431</v>
      </c>
      <c r="N48" s="71" t="s">
        <v>3391</v>
      </c>
    </row>
    <row r="49" spans="1:14" x14ac:dyDescent="0.2">
      <c r="A49" s="42">
        <v>1</v>
      </c>
      <c r="B49" s="78" t="s">
        <v>2601</v>
      </c>
      <c r="C49" s="72" t="s">
        <v>2439</v>
      </c>
      <c r="D49" s="72" t="s">
        <v>388</v>
      </c>
      <c r="E49" s="72" t="str">
        <f>"1,1692"</f>
        <v>1,1692</v>
      </c>
      <c r="F49" s="72" t="s">
        <v>1387</v>
      </c>
      <c r="G49" s="72" t="s">
        <v>3252</v>
      </c>
      <c r="H49" s="37" t="s">
        <v>61</v>
      </c>
      <c r="I49" s="37" t="s">
        <v>47</v>
      </c>
      <c r="J49" s="94"/>
      <c r="K49" s="94"/>
      <c r="L49" s="99">
        <v>97.5</v>
      </c>
      <c r="M49" s="90" t="str">
        <f>"167,5756"</f>
        <v>167,5756</v>
      </c>
      <c r="N49" s="72" t="s">
        <v>2440</v>
      </c>
    </row>
    <row r="51" spans="1:14" ht="15" x14ac:dyDescent="0.2">
      <c r="B51" s="316" t="s">
        <v>4009</v>
      </c>
      <c r="C51" s="316"/>
      <c r="D51" s="316"/>
      <c r="E51" s="316"/>
      <c r="F51" s="316"/>
      <c r="G51" s="316"/>
      <c r="H51" s="316"/>
      <c r="I51" s="316"/>
      <c r="J51" s="316"/>
      <c r="K51" s="316"/>
      <c r="L51" s="316"/>
      <c r="M51" s="316"/>
    </row>
    <row r="52" spans="1:14" x14ac:dyDescent="0.2">
      <c r="A52" s="42">
        <v>1</v>
      </c>
      <c r="B52" s="76" t="s">
        <v>2602</v>
      </c>
      <c r="C52" s="70" t="s">
        <v>2441</v>
      </c>
      <c r="D52" s="70" t="s">
        <v>2442</v>
      </c>
      <c r="E52" s="70" t="str">
        <f>"1,0316"</f>
        <v>1,0316</v>
      </c>
      <c r="F52" s="70" t="s">
        <v>4020</v>
      </c>
      <c r="G52" s="70" t="s">
        <v>796</v>
      </c>
      <c r="H52" s="100" t="s">
        <v>260</v>
      </c>
      <c r="I52" s="100" t="s">
        <v>11</v>
      </c>
      <c r="J52" s="35" t="s">
        <v>11</v>
      </c>
      <c r="K52" s="92"/>
      <c r="L52" s="97">
        <v>180</v>
      </c>
      <c r="M52" s="88" t="str">
        <f>"185,6880"</f>
        <v>185,6880</v>
      </c>
      <c r="N52" s="70" t="s">
        <v>3391</v>
      </c>
    </row>
    <row r="53" spans="1:14" x14ac:dyDescent="0.2">
      <c r="A53" s="42">
        <v>2</v>
      </c>
      <c r="B53" s="77" t="s">
        <v>2603</v>
      </c>
      <c r="C53" s="71" t="s">
        <v>2443</v>
      </c>
      <c r="D53" s="71" t="s">
        <v>1783</v>
      </c>
      <c r="E53" s="71" t="str">
        <f>"1,0480"</f>
        <v>1,0480</v>
      </c>
      <c r="F53" s="71" t="s">
        <v>4020</v>
      </c>
      <c r="G53" s="71" t="s">
        <v>3259</v>
      </c>
      <c r="H53" s="36" t="s">
        <v>36</v>
      </c>
      <c r="I53" s="36" t="s">
        <v>149</v>
      </c>
      <c r="J53" s="103" t="s">
        <v>155</v>
      </c>
      <c r="K53" s="93"/>
      <c r="L53" s="98">
        <v>157.5</v>
      </c>
      <c r="M53" s="89" t="str">
        <f>"165,0600"</f>
        <v>165,0600</v>
      </c>
      <c r="N53" s="71" t="s">
        <v>3391</v>
      </c>
    </row>
    <row r="54" spans="1:14" x14ac:dyDescent="0.2">
      <c r="A54" s="42">
        <v>1</v>
      </c>
      <c r="B54" s="77" t="s">
        <v>2604</v>
      </c>
      <c r="C54" s="71" t="s">
        <v>2444</v>
      </c>
      <c r="D54" s="71" t="s">
        <v>13</v>
      </c>
      <c r="E54" s="71" t="str">
        <f>"1,0384"</f>
        <v>1,0384</v>
      </c>
      <c r="F54" s="71" t="s">
        <v>4020</v>
      </c>
      <c r="G54" s="71" t="s">
        <v>3258</v>
      </c>
      <c r="H54" s="36" t="s">
        <v>11</v>
      </c>
      <c r="I54" s="36" t="s">
        <v>207</v>
      </c>
      <c r="J54" s="36" t="s">
        <v>224</v>
      </c>
      <c r="K54" s="93"/>
      <c r="L54" s="98">
        <v>192.5</v>
      </c>
      <c r="M54" s="89" t="str">
        <f>"199,8920"</f>
        <v>199,8920</v>
      </c>
      <c r="N54" s="71" t="s">
        <v>3391</v>
      </c>
    </row>
    <row r="55" spans="1:14" x14ac:dyDescent="0.2">
      <c r="A55" s="42">
        <v>2</v>
      </c>
      <c r="B55" s="77" t="s">
        <v>2605</v>
      </c>
      <c r="C55" s="71" t="s">
        <v>2445</v>
      </c>
      <c r="D55" s="71" t="s">
        <v>2446</v>
      </c>
      <c r="E55" s="71" t="str">
        <f>"1,0416"</f>
        <v>1,0416</v>
      </c>
      <c r="F55" s="71" t="s">
        <v>1212</v>
      </c>
      <c r="G55" s="71" t="s">
        <v>3257</v>
      </c>
      <c r="H55" s="36" t="s">
        <v>126</v>
      </c>
      <c r="I55" s="36" t="s">
        <v>148</v>
      </c>
      <c r="J55" s="36" t="s">
        <v>127</v>
      </c>
      <c r="K55" s="93"/>
      <c r="L55" s="98">
        <v>160</v>
      </c>
      <c r="M55" s="89" t="str">
        <f>"166,6560"</f>
        <v>166,6560</v>
      </c>
      <c r="N55" s="71" t="s">
        <v>2093</v>
      </c>
    </row>
    <row r="56" spans="1:14" x14ac:dyDescent="0.2">
      <c r="A56" s="42">
        <v>3</v>
      </c>
      <c r="B56" s="77" t="s">
        <v>2606</v>
      </c>
      <c r="C56" s="71" t="s">
        <v>2447</v>
      </c>
      <c r="D56" s="71" t="s">
        <v>1261</v>
      </c>
      <c r="E56" s="71" t="str">
        <f>"1,0472"</f>
        <v>1,0472</v>
      </c>
      <c r="F56" s="71" t="s">
        <v>4020</v>
      </c>
      <c r="G56" s="71" t="s">
        <v>796</v>
      </c>
      <c r="H56" s="36" t="s">
        <v>36</v>
      </c>
      <c r="I56" s="36" t="s">
        <v>25</v>
      </c>
      <c r="J56" s="36" t="s">
        <v>149</v>
      </c>
      <c r="K56" s="93"/>
      <c r="L56" s="98">
        <v>157.5</v>
      </c>
      <c r="M56" s="89" t="str">
        <f>"164,9340"</f>
        <v>164,9340</v>
      </c>
      <c r="N56" s="71" t="s">
        <v>3391</v>
      </c>
    </row>
    <row r="57" spans="1:14" x14ac:dyDescent="0.2">
      <c r="A57" s="42">
        <v>4</v>
      </c>
      <c r="B57" s="77" t="s">
        <v>2607</v>
      </c>
      <c r="C57" s="71" t="s">
        <v>1928</v>
      </c>
      <c r="D57" s="71" t="s">
        <v>198</v>
      </c>
      <c r="E57" s="71" t="str">
        <f>"1,0340"</f>
        <v>1,0340</v>
      </c>
      <c r="F57" s="71" t="s">
        <v>2653</v>
      </c>
      <c r="G57" s="71" t="s">
        <v>3286</v>
      </c>
      <c r="H57" s="36" t="s">
        <v>25</v>
      </c>
      <c r="I57" s="103" t="s">
        <v>141</v>
      </c>
      <c r="J57" s="103" t="s">
        <v>141</v>
      </c>
      <c r="K57" s="93"/>
      <c r="L57" s="98">
        <v>155</v>
      </c>
      <c r="M57" s="89" t="str">
        <f>"160,2700"</f>
        <v>160,2700</v>
      </c>
      <c r="N57" s="71" t="s">
        <v>2071</v>
      </c>
    </row>
    <row r="58" spans="1:14" x14ac:dyDescent="0.2">
      <c r="A58" s="42">
        <v>5</v>
      </c>
      <c r="B58" s="77" t="s">
        <v>2608</v>
      </c>
      <c r="C58" s="71" t="s">
        <v>2448</v>
      </c>
      <c r="D58" s="71" t="s">
        <v>1320</v>
      </c>
      <c r="E58" s="71" t="str">
        <f>"1,0708"</f>
        <v>1,0708</v>
      </c>
      <c r="F58" s="71" t="s">
        <v>2653</v>
      </c>
      <c r="G58" s="71" t="s">
        <v>3286</v>
      </c>
      <c r="H58" s="36" t="s">
        <v>104</v>
      </c>
      <c r="I58" s="103" t="s">
        <v>105</v>
      </c>
      <c r="J58" s="103" t="s">
        <v>105</v>
      </c>
      <c r="K58" s="93"/>
      <c r="L58" s="98">
        <v>130</v>
      </c>
      <c r="M58" s="89" t="str">
        <f>"139,2040"</f>
        <v>139,2040</v>
      </c>
      <c r="N58" s="71" t="s">
        <v>2071</v>
      </c>
    </row>
    <row r="59" spans="1:14" x14ac:dyDescent="0.2">
      <c r="B59" s="77" t="s">
        <v>2449</v>
      </c>
      <c r="C59" s="71" t="s">
        <v>2450</v>
      </c>
      <c r="D59" s="71" t="s">
        <v>1222</v>
      </c>
      <c r="E59" s="71" t="str">
        <f>"1,0348"</f>
        <v>1,0348</v>
      </c>
      <c r="F59" s="71" t="s">
        <v>4020</v>
      </c>
      <c r="G59" s="71" t="s">
        <v>796</v>
      </c>
      <c r="H59" s="103" t="s">
        <v>127</v>
      </c>
      <c r="I59" s="103" t="s">
        <v>141</v>
      </c>
      <c r="J59" s="103" t="s">
        <v>141</v>
      </c>
      <c r="K59" s="93"/>
      <c r="L59" s="104">
        <v>0</v>
      </c>
      <c r="M59" s="89" t="s">
        <v>720</v>
      </c>
      <c r="N59" s="71" t="s">
        <v>2662</v>
      </c>
    </row>
    <row r="60" spans="1:14" x14ac:dyDescent="0.2">
      <c r="A60" s="42">
        <v>1</v>
      </c>
      <c r="B60" s="77" t="s">
        <v>2609</v>
      </c>
      <c r="C60" s="71" t="s">
        <v>2451</v>
      </c>
      <c r="D60" s="71" t="s">
        <v>563</v>
      </c>
      <c r="E60" s="71" t="str">
        <f>"1,0360"</f>
        <v>1,0360</v>
      </c>
      <c r="F60" s="71" t="s">
        <v>4020</v>
      </c>
      <c r="G60" s="71" t="s">
        <v>840</v>
      </c>
      <c r="H60" s="36" t="s">
        <v>116</v>
      </c>
      <c r="I60" s="36" t="s">
        <v>126</v>
      </c>
      <c r="J60" s="36" t="s">
        <v>36</v>
      </c>
      <c r="K60" s="93"/>
      <c r="L60" s="98">
        <v>150</v>
      </c>
      <c r="M60" s="89" t="str">
        <f>"162,2376"</f>
        <v>162,2376</v>
      </c>
      <c r="N60" s="71" t="s">
        <v>3391</v>
      </c>
    </row>
    <row r="61" spans="1:14" x14ac:dyDescent="0.2">
      <c r="A61" s="42">
        <v>2</v>
      </c>
      <c r="B61" s="77" t="s">
        <v>2610</v>
      </c>
      <c r="C61" s="71" t="s">
        <v>2206</v>
      </c>
      <c r="D61" s="71" t="s">
        <v>2452</v>
      </c>
      <c r="E61" s="71" t="str">
        <f>"1,0564"</f>
        <v>1,0564</v>
      </c>
      <c r="F61" s="71" t="s">
        <v>492</v>
      </c>
      <c r="G61" s="71" t="s">
        <v>819</v>
      </c>
      <c r="H61" s="36" t="s">
        <v>574</v>
      </c>
      <c r="I61" s="103" t="s">
        <v>2207</v>
      </c>
      <c r="J61" s="93"/>
      <c r="K61" s="93"/>
      <c r="L61" s="98">
        <v>147.5</v>
      </c>
      <c r="M61" s="89" t="str">
        <f>"160,1819"</f>
        <v>160,1819</v>
      </c>
      <c r="N61" s="71" t="s">
        <v>3391</v>
      </c>
    </row>
    <row r="62" spans="1:14" x14ac:dyDescent="0.2">
      <c r="A62" s="42">
        <v>1</v>
      </c>
      <c r="B62" s="78" t="s">
        <v>2611</v>
      </c>
      <c r="C62" s="72" t="s">
        <v>2453</v>
      </c>
      <c r="D62" s="72" t="s">
        <v>2454</v>
      </c>
      <c r="E62" s="72" t="str">
        <f>"1,0600"</f>
        <v>1,0600</v>
      </c>
      <c r="F62" s="72" t="s">
        <v>4020</v>
      </c>
      <c r="G62" s="72" t="s">
        <v>3320</v>
      </c>
      <c r="H62" s="37" t="s">
        <v>126</v>
      </c>
      <c r="I62" s="37" t="s">
        <v>36</v>
      </c>
      <c r="J62" s="101" t="s">
        <v>25</v>
      </c>
      <c r="K62" s="94"/>
      <c r="L62" s="99">
        <v>150</v>
      </c>
      <c r="M62" s="90" t="str">
        <f>"191,9130"</f>
        <v>191,9130</v>
      </c>
      <c r="N62" s="72" t="s">
        <v>3391</v>
      </c>
    </row>
    <row r="64" spans="1:14" ht="15" x14ac:dyDescent="0.2">
      <c r="B64" s="316" t="s">
        <v>4010</v>
      </c>
      <c r="C64" s="316"/>
      <c r="D64" s="316"/>
      <c r="E64" s="316"/>
      <c r="F64" s="316"/>
      <c r="G64" s="316"/>
      <c r="H64" s="316"/>
      <c r="I64" s="316"/>
      <c r="J64" s="316"/>
      <c r="K64" s="316"/>
      <c r="L64" s="316"/>
      <c r="M64" s="316"/>
    </row>
    <row r="65" spans="1:14" x14ac:dyDescent="0.2">
      <c r="A65" s="42">
        <v>1</v>
      </c>
      <c r="B65" s="76" t="s">
        <v>2612</v>
      </c>
      <c r="C65" s="70" t="s">
        <v>2455</v>
      </c>
      <c r="D65" s="70" t="s">
        <v>235</v>
      </c>
      <c r="E65" s="70" t="str">
        <f>"0,9698"</f>
        <v>0,9698</v>
      </c>
      <c r="F65" s="70" t="s">
        <v>4020</v>
      </c>
      <c r="G65" s="70" t="s">
        <v>796</v>
      </c>
      <c r="H65" s="100" t="s">
        <v>71</v>
      </c>
      <c r="I65" s="35" t="s">
        <v>112</v>
      </c>
      <c r="J65" s="100" t="s">
        <v>23</v>
      </c>
      <c r="K65" s="92"/>
      <c r="L65" s="97">
        <v>125</v>
      </c>
      <c r="M65" s="88" t="str">
        <f>"121,2250"</f>
        <v>121,2250</v>
      </c>
      <c r="N65" s="70" t="s">
        <v>2273</v>
      </c>
    </row>
    <row r="66" spans="1:14" x14ac:dyDescent="0.2">
      <c r="A66" s="42">
        <v>1</v>
      </c>
      <c r="B66" s="77" t="s">
        <v>2367</v>
      </c>
      <c r="C66" s="71" t="s">
        <v>938</v>
      </c>
      <c r="D66" s="71" t="s">
        <v>10</v>
      </c>
      <c r="E66" s="71" t="str">
        <f>"0,9736"</f>
        <v>0,9736</v>
      </c>
      <c r="F66" s="71" t="s">
        <v>4020</v>
      </c>
      <c r="G66" s="71" t="s">
        <v>3186</v>
      </c>
      <c r="H66" s="36" t="s">
        <v>107</v>
      </c>
      <c r="I66" s="93"/>
      <c r="J66" s="93"/>
      <c r="K66" s="93"/>
      <c r="L66" s="98">
        <v>190</v>
      </c>
      <c r="M66" s="89" t="str">
        <f>"184,9840"</f>
        <v>184,9840</v>
      </c>
      <c r="N66" s="71" t="s">
        <v>3391</v>
      </c>
    </row>
    <row r="67" spans="1:14" x14ac:dyDescent="0.2">
      <c r="A67" s="42">
        <v>1</v>
      </c>
      <c r="B67" s="77" t="s">
        <v>2613</v>
      </c>
      <c r="C67" s="71" t="s">
        <v>2456</v>
      </c>
      <c r="D67" s="71" t="s">
        <v>946</v>
      </c>
      <c r="E67" s="71" t="str">
        <f>"0,9744"</f>
        <v>0,9744</v>
      </c>
      <c r="F67" s="71" t="s">
        <v>4020</v>
      </c>
      <c r="G67" s="71" t="s">
        <v>3187</v>
      </c>
      <c r="H67" s="36" t="s">
        <v>143</v>
      </c>
      <c r="I67" s="36" t="s">
        <v>187</v>
      </c>
      <c r="J67" s="103" t="s">
        <v>24</v>
      </c>
      <c r="K67" s="93"/>
      <c r="L67" s="98">
        <v>215</v>
      </c>
      <c r="M67" s="89" t="str">
        <f>"209,4960"</f>
        <v>209,4960</v>
      </c>
      <c r="N67" s="71" t="s">
        <v>2065</v>
      </c>
    </row>
    <row r="68" spans="1:14" x14ac:dyDescent="0.2">
      <c r="A68" s="42">
        <v>2</v>
      </c>
      <c r="B68" s="77" t="s">
        <v>2614</v>
      </c>
      <c r="C68" s="71" t="s">
        <v>1675</v>
      </c>
      <c r="D68" s="71" t="s">
        <v>442</v>
      </c>
      <c r="E68" s="71" t="str">
        <f>"0,9814"</f>
        <v>0,9814</v>
      </c>
      <c r="F68" s="71" t="s">
        <v>4020</v>
      </c>
      <c r="G68" s="71" t="s">
        <v>3321</v>
      </c>
      <c r="H68" s="36" t="s">
        <v>166</v>
      </c>
      <c r="I68" s="36" t="s">
        <v>225</v>
      </c>
      <c r="J68" s="103" t="s">
        <v>389</v>
      </c>
      <c r="K68" s="93"/>
      <c r="L68" s="98">
        <v>202.5</v>
      </c>
      <c r="M68" s="89" t="str">
        <f>"198,7335"</f>
        <v>198,7335</v>
      </c>
      <c r="N68" s="71" t="s">
        <v>3391</v>
      </c>
    </row>
    <row r="69" spans="1:14" x14ac:dyDescent="0.2">
      <c r="A69" s="42">
        <v>3</v>
      </c>
      <c r="B69" s="77" t="s">
        <v>2615</v>
      </c>
      <c r="C69" s="71" t="s">
        <v>2457</v>
      </c>
      <c r="D69" s="71" t="s">
        <v>228</v>
      </c>
      <c r="E69" s="71" t="str">
        <f>"0,9776"</f>
        <v>0,9776</v>
      </c>
      <c r="F69" s="71" t="s">
        <v>4020</v>
      </c>
      <c r="G69" s="71" t="s">
        <v>3319</v>
      </c>
      <c r="H69" s="36" t="s">
        <v>11</v>
      </c>
      <c r="I69" s="36" t="s">
        <v>107</v>
      </c>
      <c r="J69" s="103" t="s">
        <v>225</v>
      </c>
      <c r="K69" s="93"/>
      <c r="L69" s="98">
        <v>190</v>
      </c>
      <c r="M69" s="89" t="str">
        <f>"185,7440"</f>
        <v>185,7440</v>
      </c>
      <c r="N69" s="71" t="s">
        <v>2663</v>
      </c>
    </row>
    <row r="70" spans="1:14" x14ac:dyDescent="0.2">
      <c r="A70" s="42">
        <v>4</v>
      </c>
      <c r="B70" s="77" t="s">
        <v>940</v>
      </c>
      <c r="C70" s="71" t="s">
        <v>941</v>
      </c>
      <c r="D70" s="71" t="s">
        <v>10</v>
      </c>
      <c r="E70" s="71" t="str">
        <f>"0,9736"</f>
        <v>0,9736</v>
      </c>
      <c r="F70" s="71" t="s">
        <v>4020</v>
      </c>
      <c r="G70" s="71" t="s">
        <v>3186</v>
      </c>
      <c r="H70" s="36" t="s">
        <v>107</v>
      </c>
      <c r="I70" s="93"/>
      <c r="J70" s="93"/>
      <c r="K70" s="93"/>
      <c r="L70" s="98">
        <v>190</v>
      </c>
      <c r="M70" s="89" t="str">
        <f>"184,9840"</f>
        <v>184,9840</v>
      </c>
      <c r="N70" s="71" t="s">
        <v>3391</v>
      </c>
    </row>
    <row r="71" spans="1:14" x14ac:dyDescent="0.2">
      <c r="A71" s="42">
        <v>5</v>
      </c>
      <c r="B71" s="77" t="s">
        <v>2616</v>
      </c>
      <c r="C71" s="71" t="s">
        <v>2458</v>
      </c>
      <c r="D71" s="71" t="s">
        <v>946</v>
      </c>
      <c r="E71" s="71" t="str">
        <f>"0,9744"</f>
        <v>0,9744</v>
      </c>
      <c r="F71" s="71" t="s">
        <v>4020</v>
      </c>
      <c r="G71" s="71" t="s">
        <v>796</v>
      </c>
      <c r="H71" s="36" t="s">
        <v>141</v>
      </c>
      <c r="I71" s="36" t="s">
        <v>156</v>
      </c>
      <c r="J71" s="103" t="s">
        <v>11</v>
      </c>
      <c r="K71" s="93"/>
      <c r="L71" s="98">
        <v>175</v>
      </c>
      <c r="M71" s="89" t="str">
        <f>"170,5200"</f>
        <v>170,5200</v>
      </c>
      <c r="N71" s="71" t="s">
        <v>3391</v>
      </c>
    </row>
    <row r="72" spans="1:14" x14ac:dyDescent="0.2">
      <c r="A72" s="42">
        <v>6</v>
      </c>
      <c r="B72" s="77" t="s">
        <v>2617</v>
      </c>
      <c r="C72" s="71" t="s">
        <v>2459</v>
      </c>
      <c r="D72" s="71" t="s">
        <v>205</v>
      </c>
      <c r="E72" s="71" t="str">
        <f>"0,9752"</f>
        <v>0,9752</v>
      </c>
      <c r="F72" s="71" t="s">
        <v>4020</v>
      </c>
      <c r="G72" s="71" t="s">
        <v>796</v>
      </c>
      <c r="H72" s="36" t="s">
        <v>141</v>
      </c>
      <c r="I72" s="36" t="s">
        <v>142</v>
      </c>
      <c r="J72" s="103" t="s">
        <v>156</v>
      </c>
      <c r="K72" s="93"/>
      <c r="L72" s="98">
        <v>170</v>
      </c>
      <c r="M72" s="89" t="str">
        <f>"165,7840"</f>
        <v>165,7840</v>
      </c>
      <c r="N72" s="71" t="s">
        <v>3391</v>
      </c>
    </row>
    <row r="73" spans="1:14" x14ac:dyDescent="0.2">
      <c r="A73" s="42">
        <v>7</v>
      </c>
      <c r="B73" s="77" t="s">
        <v>2618</v>
      </c>
      <c r="C73" s="71" t="s">
        <v>2460</v>
      </c>
      <c r="D73" s="71" t="s">
        <v>29</v>
      </c>
      <c r="E73" s="71" t="str">
        <f>"0,9720"</f>
        <v>0,9720</v>
      </c>
      <c r="F73" s="71" t="s">
        <v>2653</v>
      </c>
      <c r="G73" s="71" t="s">
        <v>3286</v>
      </c>
      <c r="H73" s="36" t="s">
        <v>127</v>
      </c>
      <c r="I73" s="36" t="s">
        <v>30</v>
      </c>
      <c r="J73" s="103" t="s">
        <v>142</v>
      </c>
      <c r="K73" s="93"/>
      <c r="L73" s="98">
        <v>167.5</v>
      </c>
      <c r="M73" s="89" t="str">
        <f>"162,8100"</f>
        <v>162,8100</v>
      </c>
      <c r="N73" s="71" t="s">
        <v>3391</v>
      </c>
    </row>
    <row r="74" spans="1:14" x14ac:dyDescent="0.2">
      <c r="A74" s="42">
        <v>8</v>
      </c>
      <c r="B74" s="77" t="s">
        <v>2619</v>
      </c>
      <c r="C74" s="71" t="s">
        <v>2461</v>
      </c>
      <c r="D74" s="71" t="s">
        <v>567</v>
      </c>
      <c r="E74" s="71" t="str">
        <f>"0,9760"</f>
        <v>0,9760</v>
      </c>
      <c r="F74" s="71" t="s">
        <v>4020</v>
      </c>
      <c r="G74" s="71" t="s">
        <v>836</v>
      </c>
      <c r="H74" s="36" t="s">
        <v>25</v>
      </c>
      <c r="I74" s="103" t="s">
        <v>155</v>
      </c>
      <c r="J74" s="36" t="s">
        <v>155</v>
      </c>
      <c r="K74" s="93"/>
      <c r="L74" s="98">
        <v>162.5</v>
      </c>
      <c r="M74" s="89" t="str">
        <f>"158,6000"</f>
        <v>158,6000</v>
      </c>
      <c r="N74" s="71" t="s">
        <v>3391</v>
      </c>
    </row>
    <row r="75" spans="1:14" x14ac:dyDescent="0.2">
      <c r="A75" s="42">
        <v>9</v>
      </c>
      <c r="B75" s="77" t="s">
        <v>2620</v>
      </c>
      <c r="C75" s="71" t="s">
        <v>2462</v>
      </c>
      <c r="D75" s="71" t="s">
        <v>1616</v>
      </c>
      <c r="E75" s="71" t="str">
        <f>"1,0174"</f>
        <v>1,0174</v>
      </c>
      <c r="F75" s="71" t="s">
        <v>859</v>
      </c>
      <c r="G75" s="71" t="s">
        <v>804</v>
      </c>
      <c r="H75" s="36" t="s">
        <v>149</v>
      </c>
      <c r="I75" s="103" t="s">
        <v>30</v>
      </c>
      <c r="J75" s="103" t="s">
        <v>30</v>
      </c>
      <c r="K75" s="93"/>
      <c r="L75" s="98">
        <v>157.5</v>
      </c>
      <c r="M75" s="89" t="str">
        <f>"160,2405"</f>
        <v>160,2405</v>
      </c>
      <c r="N75" s="71" t="s">
        <v>730</v>
      </c>
    </row>
    <row r="76" spans="1:14" x14ac:dyDescent="0.2">
      <c r="A76" s="42">
        <v>10</v>
      </c>
      <c r="B76" s="77" t="s">
        <v>2621</v>
      </c>
      <c r="C76" s="71" t="s">
        <v>444</v>
      </c>
      <c r="D76" s="71" t="s">
        <v>2300</v>
      </c>
      <c r="E76" s="71" t="str">
        <f>"0,9806"</f>
        <v>0,9806</v>
      </c>
      <c r="F76" s="71" t="s">
        <v>4020</v>
      </c>
      <c r="G76" s="71" t="s">
        <v>796</v>
      </c>
      <c r="H76" s="36" t="s">
        <v>126</v>
      </c>
      <c r="I76" s="36" t="s">
        <v>25</v>
      </c>
      <c r="J76" s="103" t="s">
        <v>155</v>
      </c>
      <c r="K76" s="93"/>
      <c r="L76" s="98">
        <v>155</v>
      </c>
      <c r="M76" s="89" t="str">
        <f>"151,9930"</f>
        <v>151,9930</v>
      </c>
      <c r="N76" s="71" t="s">
        <v>1244</v>
      </c>
    </row>
    <row r="77" spans="1:14" x14ac:dyDescent="0.2">
      <c r="A77" s="42">
        <v>11</v>
      </c>
      <c r="B77" s="77" t="s">
        <v>2463</v>
      </c>
      <c r="C77" s="71" t="s">
        <v>2464</v>
      </c>
      <c r="D77" s="71" t="s">
        <v>2465</v>
      </c>
      <c r="E77" s="71" t="str">
        <f>"1,0134"</f>
        <v>1,0134</v>
      </c>
      <c r="F77" s="71" t="s">
        <v>4020</v>
      </c>
      <c r="G77" s="71" t="s">
        <v>3322</v>
      </c>
      <c r="H77" s="103" t="s">
        <v>112</v>
      </c>
      <c r="I77" s="36" t="s">
        <v>104</v>
      </c>
      <c r="J77" s="103" t="s">
        <v>105</v>
      </c>
      <c r="K77" s="93"/>
      <c r="L77" s="98">
        <v>130</v>
      </c>
      <c r="M77" s="89" t="str">
        <f>"131,7420"</f>
        <v>131,7420</v>
      </c>
      <c r="N77" s="71" t="s">
        <v>3391</v>
      </c>
    </row>
    <row r="78" spans="1:14" x14ac:dyDescent="0.2">
      <c r="A78" s="42">
        <v>1</v>
      </c>
      <c r="B78" s="77" t="s">
        <v>2622</v>
      </c>
      <c r="C78" s="71" t="s">
        <v>2466</v>
      </c>
      <c r="D78" s="71" t="s">
        <v>567</v>
      </c>
      <c r="E78" s="71" t="str">
        <f>"0,9760"</f>
        <v>0,9760</v>
      </c>
      <c r="F78" s="71" t="s">
        <v>4020</v>
      </c>
      <c r="G78" s="71" t="s">
        <v>3258</v>
      </c>
      <c r="H78" s="36" t="s">
        <v>126</v>
      </c>
      <c r="I78" s="36" t="s">
        <v>148</v>
      </c>
      <c r="J78" s="36" t="s">
        <v>127</v>
      </c>
      <c r="K78" s="93"/>
      <c r="L78" s="98">
        <v>160</v>
      </c>
      <c r="M78" s="89" t="str">
        <f>"156,1600"</f>
        <v>156,1600</v>
      </c>
      <c r="N78" s="71" t="s">
        <v>2664</v>
      </c>
    </row>
    <row r="79" spans="1:14" x14ac:dyDescent="0.2">
      <c r="A79" s="42">
        <v>1</v>
      </c>
      <c r="B79" s="77" t="s">
        <v>2623</v>
      </c>
      <c r="C79" s="71" t="s">
        <v>2467</v>
      </c>
      <c r="D79" s="71" t="s">
        <v>2303</v>
      </c>
      <c r="E79" s="71" t="str">
        <f>"0,9932"</f>
        <v>0,9932</v>
      </c>
      <c r="F79" s="71" t="s">
        <v>4020</v>
      </c>
      <c r="G79" s="71" t="s">
        <v>3230</v>
      </c>
      <c r="H79" s="36" t="s">
        <v>25</v>
      </c>
      <c r="I79" s="36" t="s">
        <v>141</v>
      </c>
      <c r="J79" s="103" t="s">
        <v>239</v>
      </c>
      <c r="K79" s="93"/>
      <c r="L79" s="98">
        <v>165</v>
      </c>
      <c r="M79" s="89" t="str">
        <f>"191,4095"</f>
        <v>191,4095</v>
      </c>
      <c r="N79" s="71" t="s">
        <v>3391</v>
      </c>
    </row>
    <row r="80" spans="1:14" x14ac:dyDescent="0.2">
      <c r="A80" s="42">
        <v>1</v>
      </c>
      <c r="B80" s="77" t="s">
        <v>2624</v>
      </c>
      <c r="C80" s="71" t="s">
        <v>2468</v>
      </c>
      <c r="D80" s="71" t="s">
        <v>451</v>
      </c>
      <c r="E80" s="71" t="str">
        <f>"0,9798"</f>
        <v>0,9798</v>
      </c>
      <c r="F80" s="71" t="s">
        <v>4020</v>
      </c>
      <c r="G80" s="71" t="s">
        <v>796</v>
      </c>
      <c r="H80" s="36" t="s">
        <v>36</v>
      </c>
      <c r="I80" s="36" t="s">
        <v>25</v>
      </c>
      <c r="J80" s="103" t="s">
        <v>127</v>
      </c>
      <c r="K80" s="93"/>
      <c r="L80" s="98">
        <v>155</v>
      </c>
      <c r="M80" s="89" t="str">
        <f>"189,8362"</f>
        <v>189,8362</v>
      </c>
      <c r="N80" s="71" t="s">
        <v>3391</v>
      </c>
    </row>
    <row r="81" spans="1:14" x14ac:dyDescent="0.2">
      <c r="A81" s="42">
        <v>2</v>
      </c>
      <c r="B81" s="77" t="s">
        <v>2625</v>
      </c>
      <c r="C81" s="71" t="s">
        <v>2469</v>
      </c>
      <c r="D81" s="71" t="s">
        <v>2465</v>
      </c>
      <c r="E81" s="71" t="str">
        <f>"1,0134"</f>
        <v>1,0134</v>
      </c>
      <c r="F81" s="71" t="s">
        <v>4020</v>
      </c>
      <c r="G81" s="71" t="s">
        <v>3322</v>
      </c>
      <c r="H81" s="103" t="s">
        <v>112</v>
      </c>
      <c r="I81" s="36" t="s">
        <v>104</v>
      </c>
      <c r="J81" s="103" t="s">
        <v>105</v>
      </c>
      <c r="K81" s="93"/>
      <c r="L81" s="98">
        <v>130</v>
      </c>
      <c r="M81" s="89" t="str">
        <f>"164,6775"</f>
        <v>164,6775</v>
      </c>
      <c r="N81" s="71" t="s">
        <v>3391</v>
      </c>
    </row>
    <row r="82" spans="1:14" x14ac:dyDescent="0.2">
      <c r="A82" s="42">
        <v>1</v>
      </c>
      <c r="B82" s="77" t="s">
        <v>2626</v>
      </c>
      <c r="C82" s="71" t="s">
        <v>2470</v>
      </c>
      <c r="D82" s="71" t="s">
        <v>2300</v>
      </c>
      <c r="E82" s="71" t="str">
        <f>"0,9806"</f>
        <v>0,9806</v>
      </c>
      <c r="F82" s="71" t="s">
        <v>4020</v>
      </c>
      <c r="G82" s="71" t="s">
        <v>884</v>
      </c>
      <c r="H82" s="36" t="s">
        <v>25</v>
      </c>
      <c r="I82" s="36" t="s">
        <v>141</v>
      </c>
      <c r="J82" s="103" t="s">
        <v>142</v>
      </c>
      <c r="K82" s="93"/>
      <c r="L82" s="98">
        <v>165</v>
      </c>
      <c r="M82" s="89" t="str">
        <f>"232,9906"</f>
        <v>232,9906</v>
      </c>
      <c r="N82" s="71" t="s">
        <v>2665</v>
      </c>
    </row>
    <row r="83" spans="1:14" x14ac:dyDescent="0.2">
      <c r="A83" s="42">
        <v>2</v>
      </c>
      <c r="B83" s="78" t="s">
        <v>2627</v>
      </c>
      <c r="C83" s="72" t="s">
        <v>2471</v>
      </c>
      <c r="D83" s="72" t="s">
        <v>223</v>
      </c>
      <c r="E83" s="72" t="str">
        <f>"1,0150"</f>
        <v>1,0150</v>
      </c>
      <c r="F83" s="72" t="s">
        <v>4020</v>
      </c>
      <c r="G83" s="72" t="s">
        <v>806</v>
      </c>
      <c r="H83" s="37" t="s">
        <v>23</v>
      </c>
      <c r="I83" s="37" t="s">
        <v>186</v>
      </c>
      <c r="J83" s="101" t="s">
        <v>126</v>
      </c>
      <c r="K83" s="94"/>
      <c r="L83" s="99">
        <v>142.5</v>
      </c>
      <c r="M83" s="90" t="str">
        <f>"208,2780"</f>
        <v>208,2780</v>
      </c>
      <c r="N83" s="72" t="s">
        <v>3391</v>
      </c>
    </row>
    <row r="85" spans="1:14" ht="15" x14ac:dyDescent="0.2">
      <c r="B85" s="316" t="s">
        <v>4011</v>
      </c>
      <c r="C85" s="316"/>
      <c r="D85" s="316"/>
      <c r="E85" s="316"/>
      <c r="F85" s="316"/>
      <c r="G85" s="316"/>
      <c r="H85" s="316"/>
      <c r="I85" s="316"/>
      <c r="J85" s="316"/>
      <c r="K85" s="316"/>
      <c r="L85" s="316"/>
      <c r="M85" s="316"/>
    </row>
    <row r="86" spans="1:14" x14ac:dyDescent="0.2">
      <c r="A86" s="42">
        <v>1</v>
      </c>
      <c r="B86" s="76" t="s">
        <v>1224</v>
      </c>
      <c r="C86" s="70" t="s">
        <v>1225</v>
      </c>
      <c r="D86" s="70" t="s">
        <v>1226</v>
      </c>
      <c r="E86" s="70" t="str">
        <f>"0,9162"</f>
        <v>0,9162</v>
      </c>
      <c r="F86" s="70" t="s">
        <v>4020</v>
      </c>
      <c r="G86" s="70" t="s">
        <v>3202</v>
      </c>
      <c r="H86" s="35" t="s">
        <v>142</v>
      </c>
      <c r="I86" s="100" t="s">
        <v>260</v>
      </c>
      <c r="J86" s="100" t="s">
        <v>106</v>
      </c>
      <c r="K86" s="92"/>
      <c r="L86" s="97">
        <v>170</v>
      </c>
      <c r="M86" s="88" t="str">
        <f>"155,7540"</f>
        <v>155,7540</v>
      </c>
      <c r="N86" s="70" t="s">
        <v>3391</v>
      </c>
    </row>
    <row r="87" spans="1:14" x14ac:dyDescent="0.2">
      <c r="A87" s="42">
        <v>1</v>
      </c>
      <c r="B87" s="77" t="s">
        <v>2472</v>
      </c>
      <c r="C87" s="71" t="s">
        <v>2473</v>
      </c>
      <c r="D87" s="71" t="s">
        <v>488</v>
      </c>
      <c r="E87" s="71" t="str">
        <f>"0,9324"</f>
        <v>0,9324</v>
      </c>
      <c r="F87" s="71" t="s">
        <v>4020</v>
      </c>
      <c r="G87" s="71" t="s">
        <v>3234</v>
      </c>
      <c r="H87" s="36" t="s">
        <v>107</v>
      </c>
      <c r="I87" s="36" t="s">
        <v>225</v>
      </c>
      <c r="J87" s="103" t="s">
        <v>389</v>
      </c>
      <c r="K87" s="93"/>
      <c r="L87" s="98">
        <v>202.5</v>
      </c>
      <c r="M87" s="89" t="str">
        <f>"188,8110"</f>
        <v>188,8110</v>
      </c>
      <c r="N87" s="71" t="s">
        <v>2666</v>
      </c>
    </row>
    <row r="88" spans="1:14" x14ac:dyDescent="0.2">
      <c r="A88" s="42">
        <v>2</v>
      </c>
      <c r="B88" s="77" t="s">
        <v>2474</v>
      </c>
      <c r="C88" s="71" t="s">
        <v>2475</v>
      </c>
      <c r="D88" s="71" t="s">
        <v>1350</v>
      </c>
      <c r="E88" s="71" t="str">
        <f>"0,9166"</f>
        <v>0,9166</v>
      </c>
      <c r="F88" s="71" t="s">
        <v>4020</v>
      </c>
      <c r="G88" s="71" t="s">
        <v>796</v>
      </c>
      <c r="H88" s="36" t="s">
        <v>156</v>
      </c>
      <c r="I88" s="36" t="s">
        <v>106</v>
      </c>
      <c r="J88" s="103" t="s">
        <v>166</v>
      </c>
      <c r="K88" s="93"/>
      <c r="L88" s="98">
        <v>185</v>
      </c>
      <c r="M88" s="89" t="str">
        <f>"169,5710"</f>
        <v>169,5710</v>
      </c>
      <c r="N88" s="71" t="s">
        <v>3391</v>
      </c>
    </row>
    <row r="89" spans="1:14" x14ac:dyDescent="0.2">
      <c r="A89" s="42">
        <v>3</v>
      </c>
      <c r="B89" s="77" t="s">
        <v>2476</v>
      </c>
      <c r="C89" s="71" t="s">
        <v>2477</v>
      </c>
      <c r="D89" s="71" t="s">
        <v>482</v>
      </c>
      <c r="E89" s="71" t="str">
        <f>"0,9230"</f>
        <v>0,9230</v>
      </c>
      <c r="F89" s="71" t="s">
        <v>854</v>
      </c>
      <c r="G89" s="71" t="s">
        <v>796</v>
      </c>
      <c r="H89" s="62" t="s">
        <v>156</v>
      </c>
      <c r="I89" s="36" t="s">
        <v>156</v>
      </c>
      <c r="J89" s="103" t="s">
        <v>106</v>
      </c>
      <c r="K89" s="93"/>
      <c r="L89" s="98">
        <v>175</v>
      </c>
      <c r="M89" s="89" t="str">
        <f>"161,5250"</f>
        <v>161,5250</v>
      </c>
      <c r="N89" s="71" t="s">
        <v>3340</v>
      </c>
    </row>
    <row r="90" spans="1:14" x14ac:dyDescent="0.2">
      <c r="A90" s="42">
        <v>1</v>
      </c>
      <c r="B90" s="77" t="s">
        <v>2478</v>
      </c>
      <c r="C90" s="71" t="s">
        <v>2479</v>
      </c>
      <c r="D90" s="71" t="s">
        <v>957</v>
      </c>
      <c r="E90" s="71" t="str">
        <f>"0,9202"</f>
        <v>0,9202</v>
      </c>
      <c r="F90" s="71" t="s">
        <v>4020</v>
      </c>
      <c r="G90" s="71" t="s">
        <v>3323</v>
      </c>
      <c r="H90" s="36" t="s">
        <v>660</v>
      </c>
      <c r="I90" s="36" t="s">
        <v>17</v>
      </c>
      <c r="J90" s="36" t="s">
        <v>2480</v>
      </c>
      <c r="K90" s="93"/>
      <c r="L90" s="98">
        <v>272</v>
      </c>
      <c r="M90" s="89" t="str">
        <f>"250,2944"</f>
        <v>250,2944</v>
      </c>
      <c r="N90" s="71" t="s">
        <v>3391</v>
      </c>
    </row>
    <row r="91" spans="1:14" x14ac:dyDescent="0.2">
      <c r="A91" s="42">
        <v>2</v>
      </c>
      <c r="B91" s="77" t="s">
        <v>2481</v>
      </c>
      <c r="C91" s="71" t="s">
        <v>982</v>
      </c>
      <c r="D91" s="71" t="s">
        <v>1497</v>
      </c>
      <c r="E91" s="71" t="str">
        <f>"0,9150"</f>
        <v>0,9150</v>
      </c>
      <c r="F91" s="71" t="s">
        <v>4020</v>
      </c>
      <c r="G91" s="71" t="s">
        <v>3305</v>
      </c>
      <c r="H91" s="36" t="s">
        <v>246</v>
      </c>
      <c r="I91" s="36" t="s">
        <v>188</v>
      </c>
      <c r="J91" s="103" t="s">
        <v>253</v>
      </c>
      <c r="K91" s="93"/>
      <c r="L91" s="98">
        <v>232.5</v>
      </c>
      <c r="M91" s="89" t="str">
        <f>"212,7375"</f>
        <v>212,7375</v>
      </c>
      <c r="N91" s="71" t="s">
        <v>3391</v>
      </c>
    </row>
    <row r="92" spans="1:14" x14ac:dyDescent="0.2">
      <c r="A92" s="42">
        <v>3</v>
      </c>
      <c r="B92" s="77" t="s">
        <v>2482</v>
      </c>
      <c r="C92" s="71" t="s">
        <v>2483</v>
      </c>
      <c r="D92" s="71" t="s">
        <v>957</v>
      </c>
      <c r="E92" s="71" t="str">
        <f>"0,9202"</f>
        <v>0,9202</v>
      </c>
      <c r="F92" s="71" t="s">
        <v>861</v>
      </c>
      <c r="G92" s="71" t="s">
        <v>3324</v>
      </c>
      <c r="H92" s="36" t="s">
        <v>187</v>
      </c>
      <c r="I92" s="103" t="s">
        <v>24</v>
      </c>
      <c r="J92" s="36" t="s">
        <v>246</v>
      </c>
      <c r="K92" s="93"/>
      <c r="L92" s="98">
        <v>225</v>
      </c>
      <c r="M92" s="89" t="str">
        <f>"207,0450"</f>
        <v>207,0450</v>
      </c>
      <c r="N92" s="71" t="s">
        <v>3391</v>
      </c>
    </row>
    <row r="93" spans="1:14" x14ac:dyDescent="0.2">
      <c r="A93" s="42">
        <v>4</v>
      </c>
      <c r="B93" s="77" t="s">
        <v>2484</v>
      </c>
      <c r="C93" s="71" t="s">
        <v>2485</v>
      </c>
      <c r="D93" s="71" t="s">
        <v>2486</v>
      </c>
      <c r="E93" s="71" t="str">
        <f>"0,9596"</f>
        <v>0,9596</v>
      </c>
      <c r="F93" s="71" t="s">
        <v>111</v>
      </c>
      <c r="G93" s="71" t="s">
        <v>3350</v>
      </c>
      <c r="H93" s="36" t="s">
        <v>140</v>
      </c>
      <c r="I93" s="103" t="s">
        <v>135</v>
      </c>
      <c r="J93" s="36" t="s">
        <v>135</v>
      </c>
      <c r="K93" s="93"/>
      <c r="L93" s="98">
        <v>205</v>
      </c>
      <c r="M93" s="89" t="str">
        <f>"196,7180"</f>
        <v>196,7180</v>
      </c>
      <c r="N93" s="71" t="s">
        <v>3391</v>
      </c>
    </row>
    <row r="94" spans="1:14" x14ac:dyDescent="0.2">
      <c r="A94" s="42">
        <v>5</v>
      </c>
      <c r="B94" s="77" t="s">
        <v>2487</v>
      </c>
      <c r="C94" s="71" t="s">
        <v>2488</v>
      </c>
      <c r="D94" s="71" t="s">
        <v>476</v>
      </c>
      <c r="E94" s="71" t="str">
        <f>"0,9174"</f>
        <v>0,9174</v>
      </c>
      <c r="F94" s="71" t="s">
        <v>4020</v>
      </c>
      <c r="G94" s="71" t="s">
        <v>889</v>
      </c>
      <c r="H94" s="36" t="s">
        <v>107</v>
      </c>
      <c r="I94" s="36" t="s">
        <v>140</v>
      </c>
      <c r="J94" s="36" t="s">
        <v>135</v>
      </c>
      <c r="K94" s="93"/>
      <c r="L94" s="98">
        <v>205</v>
      </c>
      <c r="M94" s="89" t="str">
        <f>"188,0670"</f>
        <v>188,0670</v>
      </c>
      <c r="N94" s="71" t="s">
        <v>1067</v>
      </c>
    </row>
    <row r="95" spans="1:14" x14ac:dyDescent="0.2">
      <c r="A95" s="42">
        <v>6</v>
      </c>
      <c r="B95" s="77" t="s">
        <v>2489</v>
      </c>
      <c r="C95" s="71" t="s">
        <v>2490</v>
      </c>
      <c r="D95" s="71" t="s">
        <v>2216</v>
      </c>
      <c r="E95" s="71" t="str">
        <f>"0,9378"</f>
        <v>0,9378</v>
      </c>
      <c r="F95" s="71" t="s">
        <v>4020</v>
      </c>
      <c r="G95" s="71" t="s">
        <v>796</v>
      </c>
      <c r="H95" s="36" t="s">
        <v>156</v>
      </c>
      <c r="I95" s="36" t="s">
        <v>106</v>
      </c>
      <c r="J95" s="36" t="s">
        <v>107</v>
      </c>
      <c r="K95" s="93"/>
      <c r="L95" s="98">
        <v>190</v>
      </c>
      <c r="M95" s="89" t="str">
        <f>"178,1820"</f>
        <v>178,1820</v>
      </c>
      <c r="N95" s="71" t="s">
        <v>3391</v>
      </c>
    </row>
    <row r="96" spans="1:14" x14ac:dyDescent="0.2">
      <c r="A96" s="42">
        <v>7</v>
      </c>
      <c r="B96" s="77" t="s">
        <v>2491</v>
      </c>
      <c r="C96" s="71" t="s">
        <v>2492</v>
      </c>
      <c r="D96" s="71" t="s">
        <v>470</v>
      </c>
      <c r="E96" s="71" t="str">
        <f>"0,9182"</f>
        <v>0,9182</v>
      </c>
      <c r="F96" s="71" t="s">
        <v>4020</v>
      </c>
      <c r="G96" s="71" t="s">
        <v>796</v>
      </c>
      <c r="H96" s="36" t="s">
        <v>106</v>
      </c>
      <c r="I96" s="36" t="s">
        <v>107</v>
      </c>
      <c r="J96" s="103" t="s">
        <v>166</v>
      </c>
      <c r="K96" s="93"/>
      <c r="L96" s="98">
        <v>190</v>
      </c>
      <c r="M96" s="89" t="str">
        <f>"174,4580"</f>
        <v>174,4580</v>
      </c>
      <c r="N96" s="71" t="s">
        <v>3391</v>
      </c>
    </row>
    <row r="97" spans="1:14" x14ac:dyDescent="0.2">
      <c r="A97" s="42">
        <v>8</v>
      </c>
      <c r="B97" s="77" t="s">
        <v>2493</v>
      </c>
      <c r="C97" s="71" t="s">
        <v>2494</v>
      </c>
      <c r="D97" s="71" t="s">
        <v>1356</v>
      </c>
      <c r="E97" s="71" t="str">
        <f>"0,9258"</f>
        <v>0,9258</v>
      </c>
      <c r="F97" s="71" t="s">
        <v>4020</v>
      </c>
      <c r="G97" s="71" t="s">
        <v>3186</v>
      </c>
      <c r="H97" s="36" t="s">
        <v>239</v>
      </c>
      <c r="I97" s="36" t="s">
        <v>260</v>
      </c>
      <c r="J97" s="103" t="s">
        <v>106</v>
      </c>
      <c r="K97" s="93"/>
      <c r="L97" s="98">
        <v>177.5</v>
      </c>
      <c r="M97" s="89" t="str">
        <f>"164,3295"</f>
        <v>164,3295</v>
      </c>
      <c r="N97" s="71" t="s">
        <v>2070</v>
      </c>
    </row>
    <row r="98" spans="1:14" x14ac:dyDescent="0.2">
      <c r="A98" s="42">
        <v>9</v>
      </c>
      <c r="B98" s="77" t="s">
        <v>1363</v>
      </c>
      <c r="C98" s="71" t="s">
        <v>1364</v>
      </c>
      <c r="D98" s="71" t="s">
        <v>1268</v>
      </c>
      <c r="E98" s="71" t="str">
        <f>"0,9298"</f>
        <v>0,9298</v>
      </c>
      <c r="F98" s="71" t="s">
        <v>4020</v>
      </c>
      <c r="G98" s="71" t="s">
        <v>3224</v>
      </c>
      <c r="H98" s="36" t="s">
        <v>127</v>
      </c>
      <c r="I98" s="93"/>
      <c r="J98" s="93"/>
      <c r="K98" s="93"/>
      <c r="L98" s="98">
        <v>160</v>
      </c>
      <c r="M98" s="89" t="str">
        <f>"148,7680"</f>
        <v>148,7680</v>
      </c>
      <c r="N98" s="71" t="s">
        <v>3340</v>
      </c>
    </row>
    <row r="99" spans="1:14" x14ac:dyDescent="0.2">
      <c r="B99" s="77" t="s">
        <v>2495</v>
      </c>
      <c r="C99" s="71" t="s">
        <v>2496</v>
      </c>
      <c r="D99" s="71" t="s">
        <v>2497</v>
      </c>
      <c r="E99" s="71" t="str">
        <f>"0,9154"</f>
        <v>0,9154</v>
      </c>
      <c r="F99" s="71" t="s">
        <v>4020</v>
      </c>
      <c r="G99" s="71" t="s">
        <v>3325</v>
      </c>
      <c r="H99" s="103" t="s">
        <v>187</v>
      </c>
      <c r="I99" s="93"/>
      <c r="J99" s="93"/>
      <c r="K99" s="93"/>
      <c r="L99" s="104">
        <v>0</v>
      </c>
      <c r="M99" s="89" t="s">
        <v>720</v>
      </c>
      <c r="N99" s="71" t="s">
        <v>3391</v>
      </c>
    </row>
    <row r="100" spans="1:14" x14ac:dyDescent="0.2">
      <c r="A100" s="42">
        <v>1</v>
      </c>
      <c r="B100" s="77" t="s">
        <v>2498</v>
      </c>
      <c r="C100" s="71" t="s">
        <v>2499</v>
      </c>
      <c r="D100" s="71" t="s">
        <v>1630</v>
      </c>
      <c r="E100" s="71" t="str">
        <f>"0,9190"</f>
        <v>0,9190</v>
      </c>
      <c r="F100" s="71" t="s">
        <v>4020</v>
      </c>
      <c r="G100" s="71" t="s">
        <v>836</v>
      </c>
      <c r="H100" s="36" t="s">
        <v>106</v>
      </c>
      <c r="I100" s="36" t="s">
        <v>107</v>
      </c>
      <c r="J100" s="103" t="s">
        <v>166</v>
      </c>
      <c r="K100" s="93"/>
      <c r="L100" s="98">
        <v>190</v>
      </c>
      <c r="M100" s="89" t="str">
        <f>"174,6100"</f>
        <v>174,6100</v>
      </c>
      <c r="N100" s="71" t="s">
        <v>3391</v>
      </c>
    </row>
    <row r="101" spans="1:14" x14ac:dyDescent="0.2">
      <c r="A101" s="42">
        <v>1</v>
      </c>
      <c r="B101" s="77" t="s">
        <v>2500</v>
      </c>
      <c r="C101" s="71" t="s">
        <v>2501</v>
      </c>
      <c r="D101" s="71" t="s">
        <v>2502</v>
      </c>
      <c r="E101" s="71" t="str">
        <f>"0,9518"</f>
        <v>0,9518</v>
      </c>
      <c r="F101" s="71" t="s">
        <v>4020</v>
      </c>
      <c r="G101" s="71" t="s">
        <v>3230</v>
      </c>
      <c r="H101" s="36" t="s">
        <v>107</v>
      </c>
      <c r="I101" s="103" t="s">
        <v>381</v>
      </c>
      <c r="J101" s="103" t="s">
        <v>381</v>
      </c>
      <c r="K101" s="93"/>
      <c r="L101" s="98">
        <v>190</v>
      </c>
      <c r="M101" s="89" t="str">
        <f>"181,7462"</f>
        <v>181,7462</v>
      </c>
      <c r="N101" s="71" t="s">
        <v>3391</v>
      </c>
    </row>
    <row r="102" spans="1:14" x14ac:dyDescent="0.2">
      <c r="A102" s="42">
        <v>2</v>
      </c>
      <c r="B102" s="77" t="s">
        <v>2503</v>
      </c>
      <c r="C102" s="71" t="s">
        <v>2504</v>
      </c>
      <c r="D102" s="71" t="s">
        <v>473</v>
      </c>
      <c r="E102" s="71" t="str">
        <f>"0,9198"</f>
        <v>0,9198</v>
      </c>
      <c r="F102" s="71" t="s">
        <v>4020</v>
      </c>
      <c r="G102" s="71" t="s">
        <v>3187</v>
      </c>
      <c r="H102" s="36" t="s">
        <v>156</v>
      </c>
      <c r="I102" s="36" t="s">
        <v>106</v>
      </c>
      <c r="J102" s="103" t="s">
        <v>224</v>
      </c>
      <c r="K102" s="93"/>
      <c r="L102" s="98">
        <v>185</v>
      </c>
      <c r="M102" s="89" t="str">
        <f>"171,0138"</f>
        <v>171,0138</v>
      </c>
      <c r="N102" s="71" t="s">
        <v>3391</v>
      </c>
    </row>
    <row r="103" spans="1:14" x14ac:dyDescent="0.2">
      <c r="B103" s="77" t="s">
        <v>2505</v>
      </c>
      <c r="C103" s="71" t="s">
        <v>2506</v>
      </c>
      <c r="D103" s="71" t="s">
        <v>708</v>
      </c>
      <c r="E103" s="71" t="str">
        <f>"0,9234"</f>
        <v>0,9234</v>
      </c>
      <c r="F103" s="71" t="s">
        <v>4020</v>
      </c>
      <c r="G103" s="71" t="s">
        <v>3326</v>
      </c>
      <c r="H103" s="103" t="s">
        <v>156</v>
      </c>
      <c r="I103" s="103" t="s">
        <v>156</v>
      </c>
      <c r="J103" s="93"/>
      <c r="K103" s="93"/>
      <c r="L103" s="104">
        <v>0</v>
      </c>
      <c r="M103" s="89" t="s">
        <v>720</v>
      </c>
      <c r="N103" s="71" t="s">
        <v>3391</v>
      </c>
    </row>
    <row r="104" spans="1:14" x14ac:dyDescent="0.2">
      <c r="A104" s="42">
        <v>1</v>
      </c>
      <c r="B104" s="77" t="s">
        <v>2495</v>
      </c>
      <c r="C104" s="71" t="s">
        <v>2507</v>
      </c>
      <c r="D104" s="71" t="s">
        <v>2497</v>
      </c>
      <c r="E104" s="71" t="str">
        <f>"0,9154"</f>
        <v>0,9154</v>
      </c>
      <c r="F104" s="71" t="s">
        <v>4020</v>
      </c>
      <c r="G104" s="71" t="s">
        <v>836</v>
      </c>
      <c r="H104" s="36" t="s">
        <v>187</v>
      </c>
      <c r="I104" s="36" t="s">
        <v>24</v>
      </c>
      <c r="J104" s="103" t="s">
        <v>400</v>
      </c>
      <c r="K104" s="93"/>
      <c r="L104" s="98">
        <v>220</v>
      </c>
      <c r="M104" s="89" t="str">
        <f>"224,3462"</f>
        <v>224,3462</v>
      </c>
      <c r="N104" s="71" t="s">
        <v>3391</v>
      </c>
    </row>
    <row r="105" spans="1:14" x14ac:dyDescent="0.2">
      <c r="A105" s="42">
        <v>2</v>
      </c>
      <c r="B105" s="77" t="s">
        <v>2508</v>
      </c>
      <c r="C105" s="71" t="s">
        <v>2509</v>
      </c>
      <c r="D105" s="71" t="s">
        <v>1360</v>
      </c>
      <c r="E105" s="71" t="str">
        <f>"0,9332"</f>
        <v>0,9332</v>
      </c>
      <c r="F105" s="71" t="s">
        <v>4020</v>
      </c>
      <c r="G105" s="71" t="s">
        <v>3305</v>
      </c>
      <c r="H105" s="36" t="s">
        <v>107</v>
      </c>
      <c r="I105" s="103" t="s">
        <v>166</v>
      </c>
      <c r="J105" s="93"/>
      <c r="K105" s="93"/>
      <c r="L105" s="98">
        <v>190</v>
      </c>
      <c r="M105" s="89" t="str">
        <f>"200,7127"</f>
        <v>200,7127</v>
      </c>
      <c r="N105" s="71" t="s">
        <v>2667</v>
      </c>
    </row>
    <row r="106" spans="1:14" x14ac:dyDescent="0.2">
      <c r="A106" s="42">
        <v>1</v>
      </c>
      <c r="B106" s="77" t="s">
        <v>2510</v>
      </c>
      <c r="C106" s="71" t="s">
        <v>2511</v>
      </c>
      <c r="D106" s="71" t="s">
        <v>473</v>
      </c>
      <c r="E106" s="71" t="str">
        <f>"0,9198"</f>
        <v>0,9198</v>
      </c>
      <c r="F106" s="71" t="s">
        <v>2652</v>
      </c>
      <c r="G106" s="71" t="s">
        <v>3333</v>
      </c>
      <c r="H106" s="36" t="s">
        <v>166</v>
      </c>
      <c r="I106" s="36" t="s">
        <v>225</v>
      </c>
      <c r="J106" s="103" t="s">
        <v>389</v>
      </c>
      <c r="K106" s="93"/>
      <c r="L106" s="98">
        <v>202.5</v>
      </c>
      <c r="M106" s="89" t="str">
        <f>"221,0900"</f>
        <v>221,0900</v>
      </c>
      <c r="N106" s="71" t="s">
        <v>2065</v>
      </c>
    </row>
    <row r="107" spans="1:14" x14ac:dyDescent="0.2">
      <c r="A107" s="42">
        <v>1</v>
      </c>
      <c r="B107" s="78" t="s">
        <v>2512</v>
      </c>
      <c r="C107" s="72" t="s">
        <v>2513</v>
      </c>
      <c r="D107" s="72" t="s">
        <v>470</v>
      </c>
      <c r="E107" s="72" t="str">
        <f>"0,9182"</f>
        <v>0,9182</v>
      </c>
      <c r="F107" s="72" t="s">
        <v>862</v>
      </c>
      <c r="G107" s="72" t="s">
        <v>891</v>
      </c>
      <c r="H107" s="37" t="s">
        <v>76</v>
      </c>
      <c r="I107" s="106"/>
      <c r="J107" s="94"/>
      <c r="K107" s="94"/>
      <c r="L107" s="99">
        <v>100</v>
      </c>
      <c r="M107" s="90" t="str">
        <f>"140,7601"</f>
        <v>140,7601</v>
      </c>
      <c r="N107" s="72" t="s">
        <v>2668</v>
      </c>
    </row>
    <row r="109" spans="1:14" ht="15" x14ac:dyDescent="0.2">
      <c r="B109" s="316" t="s">
        <v>4012</v>
      </c>
      <c r="C109" s="316"/>
      <c r="D109" s="316"/>
      <c r="E109" s="316"/>
      <c r="F109" s="316"/>
      <c r="G109" s="316"/>
      <c r="H109" s="316"/>
      <c r="I109" s="316"/>
      <c r="J109" s="316"/>
      <c r="K109" s="316"/>
      <c r="L109" s="316"/>
      <c r="M109" s="316"/>
    </row>
    <row r="110" spans="1:14" x14ac:dyDescent="0.2">
      <c r="A110" s="42">
        <v>1</v>
      </c>
      <c r="B110" s="76" t="s">
        <v>2628</v>
      </c>
      <c r="C110" s="70" t="s">
        <v>2514</v>
      </c>
      <c r="D110" s="70" t="s">
        <v>1543</v>
      </c>
      <c r="E110" s="70" t="str">
        <f>"0,8990"</f>
        <v>0,8990</v>
      </c>
      <c r="F110" s="70" t="s">
        <v>4020</v>
      </c>
      <c r="G110" s="70" t="s">
        <v>880</v>
      </c>
      <c r="H110" s="35" t="s">
        <v>224</v>
      </c>
      <c r="I110" s="35" t="s">
        <v>135</v>
      </c>
      <c r="J110" s="100" t="s">
        <v>378</v>
      </c>
      <c r="K110" s="92"/>
      <c r="L110" s="97">
        <v>205</v>
      </c>
      <c r="M110" s="88" t="str">
        <f>"184,2950"</f>
        <v>184,2950</v>
      </c>
      <c r="N110" s="70" t="s">
        <v>2669</v>
      </c>
    </row>
    <row r="111" spans="1:14" x14ac:dyDescent="0.2">
      <c r="A111" s="42">
        <v>1</v>
      </c>
      <c r="B111" s="77" t="s">
        <v>2629</v>
      </c>
      <c r="C111" s="71" t="s">
        <v>2515</v>
      </c>
      <c r="D111" s="71" t="s">
        <v>1398</v>
      </c>
      <c r="E111" s="71" t="str">
        <f>"0,8988"</f>
        <v>0,8988</v>
      </c>
      <c r="F111" s="71" t="s">
        <v>4020</v>
      </c>
      <c r="G111" s="71" t="s">
        <v>3294</v>
      </c>
      <c r="H111" s="36" t="s">
        <v>144</v>
      </c>
      <c r="I111" s="36" t="s">
        <v>253</v>
      </c>
      <c r="J111" s="36" t="s">
        <v>208</v>
      </c>
      <c r="K111" s="93"/>
      <c r="L111" s="98">
        <v>245</v>
      </c>
      <c r="M111" s="89" t="str">
        <f>"220,2060"</f>
        <v>220,2060</v>
      </c>
      <c r="N111" s="71" t="s">
        <v>3391</v>
      </c>
    </row>
    <row r="112" spans="1:14" x14ac:dyDescent="0.2">
      <c r="A112" s="42">
        <v>2</v>
      </c>
      <c r="B112" s="77" t="s">
        <v>2516</v>
      </c>
      <c r="C112" s="71" t="s">
        <v>2517</v>
      </c>
      <c r="D112" s="71" t="s">
        <v>1127</v>
      </c>
      <c r="E112" s="71" t="str">
        <f>"0,8950"</f>
        <v>0,8950</v>
      </c>
      <c r="F112" s="71" t="s">
        <v>4020</v>
      </c>
      <c r="G112" s="71" t="s">
        <v>3327</v>
      </c>
      <c r="H112" s="36" t="s">
        <v>189</v>
      </c>
      <c r="I112" s="103" t="s">
        <v>202</v>
      </c>
      <c r="J112" s="103" t="s">
        <v>202</v>
      </c>
      <c r="K112" s="93"/>
      <c r="L112" s="98">
        <v>237.5</v>
      </c>
      <c r="M112" s="89" t="str">
        <f>"212,5625"</f>
        <v>212,5625</v>
      </c>
      <c r="N112" s="71" t="s">
        <v>3391</v>
      </c>
    </row>
    <row r="113" spans="1:14" x14ac:dyDescent="0.2">
      <c r="A113" s="42">
        <v>3</v>
      </c>
      <c r="B113" s="77" t="s">
        <v>2630</v>
      </c>
      <c r="C113" s="71" t="s">
        <v>2518</v>
      </c>
      <c r="D113" s="71" t="s">
        <v>2519</v>
      </c>
      <c r="E113" s="71" t="str">
        <f>"0,9052"</f>
        <v>0,9052</v>
      </c>
      <c r="F113" s="71" t="s">
        <v>4020</v>
      </c>
      <c r="G113" s="71" t="s">
        <v>796</v>
      </c>
      <c r="H113" s="103" t="s">
        <v>381</v>
      </c>
      <c r="I113" s="36" t="s">
        <v>225</v>
      </c>
      <c r="J113" s="103" t="s">
        <v>378</v>
      </c>
      <c r="K113" s="93"/>
      <c r="L113" s="98">
        <v>202.5</v>
      </c>
      <c r="M113" s="89" t="str">
        <f>"183,3030"</f>
        <v>183,3030</v>
      </c>
      <c r="N113" s="71" t="s">
        <v>3391</v>
      </c>
    </row>
    <row r="114" spans="1:14" x14ac:dyDescent="0.2">
      <c r="A114" s="42">
        <v>4</v>
      </c>
      <c r="B114" s="77" t="s">
        <v>2631</v>
      </c>
      <c r="C114" s="71" t="s">
        <v>1381</v>
      </c>
      <c r="D114" s="71" t="s">
        <v>1382</v>
      </c>
      <c r="E114" s="71" t="str">
        <f>"0,8890"</f>
        <v>0,8890</v>
      </c>
      <c r="F114" s="71" t="s">
        <v>14</v>
      </c>
      <c r="G114" s="71" t="s">
        <v>3334</v>
      </c>
      <c r="H114" s="36" t="s">
        <v>225</v>
      </c>
      <c r="I114" s="93"/>
      <c r="J114" s="93"/>
      <c r="K114" s="93"/>
      <c r="L114" s="98">
        <v>202.5</v>
      </c>
      <c r="M114" s="89" t="str">
        <f>"180,0225"</f>
        <v>180,0225</v>
      </c>
      <c r="N114" s="71" t="s">
        <v>3391</v>
      </c>
    </row>
    <row r="115" spans="1:14" x14ac:dyDescent="0.2">
      <c r="A115" s="42">
        <v>5</v>
      </c>
      <c r="B115" s="77" t="s">
        <v>2520</v>
      </c>
      <c r="C115" s="71" t="s">
        <v>2521</v>
      </c>
      <c r="D115" s="71" t="s">
        <v>1885</v>
      </c>
      <c r="E115" s="71" t="str">
        <f>"0,8886"</f>
        <v>0,8886</v>
      </c>
      <c r="F115" s="71" t="s">
        <v>1212</v>
      </c>
      <c r="G115" s="71" t="s">
        <v>3257</v>
      </c>
      <c r="H115" s="36" t="s">
        <v>206</v>
      </c>
      <c r="I115" s="36" t="s">
        <v>107</v>
      </c>
      <c r="J115" s="36" t="s">
        <v>224</v>
      </c>
      <c r="K115" s="93"/>
      <c r="L115" s="98">
        <v>192.5</v>
      </c>
      <c r="M115" s="89" t="str">
        <f>"171,0555"</f>
        <v>171,0555</v>
      </c>
      <c r="N115" s="71" t="s">
        <v>2670</v>
      </c>
    </row>
    <row r="116" spans="1:14" x14ac:dyDescent="0.2">
      <c r="A116" s="42">
        <v>6</v>
      </c>
      <c r="B116" s="77" t="s">
        <v>2632</v>
      </c>
      <c r="C116" s="71" t="s">
        <v>2522</v>
      </c>
      <c r="D116" s="71" t="s">
        <v>553</v>
      </c>
      <c r="E116" s="71" t="str">
        <f>"0,8980"</f>
        <v>0,8980</v>
      </c>
      <c r="F116" s="71" t="s">
        <v>4020</v>
      </c>
      <c r="G116" s="71" t="s">
        <v>796</v>
      </c>
      <c r="H116" s="36" t="s">
        <v>106</v>
      </c>
      <c r="I116" s="49" t="s">
        <v>224</v>
      </c>
      <c r="J116" s="49" t="s">
        <v>224</v>
      </c>
      <c r="K116" s="93"/>
      <c r="L116" s="98">
        <v>185</v>
      </c>
      <c r="M116" s="89" t="str">
        <f>"166,1300"</f>
        <v>166,1300</v>
      </c>
      <c r="N116" s="71" t="s">
        <v>3391</v>
      </c>
    </row>
    <row r="117" spans="1:14" x14ac:dyDescent="0.2">
      <c r="A117" s="42">
        <v>7</v>
      </c>
      <c r="B117" s="77" t="s">
        <v>1466</v>
      </c>
      <c r="C117" s="71" t="s">
        <v>1230</v>
      </c>
      <c r="D117" s="71" t="s">
        <v>265</v>
      </c>
      <c r="E117" s="71" t="str">
        <f>"0,8850"</f>
        <v>0,8850</v>
      </c>
      <c r="F117" s="71" t="s">
        <v>4020</v>
      </c>
      <c r="G117" s="71" t="s">
        <v>796</v>
      </c>
      <c r="H117" s="36" t="s">
        <v>142</v>
      </c>
      <c r="I117" s="93"/>
      <c r="J117" s="93"/>
      <c r="K117" s="93"/>
      <c r="L117" s="98">
        <v>170</v>
      </c>
      <c r="M117" s="89" t="str">
        <f>"150,4500"</f>
        <v>150,4500</v>
      </c>
      <c r="N117" s="71" t="s">
        <v>1255</v>
      </c>
    </row>
    <row r="118" spans="1:14" x14ac:dyDescent="0.2">
      <c r="B118" s="77" t="s">
        <v>2523</v>
      </c>
      <c r="C118" s="71" t="s">
        <v>2524</v>
      </c>
      <c r="D118" s="71" t="s">
        <v>1902</v>
      </c>
      <c r="E118" s="71" t="str">
        <f>"0,8920"</f>
        <v>0,8920</v>
      </c>
      <c r="F118" s="71" t="s">
        <v>4020</v>
      </c>
      <c r="G118" s="71" t="s">
        <v>796</v>
      </c>
      <c r="H118" s="103" t="s">
        <v>107</v>
      </c>
      <c r="I118" s="93"/>
      <c r="J118" s="93"/>
      <c r="K118" s="93"/>
      <c r="L118" s="104">
        <v>0</v>
      </c>
      <c r="M118" s="89" t="s">
        <v>720</v>
      </c>
      <c r="N118" s="71" t="s">
        <v>2671</v>
      </c>
    </row>
    <row r="119" spans="1:14" x14ac:dyDescent="0.2">
      <c r="A119" s="42">
        <v>1</v>
      </c>
      <c r="B119" s="77" t="s">
        <v>2633</v>
      </c>
      <c r="C119" s="71" t="s">
        <v>2525</v>
      </c>
      <c r="D119" s="71" t="s">
        <v>2526</v>
      </c>
      <c r="E119" s="71" t="str">
        <f>"0,8890"</f>
        <v>0,8890</v>
      </c>
      <c r="F119" s="71" t="s">
        <v>4020</v>
      </c>
      <c r="G119" s="71" t="s">
        <v>3328</v>
      </c>
      <c r="H119" s="36" t="s">
        <v>187</v>
      </c>
      <c r="I119" s="36" t="s">
        <v>232</v>
      </c>
      <c r="J119" s="93"/>
      <c r="K119" s="93"/>
      <c r="L119" s="98">
        <v>222.5</v>
      </c>
      <c r="M119" s="89" t="str">
        <f>"206,5058"</f>
        <v>206,5058</v>
      </c>
      <c r="N119" s="71" t="s">
        <v>3391</v>
      </c>
    </row>
    <row r="120" spans="1:14" x14ac:dyDescent="0.2">
      <c r="A120" s="42">
        <v>2</v>
      </c>
      <c r="B120" s="77" t="s">
        <v>2634</v>
      </c>
      <c r="C120" s="71" t="s">
        <v>2527</v>
      </c>
      <c r="D120" s="71" t="s">
        <v>1124</v>
      </c>
      <c r="E120" s="71" t="str">
        <f>"0,9090"</f>
        <v>0,9090</v>
      </c>
      <c r="F120" s="71" t="s">
        <v>4020</v>
      </c>
      <c r="G120" s="71" t="s">
        <v>3329</v>
      </c>
      <c r="H120" s="36" t="s">
        <v>107</v>
      </c>
      <c r="I120" s="36" t="s">
        <v>381</v>
      </c>
      <c r="J120" s="36" t="s">
        <v>225</v>
      </c>
      <c r="K120" s="93"/>
      <c r="L120" s="98">
        <v>202.5</v>
      </c>
      <c r="M120" s="89" t="str">
        <f>"184,9929"</f>
        <v>184,9929</v>
      </c>
      <c r="N120" s="71" t="s">
        <v>2672</v>
      </c>
    </row>
    <row r="121" spans="1:14" x14ac:dyDescent="0.2">
      <c r="A121" s="42">
        <v>3</v>
      </c>
      <c r="B121" s="77" t="s">
        <v>2635</v>
      </c>
      <c r="C121" s="71" t="s">
        <v>2528</v>
      </c>
      <c r="D121" s="71" t="s">
        <v>2322</v>
      </c>
      <c r="E121" s="71" t="str">
        <f>"0,8918"</f>
        <v>0,8918</v>
      </c>
      <c r="F121" s="71" t="s">
        <v>857</v>
      </c>
      <c r="G121" s="71" t="s">
        <v>801</v>
      </c>
      <c r="H121" s="36" t="s">
        <v>166</v>
      </c>
      <c r="I121" s="36" t="s">
        <v>225</v>
      </c>
      <c r="J121" s="103" t="s">
        <v>135</v>
      </c>
      <c r="K121" s="93"/>
      <c r="L121" s="98">
        <v>202.5</v>
      </c>
      <c r="M121" s="89" t="str">
        <f>"181,4924"</f>
        <v>181,4924</v>
      </c>
      <c r="N121" s="71" t="s">
        <v>3391</v>
      </c>
    </row>
    <row r="122" spans="1:14" x14ac:dyDescent="0.2">
      <c r="A122" s="42">
        <v>4</v>
      </c>
      <c r="B122" s="77" t="s">
        <v>2636</v>
      </c>
      <c r="C122" s="71" t="s">
        <v>2529</v>
      </c>
      <c r="D122" s="71" t="s">
        <v>1885</v>
      </c>
      <c r="E122" s="71" t="str">
        <f>"0,8886"</f>
        <v>0,8886</v>
      </c>
      <c r="F122" s="71" t="s">
        <v>1212</v>
      </c>
      <c r="G122" s="71" t="s">
        <v>3257</v>
      </c>
      <c r="H122" s="36" t="s">
        <v>206</v>
      </c>
      <c r="I122" s="36" t="s">
        <v>107</v>
      </c>
      <c r="J122" s="36" t="s">
        <v>224</v>
      </c>
      <c r="K122" s="93"/>
      <c r="L122" s="98">
        <v>192.5</v>
      </c>
      <c r="M122" s="89" t="str">
        <f>"173,4503"</f>
        <v>173,4503</v>
      </c>
      <c r="N122" s="71" t="s">
        <v>2670</v>
      </c>
    </row>
    <row r="123" spans="1:14" x14ac:dyDescent="0.2">
      <c r="A123" s="42">
        <v>5</v>
      </c>
      <c r="B123" s="77" t="s">
        <v>2637</v>
      </c>
      <c r="C123" s="71" t="s">
        <v>2530</v>
      </c>
      <c r="D123" s="71" t="s">
        <v>1546</v>
      </c>
      <c r="E123" s="71" t="str">
        <f>"0,9010"</f>
        <v>0,9010</v>
      </c>
      <c r="F123" s="71" t="s">
        <v>4020</v>
      </c>
      <c r="G123" s="71" t="s">
        <v>799</v>
      </c>
      <c r="H123" s="36" t="s">
        <v>127</v>
      </c>
      <c r="I123" s="103" t="s">
        <v>30</v>
      </c>
      <c r="J123" s="103" t="s">
        <v>30</v>
      </c>
      <c r="K123" s="93"/>
      <c r="L123" s="98">
        <v>160</v>
      </c>
      <c r="M123" s="89" t="str">
        <f>"144,1600"</f>
        <v>144,1600</v>
      </c>
      <c r="N123" s="71" t="s">
        <v>3391</v>
      </c>
    </row>
    <row r="124" spans="1:14" x14ac:dyDescent="0.2">
      <c r="A124" s="42">
        <v>1</v>
      </c>
      <c r="B124" s="77" t="s">
        <v>2516</v>
      </c>
      <c r="C124" s="71" t="s">
        <v>2531</v>
      </c>
      <c r="D124" s="71" t="s">
        <v>1127</v>
      </c>
      <c r="E124" s="71" t="str">
        <f>"0,8950"</f>
        <v>0,8950</v>
      </c>
      <c r="F124" s="71" t="s">
        <v>4020</v>
      </c>
      <c r="G124" s="71" t="s">
        <v>3327</v>
      </c>
      <c r="H124" s="36" t="s">
        <v>189</v>
      </c>
      <c r="I124" s="103" t="s">
        <v>202</v>
      </c>
      <c r="J124" s="103" t="s">
        <v>202</v>
      </c>
      <c r="K124" s="93"/>
      <c r="L124" s="98">
        <v>237.5</v>
      </c>
      <c r="M124" s="89" t="str">
        <f>"225,3162"</f>
        <v>225,3162</v>
      </c>
      <c r="N124" s="71" t="s">
        <v>3391</v>
      </c>
    </row>
    <row r="125" spans="1:14" x14ac:dyDescent="0.2">
      <c r="A125" s="42">
        <v>2</v>
      </c>
      <c r="B125" s="77" t="s">
        <v>2638</v>
      </c>
      <c r="C125" s="71" t="s">
        <v>2532</v>
      </c>
      <c r="D125" s="71" t="s">
        <v>269</v>
      </c>
      <c r="E125" s="71" t="str">
        <f>"0,9090"</f>
        <v>0,9090</v>
      </c>
      <c r="F125" s="71" t="s">
        <v>2653</v>
      </c>
      <c r="G125" s="71" t="s">
        <v>3286</v>
      </c>
      <c r="H125" s="36" t="s">
        <v>106</v>
      </c>
      <c r="I125" s="36" t="s">
        <v>107</v>
      </c>
      <c r="J125" s="103" t="s">
        <v>224</v>
      </c>
      <c r="K125" s="93"/>
      <c r="L125" s="98">
        <v>190</v>
      </c>
      <c r="M125" s="89" t="str">
        <f>"183,0726"</f>
        <v>183,0726</v>
      </c>
      <c r="N125" s="71" t="s">
        <v>3391</v>
      </c>
    </row>
    <row r="126" spans="1:14" x14ac:dyDescent="0.2">
      <c r="A126" s="42">
        <v>3</v>
      </c>
      <c r="B126" s="77" t="s">
        <v>2639</v>
      </c>
      <c r="C126" s="71" t="s">
        <v>2533</v>
      </c>
      <c r="D126" s="71" t="s">
        <v>2534</v>
      </c>
      <c r="E126" s="71" t="str">
        <f>"0,8900"</f>
        <v>0,8900</v>
      </c>
      <c r="F126" s="71" t="s">
        <v>2535</v>
      </c>
      <c r="G126" s="71" t="s">
        <v>3335</v>
      </c>
      <c r="H126" s="36" t="s">
        <v>107</v>
      </c>
      <c r="I126" s="103" t="s">
        <v>140</v>
      </c>
      <c r="J126" s="103" t="s">
        <v>140</v>
      </c>
      <c r="K126" s="93"/>
      <c r="L126" s="98">
        <v>190</v>
      </c>
      <c r="M126" s="89" t="str">
        <f>"179,2460"</f>
        <v>179,2460</v>
      </c>
      <c r="N126" s="71" t="s">
        <v>3391</v>
      </c>
    </row>
    <row r="127" spans="1:14" x14ac:dyDescent="0.2">
      <c r="A127" s="42">
        <v>4</v>
      </c>
      <c r="B127" s="77" t="s">
        <v>2640</v>
      </c>
      <c r="C127" s="71" t="s">
        <v>987</v>
      </c>
      <c r="D127" s="71" t="s">
        <v>988</v>
      </c>
      <c r="E127" s="71" t="str">
        <f>"0,8852"</f>
        <v>0,8852</v>
      </c>
      <c r="F127" s="71" t="s">
        <v>856</v>
      </c>
      <c r="G127" s="71" t="s">
        <v>800</v>
      </c>
      <c r="H127" s="36" t="s">
        <v>106</v>
      </c>
      <c r="I127" s="93"/>
      <c r="J127" s="93"/>
      <c r="K127" s="93"/>
      <c r="L127" s="98">
        <v>185</v>
      </c>
      <c r="M127" s="89" t="str">
        <f>"173,5877"</f>
        <v>173,5877</v>
      </c>
      <c r="N127" s="71" t="s">
        <v>737</v>
      </c>
    </row>
    <row r="128" spans="1:14" x14ac:dyDescent="0.2">
      <c r="A128" s="42">
        <v>1</v>
      </c>
      <c r="B128" s="78" t="s">
        <v>1469</v>
      </c>
      <c r="C128" s="72" t="s">
        <v>668</v>
      </c>
      <c r="D128" s="72" t="s">
        <v>1398</v>
      </c>
      <c r="E128" s="72" t="str">
        <f>"0,8988"</f>
        <v>0,8988</v>
      </c>
      <c r="F128" s="72" t="s">
        <v>464</v>
      </c>
      <c r="G128" s="72" t="s">
        <v>824</v>
      </c>
      <c r="H128" s="37" t="s">
        <v>186</v>
      </c>
      <c r="I128" s="94"/>
      <c r="J128" s="94"/>
      <c r="K128" s="94"/>
      <c r="L128" s="99">
        <v>142.5</v>
      </c>
      <c r="M128" s="90" t="str">
        <f>"147,2909"</f>
        <v>147,2909</v>
      </c>
      <c r="N128" s="72" t="s">
        <v>3391</v>
      </c>
    </row>
    <row r="130" spans="1:14" ht="15" x14ac:dyDescent="0.2">
      <c r="B130" s="316" t="s">
        <v>4013</v>
      </c>
      <c r="C130" s="316"/>
      <c r="D130" s="316"/>
      <c r="E130" s="316"/>
      <c r="F130" s="316"/>
      <c r="G130" s="316"/>
      <c r="H130" s="316"/>
      <c r="I130" s="316"/>
      <c r="J130" s="316"/>
      <c r="K130" s="316"/>
      <c r="L130" s="316"/>
      <c r="M130" s="316"/>
    </row>
    <row r="131" spans="1:14" x14ac:dyDescent="0.2">
      <c r="A131" s="42">
        <v>1</v>
      </c>
      <c r="B131" s="76" t="s">
        <v>2641</v>
      </c>
      <c r="C131" s="70" t="s">
        <v>2536</v>
      </c>
      <c r="D131" s="70" t="s">
        <v>2537</v>
      </c>
      <c r="E131" s="70" t="str">
        <f>"0,8696"</f>
        <v>0,8696</v>
      </c>
      <c r="F131" s="70" t="s">
        <v>4020</v>
      </c>
      <c r="G131" s="70" t="s">
        <v>840</v>
      </c>
      <c r="H131" s="35" t="s">
        <v>220</v>
      </c>
      <c r="I131" s="35" t="s">
        <v>202</v>
      </c>
      <c r="J131" s="100" t="s">
        <v>208</v>
      </c>
      <c r="K131" s="92"/>
      <c r="L131" s="97">
        <v>242.5</v>
      </c>
      <c r="M131" s="147" t="str">
        <f>"210,8780"</f>
        <v>210,8780</v>
      </c>
      <c r="N131" s="70" t="s">
        <v>2673</v>
      </c>
    </row>
    <row r="132" spans="1:14" x14ac:dyDescent="0.2">
      <c r="A132" s="42">
        <v>1</v>
      </c>
      <c r="B132" s="77" t="s">
        <v>2642</v>
      </c>
      <c r="C132" s="71" t="s">
        <v>2538</v>
      </c>
      <c r="D132" s="71" t="s">
        <v>2539</v>
      </c>
      <c r="E132" s="71" t="str">
        <f>"0,8580"</f>
        <v>0,8580</v>
      </c>
      <c r="F132" s="71" t="s">
        <v>1392</v>
      </c>
      <c r="G132" s="71" t="s">
        <v>3337</v>
      </c>
      <c r="H132" s="36" t="s">
        <v>188</v>
      </c>
      <c r="I132" s="36" t="s">
        <v>253</v>
      </c>
      <c r="J132" s="36" t="s">
        <v>208</v>
      </c>
      <c r="K132" s="93"/>
      <c r="L132" s="98">
        <v>245</v>
      </c>
      <c r="M132" s="148" t="str">
        <f>"210,2100"</f>
        <v>210,2100</v>
      </c>
      <c r="N132" s="71" t="s">
        <v>3391</v>
      </c>
    </row>
    <row r="133" spans="1:14" x14ac:dyDescent="0.2">
      <c r="A133" s="42">
        <v>2</v>
      </c>
      <c r="B133" s="77" t="s">
        <v>2540</v>
      </c>
      <c r="C133" s="71" t="s">
        <v>2541</v>
      </c>
      <c r="D133" s="71" t="s">
        <v>2537</v>
      </c>
      <c r="E133" s="71" t="str">
        <f>"0,8696"</f>
        <v>0,8696</v>
      </c>
      <c r="F133" s="71" t="s">
        <v>4020</v>
      </c>
      <c r="G133" s="71" t="s">
        <v>840</v>
      </c>
      <c r="H133" s="36" t="s">
        <v>220</v>
      </c>
      <c r="I133" s="36" t="s">
        <v>202</v>
      </c>
      <c r="J133" s="103" t="s">
        <v>208</v>
      </c>
      <c r="K133" s="93"/>
      <c r="L133" s="98">
        <v>242.5</v>
      </c>
      <c r="M133" s="148" t="str">
        <f>"210,8780"</f>
        <v>210,8780</v>
      </c>
      <c r="N133" s="71" t="s">
        <v>2673</v>
      </c>
    </row>
    <row r="134" spans="1:14" x14ac:dyDescent="0.2">
      <c r="A134" s="42">
        <v>3</v>
      </c>
      <c r="B134" s="77" t="s">
        <v>2643</v>
      </c>
      <c r="C134" s="71" t="s">
        <v>2542</v>
      </c>
      <c r="D134" s="71" t="s">
        <v>2543</v>
      </c>
      <c r="E134" s="71" t="str">
        <f>"0,8738"</f>
        <v>0,8738</v>
      </c>
      <c r="F134" s="71" t="s">
        <v>4020</v>
      </c>
      <c r="G134" s="71" t="s">
        <v>3186</v>
      </c>
      <c r="H134" s="36" t="s">
        <v>187</v>
      </c>
      <c r="I134" s="103" t="s">
        <v>246</v>
      </c>
      <c r="J134" s="36" t="s">
        <v>144</v>
      </c>
      <c r="K134" s="93"/>
      <c r="L134" s="98">
        <v>230</v>
      </c>
      <c r="M134" s="148" t="str">
        <f>"200,9740"</f>
        <v>200,9740</v>
      </c>
      <c r="N134" s="71" t="s">
        <v>3391</v>
      </c>
    </row>
    <row r="135" spans="1:14" x14ac:dyDescent="0.2">
      <c r="A135" s="42">
        <v>4</v>
      </c>
      <c r="B135" s="77" t="s">
        <v>2389</v>
      </c>
      <c r="C135" s="71" t="s">
        <v>1231</v>
      </c>
      <c r="D135" s="71" t="s">
        <v>1232</v>
      </c>
      <c r="E135" s="71" t="str">
        <f>"0,8674"</f>
        <v>0,8674</v>
      </c>
      <c r="F135" s="71" t="s">
        <v>492</v>
      </c>
      <c r="G135" s="71" t="s">
        <v>3200</v>
      </c>
      <c r="H135" s="36" t="s">
        <v>187</v>
      </c>
      <c r="I135" s="93"/>
      <c r="J135" s="93"/>
      <c r="K135" s="93"/>
      <c r="L135" s="98">
        <v>215</v>
      </c>
      <c r="M135" s="148" t="str">
        <f>"186,4910"</f>
        <v>186,4910</v>
      </c>
      <c r="N135" s="16" t="s">
        <v>3206</v>
      </c>
    </row>
    <row r="136" spans="1:14" x14ac:dyDescent="0.2">
      <c r="A136" s="42">
        <v>5</v>
      </c>
      <c r="B136" s="77" t="s">
        <v>1471</v>
      </c>
      <c r="C136" s="71" t="s">
        <v>1233</v>
      </c>
      <c r="D136" s="71" t="s">
        <v>1234</v>
      </c>
      <c r="E136" s="71" t="str">
        <f>"0,8660"</f>
        <v>0,8660</v>
      </c>
      <c r="F136" s="71" t="s">
        <v>492</v>
      </c>
      <c r="G136" s="71" t="s">
        <v>829</v>
      </c>
      <c r="H136" s="36" t="s">
        <v>141</v>
      </c>
      <c r="I136" s="93"/>
      <c r="J136" s="93"/>
      <c r="K136" s="93"/>
      <c r="L136" s="98">
        <v>165</v>
      </c>
      <c r="M136" s="148" t="str">
        <f>"142,8900"</f>
        <v>142,8900</v>
      </c>
      <c r="N136" s="16" t="s">
        <v>815</v>
      </c>
    </row>
    <row r="137" spans="1:14" x14ac:dyDescent="0.2">
      <c r="A137" s="42">
        <v>1</v>
      </c>
      <c r="B137" s="77" t="s">
        <v>2642</v>
      </c>
      <c r="C137" s="71" t="s">
        <v>2544</v>
      </c>
      <c r="D137" s="71" t="s">
        <v>2539</v>
      </c>
      <c r="E137" s="71" t="str">
        <f>"0,8580"</f>
        <v>0,8580</v>
      </c>
      <c r="F137" s="71" t="s">
        <v>1392</v>
      </c>
      <c r="G137" s="71" t="s">
        <v>3337</v>
      </c>
      <c r="H137" s="36" t="s">
        <v>188</v>
      </c>
      <c r="I137" s="36" t="s">
        <v>253</v>
      </c>
      <c r="J137" s="36" t="s">
        <v>208</v>
      </c>
      <c r="K137" s="93"/>
      <c r="L137" s="98">
        <v>245</v>
      </c>
      <c r="M137" s="148" t="str">
        <f>"210,2100"</f>
        <v>210,2100</v>
      </c>
      <c r="N137" s="71" t="s">
        <v>3391</v>
      </c>
    </row>
    <row r="138" spans="1:14" x14ac:dyDescent="0.2">
      <c r="A138" s="42">
        <v>2</v>
      </c>
      <c r="B138" s="77" t="s">
        <v>1235</v>
      </c>
      <c r="C138" s="71" t="s">
        <v>1236</v>
      </c>
      <c r="D138" s="71" t="s">
        <v>1232</v>
      </c>
      <c r="E138" s="71" t="str">
        <f>"0,8674"</f>
        <v>0,8674</v>
      </c>
      <c r="F138" s="71" t="s">
        <v>492</v>
      </c>
      <c r="G138" s="71" t="s">
        <v>3200</v>
      </c>
      <c r="H138" s="36" t="s">
        <v>187</v>
      </c>
      <c r="I138" s="93"/>
      <c r="J138" s="93"/>
      <c r="K138" s="93"/>
      <c r="L138" s="98">
        <v>215</v>
      </c>
      <c r="M138" s="148" t="str">
        <f>"186,4910"</f>
        <v>186,4910</v>
      </c>
      <c r="N138" s="16" t="s">
        <v>3206</v>
      </c>
    </row>
    <row r="139" spans="1:14" x14ac:dyDescent="0.2">
      <c r="A139" s="42">
        <v>1</v>
      </c>
      <c r="B139" s="77" t="s">
        <v>2644</v>
      </c>
      <c r="C139" s="71" t="s">
        <v>2545</v>
      </c>
      <c r="D139" s="71" t="s">
        <v>2546</v>
      </c>
      <c r="E139" s="71" t="str">
        <f>"0,8760"</f>
        <v>0,8760</v>
      </c>
      <c r="F139" s="71" t="s">
        <v>862</v>
      </c>
      <c r="G139" s="71" t="s">
        <v>891</v>
      </c>
      <c r="H139" s="36" t="s">
        <v>143</v>
      </c>
      <c r="I139" s="36" t="s">
        <v>24</v>
      </c>
      <c r="J139" s="103" t="s">
        <v>400</v>
      </c>
      <c r="K139" s="93"/>
      <c r="L139" s="98">
        <v>220</v>
      </c>
      <c r="M139" s="148" t="str">
        <f>"198,1162"</f>
        <v>198,1162</v>
      </c>
      <c r="N139" s="71" t="s">
        <v>2078</v>
      </c>
    </row>
    <row r="140" spans="1:14" x14ac:dyDescent="0.2">
      <c r="A140" s="42">
        <v>2</v>
      </c>
      <c r="B140" s="77" t="s">
        <v>2645</v>
      </c>
      <c r="C140" s="71" t="s">
        <v>2547</v>
      </c>
      <c r="D140" s="71" t="s">
        <v>2548</v>
      </c>
      <c r="E140" s="71" t="str">
        <f>"0,8730"</f>
        <v>0,8730</v>
      </c>
      <c r="F140" s="71" t="s">
        <v>4020</v>
      </c>
      <c r="G140" s="71" t="s">
        <v>3330</v>
      </c>
      <c r="H140" s="103" t="s">
        <v>187</v>
      </c>
      <c r="I140" s="36" t="s">
        <v>187</v>
      </c>
      <c r="J140" s="103" t="s">
        <v>232</v>
      </c>
      <c r="K140" s="93"/>
      <c r="L140" s="98">
        <v>215</v>
      </c>
      <c r="M140" s="148" t="str">
        <f>"188,6335"</f>
        <v>188,6335</v>
      </c>
      <c r="N140" s="71" t="s">
        <v>3391</v>
      </c>
    </row>
    <row r="141" spans="1:14" x14ac:dyDescent="0.2">
      <c r="A141" s="42">
        <v>1</v>
      </c>
      <c r="B141" s="77" t="s">
        <v>2646</v>
      </c>
      <c r="C141" s="71" t="s">
        <v>2549</v>
      </c>
      <c r="D141" s="71" t="s">
        <v>2550</v>
      </c>
      <c r="E141" s="71" t="str">
        <f>"0,8660"</f>
        <v>0,8660</v>
      </c>
      <c r="F141" s="71" t="s">
        <v>4020</v>
      </c>
      <c r="G141" s="71" t="s">
        <v>796</v>
      </c>
      <c r="H141" s="36" t="s">
        <v>24</v>
      </c>
      <c r="I141" s="103" t="s">
        <v>144</v>
      </c>
      <c r="J141" s="103" t="s">
        <v>144</v>
      </c>
      <c r="K141" s="93"/>
      <c r="L141" s="98">
        <v>220</v>
      </c>
      <c r="M141" s="148" t="str">
        <f>"212,2393"</f>
        <v>212,2393</v>
      </c>
      <c r="N141" s="71" t="s">
        <v>2551</v>
      </c>
    </row>
    <row r="142" spans="1:14" x14ac:dyDescent="0.2">
      <c r="A142" s="42">
        <v>1</v>
      </c>
      <c r="B142" s="77" t="s">
        <v>2647</v>
      </c>
      <c r="C142" s="71" t="s">
        <v>2552</v>
      </c>
      <c r="D142" s="71" t="s">
        <v>2553</v>
      </c>
      <c r="E142" s="71" t="str">
        <f>"0,8660"</f>
        <v>0,8660</v>
      </c>
      <c r="F142" s="71" t="s">
        <v>854</v>
      </c>
      <c r="G142" s="71" t="s">
        <v>850</v>
      </c>
      <c r="H142" s="103" t="s">
        <v>156</v>
      </c>
      <c r="I142" s="36" t="s">
        <v>156</v>
      </c>
      <c r="J142" s="36" t="s">
        <v>206</v>
      </c>
      <c r="K142" s="93"/>
      <c r="L142" s="98">
        <v>182.5</v>
      </c>
      <c r="M142" s="148" t="str">
        <f>"194,0793"</f>
        <v>194,0793</v>
      </c>
      <c r="N142" s="71" t="s">
        <v>3391</v>
      </c>
    </row>
    <row r="143" spans="1:14" x14ac:dyDescent="0.2">
      <c r="A143" s="42">
        <v>2</v>
      </c>
      <c r="B143" s="77" t="s">
        <v>2648</v>
      </c>
      <c r="C143" s="71" t="s">
        <v>2554</v>
      </c>
      <c r="D143" s="71" t="s">
        <v>2555</v>
      </c>
      <c r="E143" s="71" t="str">
        <f>"0,8828"</f>
        <v>0,8828</v>
      </c>
      <c r="F143" s="71" t="s">
        <v>1491</v>
      </c>
      <c r="G143" s="71" t="s">
        <v>3336</v>
      </c>
      <c r="H143" s="36" t="s">
        <v>141</v>
      </c>
      <c r="I143" s="36" t="s">
        <v>239</v>
      </c>
      <c r="J143" s="36" t="s">
        <v>11</v>
      </c>
      <c r="K143" s="93"/>
      <c r="L143" s="98">
        <v>180</v>
      </c>
      <c r="M143" s="148" t="str">
        <f>"191,7971"</f>
        <v>191,7971</v>
      </c>
      <c r="N143" s="71" t="s">
        <v>2674</v>
      </c>
    </row>
    <row r="144" spans="1:14" x14ac:dyDescent="0.2">
      <c r="A144" s="42">
        <v>1</v>
      </c>
      <c r="B144" s="78" t="s">
        <v>2649</v>
      </c>
      <c r="C144" s="72" t="s">
        <v>2556</v>
      </c>
      <c r="D144" s="72" t="s">
        <v>2557</v>
      </c>
      <c r="E144" s="72" t="str">
        <f>"0,8756"</f>
        <v>0,8756</v>
      </c>
      <c r="F144" s="72" t="s">
        <v>2535</v>
      </c>
      <c r="G144" s="72" t="s">
        <v>3335</v>
      </c>
      <c r="H144" s="37" t="s">
        <v>156</v>
      </c>
      <c r="I144" s="101" t="s">
        <v>11</v>
      </c>
      <c r="J144" s="94"/>
      <c r="K144" s="94"/>
      <c r="L144" s="99">
        <v>175</v>
      </c>
      <c r="M144" s="149" t="str">
        <f>"195,0618"</f>
        <v>195,0618</v>
      </c>
      <c r="N144" s="72" t="s">
        <v>3391</v>
      </c>
    </row>
    <row r="146" spans="1:14" ht="15" x14ac:dyDescent="0.2">
      <c r="B146" s="316" t="s">
        <v>4016</v>
      </c>
      <c r="C146" s="316"/>
      <c r="D146" s="316"/>
      <c r="E146" s="316"/>
      <c r="F146" s="316"/>
      <c r="G146" s="316"/>
      <c r="H146" s="316"/>
      <c r="I146" s="316"/>
      <c r="J146" s="316"/>
      <c r="K146" s="316"/>
      <c r="L146" s="316"/>
      <c r="M146" s="316"/>
    </row>
    <row r="147" spans="1:14" x14ac:dyDescent="0.2">
      <c r="A147" s="42">
        <v>1</v>
      </c>
      <c r="B147" s="76" t="s">
        <v>2650</v>
      </c>
      <c r="C147" s="70" t="s">
        <v>2558</v>
      </c>
      <c r="D147" s="70" t="s">
        <v>2559</v>
      </c>
      <c r="E147" s="70" t="str">
        <f>"0,8570"</f>
        <v>0,8570</v>
      </c>
      <c r="F147" s="70" t="s">
        <v>2653</v>
      </c>
      <c r="G147" s="70" t="s">
        <v>3286</v>
      </c>
      <c r="H147" s="35" t="s">
        <v>261</v>
      </c>
      <c r="I147" s="100" t="s">
        <v>15</v>
      </c>
      <c r="J147" s="35" t="s">
        <v>15</v>
      </c>
      <c r="K147" s="92"/>
      <c r="L147" s="97">
        <v>265</v>
      </c>
      <c r="M147" s="88" t="str">
        <f>"227,1050"</f>
        <v>227,1050</v>
      </c>
      <c r="N147" s="70" t="s">
        <v>3391</v>
      </c>
    </row>
    <row r="148" spans="1:14" x14ac:dyDescent="0.2">
      <c r="B148" s="78" t="s">
        <v>2560</v>
      </c>
      <c r="C148" s="72" t="s">
        <v>2561</v>
      </c>
      <c r="D148" s="72" t="s">
        <v>2562</v>
      </c>
      <c r="E148" s="72" t="str">
        <f>"0,8490"</f>
        <v>0,8490</v>
      </c>
      <c r="F148" s="72" t="s">
        <v>4020</v>
      </c>
      <c r="G148" s="72" t="s">
        <v>840</v>
      </c>
      <c r="H148" s="101" t="s">
        <v>144</v>
      </c>
      <c r="I148" s="101" t="s">
        <v>144</v>
      </c>
      <c r="J148" s="94"/>
      <c r="K148" s="94"/>
      <c r="L148" s="105">
        <v>0</v>
      </c>
      <c r="M148" s="90" t="s">
        <v>720</v>
      </c>
      <c r="N148" s="72" t="s">
        <v>3391</v>
      </c>
    </row>
    <row r="150" spans="1:14" ht="15" x14ac:dyDescent="0.2">
      <c r="B150" s="316" t="s">
        <v>4017</v>
      </c>
      <c r="C150" s="316"/>
      <c r="D150" s="316"/>
      <c r="E150" s="316"/>
      <c r="F150" s="316"/>
      <c r="G150" s="316"/>
      <c r="H150" s="316"/>
      <c r="I150" s="316"/>
      <c r="J150" s="316"/>
      <c r="K150" s="316"/>
      <c r="L150" s="316"/>
      <c r="M150" s="316"/>
    </row>
    <row r="151" spans="1:14" x14ac:dyDescent="0.2">
      <c r="A151" s="42">
        <v>1</v>
      </c>
      <c r="B151" s="74" t="s">
        <v>2651</v>
      </c>
      <c r="C151" s="68" t="s">
        <v>2563</v>
      </c>
      <c r="D151" s="68" t="s">
        <v>2564</v>
      </c>
      <c r="E151" s="68" t="str">
        <f>"0,8270"</f>
        <v>0,8270</v>
      </c>
      <c r="F151" s="68" t="s">
        <v>862</v>
      </c>
      <c r="G151" s="68" t="s">
        <v>811</v>
      </c>
      <c r="H151" s="34" t="s">
        <v>24</v>
      </c>
      <c r="I151" s="34" t="s">
        <v>246</v>
      </c>
      <c r="J151" s="34" t="s">
        <v>144</v>
      </c>
      <c r="K151" s="102" t="s">
        <v>220</v>
      </c>
      <c r="L151" s="95">
        <v>230</v>
      </c>
      <c r="M151" s="87" t="str">
        <f>"201,6226"</f>
        <v>201,6226</v>
      </c>
      <c r="N151" s="68" t="s">
        <v>3391</v>
      </c>
    </row>
    <row r="153" spans="1:14" ht="18" x14ac:dyDescent="0.25">
      <c r="B153" s="79" t="s">
        <v>4022</v>
      </c>
      <c r="C153" s="79"/>
    </row>
    <row r="154" spans="1:14" ht="15" x14ac:dyDescent="0.2">
      <c r="B154" s="80" t="s">
        <v>283</v>
      </c>
      <c r="C154" s="80"/>
    </row>
    <row r="155" spans="1:14" ht="14.25" x14ac:dyDescent="0.2">
      <c r="B155" s="81"/>
      <c r="C155" s="84" t="s">
        <v>18</v>
      </c>
    </row>
    <row r="156" spans="1:14" ht="15" x14ac:dyDescent="0.2">
      <c r="B156" s="82" t="s">
        <v>0</v>
      </c>
      <c r="C156" s="85" t="s">
        <v>19</v>
      </c>
      <c r="D156" s="85" t="s">
        <v>20</v>
      </c>
      <c r="E156" s="85" t="s">
        <v>3593</v>
      </c>
      <c r="F156" s="73" t="s">
        <v>9</v>
      </c>
    </row>
    <row r="157" spans="1:14" x14ac:dyDescent="0.2">
      <c r="A157" s="42">
        <v>1</v>
      </c>
      <c r="B157" s="83" t="s">
        <v>995</v>
      </c>
      <c r="C157" s="66" t="s">
        <v>18</v>
      </c>
      <c r="D157" s="86" t="s">
        <v>32</v>
      </c>
      <c r="E157" s="86" t="s">
        <v>127</v>
      </c>
      <c r="F157" s="86" t="s">
        <v>2565</v>
      </c>
    </row>
    <row r="158" spans="1:14" x14ac:dyDescent="0.2">
      <c r="A158" s="42">
        <v>2</v>
      </c>
      <c r="B158" s="83" t="s">
        <v>2566</v>
      </c>
      <c r="C158" s="66" t="s">
        <v>18</v>
      </c>
      <c r="D158" s="86" t="s">
        <v>295</v>
      </c>
      <c r="E158" s="86" t="s">
        <v>112</v>
      </c>
      <c r="F158" s="86" t="s">
        <v>2567</v>
      </c>
    </row>
    <row r="159" spans="1:14" x14ac:dyDescent="0.2">
      <c r="A159" s="42">
        <v>3</v>
      </c>
      <c r="B159" s="83" t="s">
        <v>1301</v>
      </c>
      <c r="C159" s="66" t="s">
        <v>18</v>
      </c>
      <c r="D159" s="86" t="s">
        <v>291</v>
      </c>
      <c r="E159" s="86" t="s">
        <v>71</v>
      </c>
      <c r="F159" s="86" t="s">
        <v>2568</v>
      </c>
    </row>
    <row r="161" spans="1:6" ht="15" x14ac:dyDescent="0.2">
      <c r="B161" s="80" t="s">
        <v>3499</v>
      </c>
      <c r="C161" s="80"/>
    </row>
    <row r="162" spans="1:6" ht="14.25" x14ac:dyDescent="0.2">
      <c r="B162" s="81"/>
      <c r="C162" s="84" t="s">
        <v>284</v>
      </c>
    </row>
    <row r="163" spans="1:6" ht="15" x14ac:dyDescent="0.2">
      <c r="B163" s="82" t="s">
        <v>0</v>
      </c>
      <c r="C163" s="85" t="s">
        <v>19</v>
      </c>
      <c r="D163" s="85" t="s">
        <v>20</v>
      </c>
      <c r="E163" s="85" t="s">
        <v>3593</v>
      </c>
      <c r="F163" s="73" t="s">
        <v>9</v>
      </c>
    </row>
    <row r="164" spans="1:6" x14ac:dyDescent="0.2">
      <c r="A164" s="42">
        <v>1</v>
      </c>
      <c r="B164" s="83" t="s">
        <v>2540</v>
      </c>
      <c r="C164" s="66" t="s">
        <v>285</v>
      </c>
      <c r="D164" s="86" t="s">
        <v>303</v>
      </c>
      <c r="E164" s="86" t="s">
        <v>202</v>
      </c>
      <c r="F164" s="86" t="s">
        <v>2569</v>
      </c>
    </row>
    <row r="165" spans="1:6" x14ac:dyDescent="0.2">
      <c r="A165" s="42">
        <v>2</v>
      </c>
      <c r="B165" s="83" t="s">
        <v>2472</v>
      </c>
      <c r="C165" s="66" t="s">
        <v>285</v>
      </c>
      <c r="D165" s="86" t="s">
        <v>300</v>
      </c>
      <c r="E165" s="86" t="s">
        <v>225</v>
      </c>
      <c r="F165" s="86" t="s">
        <v>2570</v>
      </c>
    </row>
    <row r="166" spans="1:6" x14ac:dyDescent="0.2">
      <c r="A166" s="42">
        <v>3</v>
      </c>
      <c r="B166" s="83" t="s">
        <v>2423</v>
      </c>
      <c r="C166" s="66" t="s">
        <v>285</v>
      </c>
      <c r="D166" s="86" t="s">
        <v>21</v>
      </c>
      <c r="E166" s="86" t="s">
        <v>11</v>
      </c>
      <c r="F166" s="86" t="s">
        <v>2571</v>
      </c>
    </row>
    <row r="168" spans="1:6" ht="14.25" x14ac:dyDescent="0.2">
      <c r="B168" s="81"/>
      <c r="C168" s="84" t="s">
        <v>18</v>
      </c>
    </row>
    <row r="169" spans="1:6" ht="15" x14ac:dyDescent="0.2">
      <c r="B169" s="82" t="s">
        <v>0</v>
      </c>
      <c r="C169" s="85" t="s">
        <v>19</v>
      </c>
      <c r="D169" s="85" t="s">
        <v>20</v>
      </c>
      <c r="E169" s="85" t="s">
        <v>3593</v>
      </c>
      <c r="F169" s="73" t="s">
        <v>9</v>
      </c>
    </row>
    <row r="170" spans="1:6" x14ac:dyDescent="0.2">
      <c r="A170" s="42">
        <v>1</v>
      </c>
      <c r="B170" s="83" t="s">
        <v>2572</v>
      </c>
      <c r="C170" s="66" t="s">
        <v>18</v>
      </c>
      <c r="D170" s="86" t="s">
        <v>515</v>
      </c>
      <c r="E170" s="86" t="s">
        <v>155</v>
      </c>
      <c r="F170" s="86" t="s">
        <v>2573</v>
      </c>
    </row>
    <row r="171" spans="1:6" x14ac:dyDescent="0.2">
      <c r="A171" s="42">
        <v>2</v>
      </c>
      <c r="B171" s="83" t="s">
        <v>2478</v>
      </c>
      <c r="C171" s="66" t="s">
        <v>18</v>
      </c>
      <c r="D171" s="86" t="s">
        <v>300</v>
      </c>
      <c r="E171" s="86" t="s">
        <v>2480</v>
      </c>
      <c r="F171" s="86" t="s">
        <v>2574</v>
      </c>
    </row>
    <row r="172" spans="1:6" x14ac:dyDescent="0.2">
      <c r="A172" s="42">
        <v>3</v>
      </c>
      <c r="B172" s="83" t="s">
        <v>2575</v>
      </c>
      <c r="C172" s="66" t="s">
        <v>18</v>
      </c>
      <c r="D172" s="86" t="s">
        <v>291</v>
      </c>
      <c r="E172" s="86" t="s">
        <v>143</v>
      </c>
      <c r="F172" s="86" t="s">
        <v>2576</v>
      </c>
    </row>
    <row r="174" spans="1:6" ht="14.25" x14ac:dyDescent="0.2">
      <c r="B174" s="81"/>
      <c r="C174" s="84" t="s">
        <v>310</v>
      </c>
    </row>
    <row r="175" spans="1:6" ht="15" x14ac:dyDescent="0.2">
      <c r="B175" s="82" t="s">
        <v>0</v>
      </c>
      <c r="C175" s="85" t="s">
        <v>19</v>
      </c>
      <c r="D175" s="85" t="s">
        <v>20</v>
      </c>
      <c r="E175" s="85" t="s">
        <v>3593</v>
      </c>
      <c r="F175" s="73" t="s">
        <v>9</v>
      </c>
    </row>
    <row r="176" spans="1:6" x14ac:dyDescent="0.2">
      <c r="A176" s="42">
        <v>1</v>
      </c>
      <c r="B176" s="83" t="s">
        <v>2578</v>
      </c>
      <c r="C176" s="66" t="s">
        <v>1175</v>
      </c>
      <c r="D176" s="86" t="s">
        <v>32</v>
      </c>
      <c r="E176" s="86" t="s">
        <v>141</v>
      </c>
      <c r="F176" s="86" t="s">
        <v>2579</v>
      </c>
    </row>
    <row r="177" spans="1:6" x14ac:dyDescent="0.2">
      <c r="A177" s="42">
        <v>2</v>
      </c>
      <c r="B177" s="83" t="s">
        <v>2516</v>
      </c>
      <c r="C177" s="66" t="s">
        <v>314</v>
      </c>
      <c r="D177" s="86" t="s">
        <v>306</v>
      </c>
      <c r="E177" s="86" t="s">
        <v>189</v>
      </c>
      <c r="F177" s="86" t="s">
        <v>2580</v>
      </c>
    </row>
    <row r="178" spans="1:6" x14ac:dyDescent="0.2">
      <c r="A178" s="42">
        <v>3</v>
      </c>
      <c r="B178" s="83" t="s">
        <v>2495</v>
      </c>
      <c r="C178" s="66" t="s">
        <v>314</v>
      </c>
      <c r="D178" s="86" t="s">
        <v>300</v>
      </c>
      <c r="E178" s="86" t="s">
        <v>24</v>
      </c>
      <c r="F178" s="86" t="s">
        <v>2581</v>
      </c>
    </row>
  </sheetData>
  <mergeCells count="31">
    <mergeCell ref="A1:N1"/>
    <mergeCell ref="A2:N2"/>
    <mergeCell ref="A3:N3"/>
    <mergeCell ref="A4:A5"/>
    <mergeCell ref="B64:M64"/>
    <mergeCell ref="B4:B5"/>
    <mergeCell ref="C4:C5"/>
    <mergeCell ref="D4:D5"/>
    <mergeCell ref="E4:E5"/>
    <mergeCell ref="F4:F5"/>
    <mergeCell ref="G4:G5"/>
    <mergeCell ref="H4:K4"/>
    <mergeCell ref="L4:L5"/>
    <mergeCell ref="M4:M5"/>
    <mergeCell ref="N4:N5"/>
    <mergeCell ref="B23:M23"/>
    <mergeCell ref="B6:M6"/>
    <mergeCell ref="B9:M9"/>
    <mergeCell ref="B15:M15"/>
    <mergeCell ref="B18:M18"/>
    <mergeCell ref="B150:M150"/>
    <mergeCell ref="B28:M28"/>
    <mergeCell ref="B31:M31"/>
    <mergeCell ref="B35:M35"/>
    <mergeCell ref="B39:M39"/>
    <mergeCell ref="B43:M43"/>
    <mergeCell ref="B51:M51"/>
    <mergeCell ref="B146:M146"/>
    <mergeCell ref="B85:M85"/>
    <mergeCell ref="B109:M109"/>
    <mergeCell ref="B130:M130"/>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topLeftCell="B21" workbookViewId="0">
      <selection sqref="A1:N1"/>
    </sheetView>
  </sheetViews>
  <sheetFormatPr defaultColWidth="8.7109375" defaultRowHeight="12.75" x14ac:dyDescent="0.2"/>
  <cols>
    <col min="1" max="1" width="6.85546875" style="43" bestFit="1" customWidth="1"/>
    <col min="2" max="2" width="21.7109375" style="6" bestFit="1" customWidth="1"/>
    <col min="3" max="3" width="29.140625" style="6" bestFit="1" customWidth="1"/>
    <col min="4" max="4" width="8.5703125" style="6" bestFit="1" customWidth="1"/>
    <col min="5" max="5" width="7.5703125" style="6" bestFit="1" customWidth="1"/>
    <col min="6" max="6" width="19.140625" style="6" bestFit="1" customWidth="1"/>
    <col min="7" max="7" width="46.28515625" style="6" bestFit="1" customWidth="1"/>
    <col min="8" max="11" width="6.42578125" style="27" bestFit="1" customWidth="1"/>
    <col min="12" max="12" width="6.42578125" style="32" bestFit="1" customWidth="1"/>
    <col min="13" max="13" width="9.85546875" style="27" bestFit="1" customWidth="1"/>
    <col min="14" max="14" width="15.140625" style="6" bestFit="1" customWidth="1"/>
    <col min="258" max="258" width="27" bestFit="1" customWidth="1"/>
    <col min="259" max="259" width="26.85546875" bestFit="1" customWidth="1"/>
    <col min="260" max="260" width="7.7109375" bestFit="1" customWidth="1"/>
    <col min="261" max="261" width="6.7109375" bestFit="1" customWidth="1"/>
    <col min="262" max="262" width="17.28515625" bestFit="1" customWidth="1"/>
    <col min="263" max="263" width="36.5703125" bestFit="1" customWidth="1"/>
    <col min="264" max="267" width="5.5703125" bestFit="1" customWidth="1"/>
    <col min="268" max="268" width="6.7109375" bestFit="1" customWidth="1"/>
    <col min="269" max="269" width="8.5703125" bestFit="1" customWidth="1"/>
    <col min="270" max="270" width="27.5703125" bestFit="1" customWidth="1"/>
    <col min="514" max="514" width="27" bestFit="1" customWidth="1"/>
    <col min="515" max="515" width="26.85546875" bestFit="1" customWidth="1"/>
    <col min="516" max="516" width="7.7109375" bestFit="1" customWidth="1"/>
    <col min="517" max="517" width="6.7109375" bestFit="1" customWidth="1"/>
    <col min="518" max="518" width="17.28515625" bestFit="1" customWidth="1"/>
    <col min="519" max="519" width="36.5703125" bestFit="1" customWidth="1"/>
    <col min="520" max="523" width="5.5703125" bestFit="1" customWidth="1"/>
    <col min="524" max="524" width="6.7109375" bestFit="1" customWidth="1"/>
    <col min="525" max="525" width="8.5703125" bestFit="1" customWidth="1"/>
    <col min="526" max="526" width="27.5703125" bestFit="1" customWidth="1"/>
    <col min="770" max="770" width="27" bestFit="1" customWidth="1"/>
    <col min="771" max="771" width="26.85546875" bestFit="1" customWidth="1"/>
    <col min="772" max="772" width="7.7109375" bestFit="1" customWidth="1"/>
    <col min="773" max="773" width="6.7109375" bestFit="1" customWidth="1"/>
    <col min="774" max="774" width="17.28515625" bestFit="1" customWidth="1"/>
    <col min="775" max="775" width="36.5703125" bestFit="1" customWidth="1"/>
    <col min="776" max="779" width="5.5703125" bestFit="1" customWidth="1"/>
    <col min="780" max="780" width="6.7109375" bestFit="1" customWidth="1"/>
    <col min="781" max="781" width="8.5703125" bestFit="1" customWidth="1"/>
    <col min="782" max="782" width="27.5703125" bestFit="1" customWidth="1"/>
    <col min="1026" max="1026" width="27" bestFit="1" customWidth="1"/>
    <col min="1027" max="1027" width="26.85546875" bestFit="1" customWidth="1"/>
    <col min="1028" max="1028" width="7.7109375" bestFit="1" customWidth="1"/>
    <col min="1029" max="1029" width="6.7109375" bestFit="1" customWidth="1"/>
    <col min="1030" max="1030" width="17.28515625" bestFit="1" customWidth="1"/>
    <col min="1031" max="1031" width="36.5703125" bestFit="1" customWidth="1"/>
    <col min="1032" max="1035" width="5.5703125" bestFit="1" customWidth="1"/>
    <col min="1036" max="1036" width="6.7109375" bestFit="1" customWidth="1"/>
    <col min="1037" max="1037" width="8.5703125" bestFit="1" customWidth="1"/>
    <col min="1038" max="1038" width="27.5703125" bestFit="1" customWidth="1"/>
    <col min="1282" max="1282" width="27" bestFit="1" customWidth="1"/>
    <col min="1283" max="1283" width="26.85546875" bestFit="1" customWidth="1"/>
    <col min="1284" max="1284" width="7.7109375" bestFit="1" customWidth="1"/>
    <col min="1285" max="1285" width="6.7109375" bestFit="1" customWidth="1"/>
    <col min="1286" max="1286" width="17.28515625" bestFit="1" customWidth="1"/>
    <col min="1287" max="1287" width="36.5703125" bestFit="1" customWidth="1"/>
    <col min="1288" max="1291" width="5.5703125" bestFit="1" customWidth="1"/>
    <col min="1292" max="1292" width="6.7109375" bestFit="1" customWidth="1"/>
    <col min="1293" max="1293" width="8.5703125" bestFit="1" customWidth="1"/>
    <col min="1294" max="1294" width="27.5703125" bestFit="1" customWidth="1"/>
    <col min="1538" max="1538" width="27" bestFit="1" customWidth="1"/>
    <col min="1539" max="1539" width="26.85546875" bestFit="1" customWidth="1"/>
    <col min="1540" max="1540" width="7.7109375" bestFit="1" customWidth="1"/>
    <col min="1541" max="1541" width="6.7109375" bestFit="1" customWidth="1"/>
    <col min="1542" max="1542" width="17.28515625" bestFit="1" customWidth="1"/>
    <col min="1543" max="1543" width="36.5703125" bestFit="1" customWidth="1"/>
    <col min="1544" max="1547" width="5.5703125" bestFit="1" customWidth="1"/>
    <col min="1548" max="1548" width="6.7109375" bestFit="1" customWidth="1"/>
    <col min="1549" max="1549" width="8.5703125" bestFit="1" customWidth="1"/>
    <col min="1550" max="1550" width="27.5703125" bestFit="1" customWidth="1"/>
    <col min="1794" max="1794" width="27" bestFit="1" customWidth="1"/>
    <col min="1795" max="1795" width="26.85546875" bestFit="1" customWidth="1"/>
    <col min="1796" max="1796" width="7.7109375" bestFit="1" customWidth="1"/>
    <col min="1797" max="1797" width="6.7109375" bestFit="1" customWidth="1"/>
    <col min="1798" max="1798" width="17.28515625" bestFit="1" customWidth="1"/>
    <col min="1799" max="1799" width="36.5703125" bestFit="1" customWidth="1"/>
    <col min="1800" max="1803" width="5.5703125" bestFit="1" customWidth="1"/>
    <col min="1804" max="1804" width="6.7109375" bestFit="1" customWidth="1"/>
    <col min="1805" max="1805" width="8.5703125" bestFit="1" customWidth="1"/>
    <col min="1806" max="1806" width="27.5703125" bestFit="1" customWidth="1"/>
    <col min="2050" max="2050" width="27" bestFit="1" customWidth="1"/>
    <col min="2051" max="2051" width="26.85546875" bestFit="1" customWidth="1"/>
    <col min="2052" max="2052" width="7.7109375" bestFit="1" customWidth="1"/>
    <col min="2053" max="2053" width="6.7109375" bestFit="1" customWidth="1"/>
    <col min="2054" max="2054" width="17.28515625" bestFit="1" customWidth="1"/>
    <col min="2055" max="2055" width="36.5703125" bestFit="1" customWidth="1"/>
    <col min="2056" max="2059" width="5.5703125" bestFit="1" customWidth="1"/>
    <col min="2060" max="2060" width="6.7109375" bestFit="1" customWidth="1"/>
    <col min="2061" max="2061" width="8.5703125" bestFit="1" customWidth="1"/>
    <col min="2062" max="2062" width="27.5703125" bestFit="1" customWidth="1"/>
    <col min="2306" max="2306" width="27" bestFit="1" customWidth="1"/>
    <col min="2307" max="2307" width="26.85546875" bestFit="1" customWidth="1"/>
    <col min="2308" max="2308" width="7.7109375" bestFit="1" customWidth="1"/>
    <col min="2309" max="2309" width="6.7109375" bestFit="1" customWidth="1"/>
    <col min="2310" max="2310" width="17.28515625" bestFit="1" customWidth="1"/>
    <col min="2311" max="2311" width="36.5703125" bestFit="1" customWidth="1"/>
    <col min="2312" max="2315" width="5.5703125" bestFit="1" customWidth="1"/>
    <col min="2316" max="2316" width="6.7109375" bestFit="1" customWidth="1"/>
    <col min="2317" max="2317" width="8.5703125" bestFit="1" customWidth="1"/>
    <col min="2318" max="2318" width="27.5703125" bestFit="1" customWidth="1"/>
    <col min="2562" max="2562" width="27" bestFit="1" customWidth="1"/>
    <col min="2563" max="2563" width="26.85546875" bestFit="1" customWidth="1"/>
    <col min="2564" max="2564" width="7.7109375" bestFit="1" customWidth="1"/>
    <col min="2565" max="2565" width="6.7109375" bestFit="1" customWidth="1"/>
    <col min="2566" max="2566" width="17.28515625" bestFit="1" customWidth="1"/>
    <col min="2567" max="2567" width="36.5703125" bestFit="1" customWidth="1"/>
    <col min="2568" max="2571" width="5.5703125" bestFit="1" customWidth="1"/>
    <col min="2572" max="2572" width="6.7109375" bestFit="1" customWidth="1"/>
    <col min="2573" max="2573" width="8.5703125" bestFit="1" customWidth="1"/>
    <col min="2574" max="2574" width="27.5703125" bestFit="1" customWidth="1"/>
    <col min="2818" max="2818" width="27" bestFit="1" customWidth="1"/>
    <col min="2819" max="2819" width="26.85546875" bestFit="1" customWidth="1"/>
    <col min="2820" max="2820" width="7.7109375" bestFit="1" customWidth="1"/>
    <col min="2821" max="2821" width="6.7109375" bestFit="1" customWidth="1"/>
    <col min="2822" max="2822" width="17.28515625" bestFit="1" customWidth="1"/>
    <col min="2823" max="2823" width="36.5703125" bestFit="1" customWidth="1"/>
    <col min="2824" max="2827" width="5.5703125" bestFit="1" customWidth="1"/>
    <col min="2828" max="2828" width="6.7109375" bestFit="1" customWidth="1"/>
    <col min="2829" max="2829" width="8.5703125" bestFit="1" customWidth="1"/>
    <col min="2830" max="2830" width="27.5703125" bestFit="1" customWidth="1"/>
    <col min="3074" max="3074" width="27" bestFit="1" customWidth="1"/>
    <col min="3075" max="3075" width="26.85546875" bestFit="1" customWidth="1"/>
    <col min="3076" max="3076" width="7.7109375" bestFit="1" customWidth="1"/>
    <col min="3077" max="3077" width="6.7109375" bestFit="1" customWidth="1"/>
    <col min="3078" max="3078" width="17.28515625" bestFit="1" customWidth="1"/>
    <col min="3079" max="3079" width="36.5703125" bestFit="1" customWidth="1"/>
    <col min="3080" max="3083" width="5.5703125" bestFit="1" customWidth="1"/>
    <col min="3084" max="3084" width="6.7109375" bestFit="1" customWidth="1"/>
    <col min="3085" max="3085" width="8.5703125" bestFit="1" customWidth="1"/>
    <col min="3086" max="3086" width="27.5703125" bestFit="1" customWidth="1"/>
    <col min="3330" max="3330" width="27" bestFit="1" customWidth="1"/>
    <col min="3331" max="3331" width="26.85546875" bestFit="1" customWidth="1"/>
    <col min="3332" max="3332" width="7.7109375" bestFit="1" customWidth="1"/>
    <col min="3333" max="3333" width="6.7109375" bestFit="1" customWidth="1"/>
    <col min="3334" max="3334" width="17.28515625" bestFit="1" customWidth="1"/>
    <col min="3335" max="3335" width="36.5703125" bestFit="1" customWidth="1"/>
    <col min="3336" max="3339" width="5.5703125" bestFit="1" customWidth="1"/>
    <col min="3340" max="3340" width="6.7109375" bestFit="1" customWidth="1"/>
    <col min="3341" max="3341" width="8.5703125" bestFit="1" customWidth="1"/>
    <col min="3342" max="3342" width="27.5703125" bestFit="1" customWidth="1"/>
    <col min="3586" max="3586" width="27" bestFit="1" customWidth="1"/>
    <col min="3587" max="3587" width="26.85546875" bestFit="1" customWidth="1"/>
    <col min="3588" max="3588" width="7.7109375" bestFit="1" customWidth="1"/>
    <col min="3589" max="3589" width="6.7109375" bestFit="1" customWidth="1"/>
    <col min="3590" max="3590" width="17.28515625" bestFit="1" customWidth="1"/>
    <col min="3591" max="3591" width="36.5703125" bestFit="1" customWidth="1"/>
    <col min="3592" max="3595" width="5.5703125" bestFit="1" customWidth="1"/>
    <col min="3596" max="3596" width="6.7109375" bestFit="1" customWidth="1"/>
    <col min="3597" max="3597" width="8.5703125" bestFit="1" customWidth="1"/>
    <col min="3598" max="3598" width="27.5703125" bestFit="1" customWidth="1"/>
    <col min="3842" max="3842" width="27" bestFit="1" customWidth="1"/>
    <col min="3843" max="3843" width="26.85546875" bestFit="1" customWidth="1"/>
    <col min="3844" max="3844" width="7.7109375" bestFit="1" customWidth="1"/>
    <col min="3845" max="3845" width="6.7109375" bestFit="1" customWidth="1"/>
    <col min="3846" max="3846" width="17.28515625" bestFit="1" customWidth="1"/>
    <col min="3847" max="3847" width="36.5703125" bestFit="1" customWidth="1"/>
    <col min="3848" max="3851" width="5.5703125" bestFit="1" customWidth="1"/>
    <col min="3852" max="3852" width="6.7109375" bestFit="1" customWidth="1"/>
    <col min="3853" max="3853" width="8.5703125" bestFit="1" customWidth="1"/>
    <col min="3854" max="3854" width="27.5703125" bestFit="1" customWidth="1"/>
    <col min="4098" max="4098" width="27" bestFit="1" customWidth="1"/>
    <col min="4099" max="4099" width="26.85546875" bestFit="1" customWidth="1"/>
    <col min="4100" max="4100" width="7.7109375" bestFit="1" customWidth="1"/>
    <col min="4101" max="4101" width="6.7109375" bestFit="1" customWidth="1"/>
    <col min="4102" max="4102" width="17.28515625" bestFit="1" customWidth="1"/>
    <col min="4103" max="4103" width="36.5703125" bestFit="1" customWidth="1"/>
    <col min="4104" max="4107" width="5.5703125" bestFit="1" customWidth="1"/>
    <col min="4108" max="4108" width="6.7109375" bestFit="1" customWidth="1"/>
    <col min="4109" max="4109" width="8.5703125" bestFit="1" customWidth="1"/>
    <col min="4110" max="4110" width="27.5703125" bestFit="1" customWidth="1"/>
    <col min="4354" max="4354" width="27" bestFit="1" customWidth="1"/>
    <col min="4355" max="4355" width="26.85546875" bestFit="1" customWidth="1"/>
    <col min="4356" max="4356" width="7.7109375" bestFit="1" customWidth="1"/>
    <col min="4357" max="4357" width="6.7109375" bestFit="1" customWidth="1"/>
    <col min="4358" max="4358" width="17.28515625" bestFit="1" customWidth="1"/>
    <col min="4359" max="4359" width="36.5703125" bestFit="1" customWidth="1"/>
    <col min="4360" max="4363" width="5.5703125" bestFit="1" customWidth="1"/>
    <col min="4364" max="4364" width="6.7109375" bestFit="1" customWidth="1"/>
    <col min="4365" max="4365" width="8.5703125" bestFit="1" customWidth="1"/>
    <col min="4366" max="4366" width="27.5703125" bestFit="1" customWidth="1"/>
    <col min="4610" max="4610" width="27" bestFit="1" customWidth="1"/>
    <col min="4611" max="4611" width="26.85546875" bestFit="1" customWidth="1"/>
    <col min="4612" max="4612" width="7.7109375" bestFit="1" customWidth="1"/>
    <col min="4613" max="4613" width="6.7109375" bestFit="1" customWidth="1"/>
    <col min="4614" max="4614" width="17.28515625" bestFit="1" customWidth="1"/>
    <col min="4615" max="4615" width="36.5703125" bestFit="1" customWidth="1"/>
    <col min="4616" max="4619" width="5.5703125" bestFit="1" customWidth="1"/>
    <col min="4620" max="4620" width="6.7109375" bestFit="1" customWidth="1"/>
    <col min="4621" max="4621" width="8.5703125" bestFit="1" customWidth="1"/>
    <col min="4622" max="4622" width="27.5703125" bestFit="1" customWidth="1"/>
    <col min="4866" max="4866" width="27" bestFit="1" customWidth="1"/>
    <col min="4867" max="4867" width="26.85546875" bestFit="1" customWidth="1"/>
    <col min="4868" max="4868" width="7.7109375" bestFit="1" customWidth="1"/>
    <col min="4869" max="4869" width="6.7109375" bestFit="1" customWidth="1"/>
    <col min="4870" max="4870" width="17.28515625" bestFit="1" customWidth="1"/>
    <col min="4871" max="4871" width="36.5703125" bestFit="1" customWidth="1"/>
    <col min="4872" max="4875" width="5.5703125" bestFit="1" customWidth="1"/>
    <col min="4876" max="4876" width="6.7109375" bestFit="1" customWidth="1"/>
    <col min="4877" max="4877" width="8.5703125" bestFit="1" customWidth="1"/>
    <col min="4878" max="4878" width="27.5703125" bestFit="1" customWidth="1"/>
    <col min="5122" max="5122" width="27" bestFit="1" customWidth="1"/>
    <col min="5123" max="5123" width="26.85546875" bestFit="1" customWidth="1"/>
    <col min="5124" max="5124" width="7.7109375" bestFit="1" customWidth="1"/>
    <col min="5125" max="5125" width="6.7109375" bestFit="1" customWidth="1"/>
    <col min="5126" max="5126" width="17.28515625" bestFit="1" customWidth="1"/>
    <col min="5127" max="5127" width="36.5703125" bestFit="1" customWidth="1"/>
    <col min="5128" max="5131" width="5.5703125" bestFit="1" customWidth="1"/>
    <col min="5132" max="5132" width="6.7109375" bestFit="1" customWidth="1"/>
    <col min="5133" max="5133" width="8.5703125" bestFit="1" customWidth="1"/>
    <col min="5134" max="5134" width="27.5703125" bestFit="1" customWidth="1"/>
    <col min="5378" max="5378" width="27" bestFit="1" customWidth="1"/>
    <col min="5379" max="5379" width="26.85546875" bestFit="1" customWidth="1"/>
    <col min="5380" max="5380" width="7.7109375" bestFit="1" customWidth="1"/>
    <col min="5381" max="5381" width="6.7109375" bestFit="1" customWidth="1"/>
    <col min="5382" max="5382" width="17.28515625" bestFit="1" customWidth="1"/>
    <col min="5383" max="5383" width="36.5703125" bestFit="1" customWidth="1"/>
    <col min="5384" max="5387" width="5.5703125" bestFit="1" customWidth="1"/>
    <col min="5388" max="5388" width="6.7109375" bestFit="1" customWidth="1"/>
    <col min="5389" max="5389" width="8.5703125" bestFit="1" customWidth="1"/>
    <col min="5390" max="5390" width="27.5703125" bestFit="1" customWidth="1"/>
    <col min="5634" max="5634" width="27" bestFit="1" customWidth="1"/>
    <col min="5635" max="5635" width="26.85546875" bestFit="1" customWidth="1"/>
    <col min="5636" max="5636" width="7.7109375" bestFit="1" customWidth="1"/>
    <col min="5637" max="5637" width="6.7109375" bestFit="1" customWidth="1"/>
    <col min="5638" max="5638" width="17.28515625" bestFit="1" customWidth="1"/>
    <col min="5639" max="5639" width="36.5703125" bestFit="1" customWidth="1"/>
    <col min="5640" max="5643" width="5.5703125" bestFit="1" customWidth="1"/>
    <col min="5644" max="5644" width="6.7109375" bestFit="1" customWidth="1"/>
    <col min="5645" max="5645" width="8.5703125" bestFit="1" customWidth="1"/>
    <col min="5646" max="5646" width="27.5703125" bestFit="1" customWidth="1"/>
    <col min="5890" max="5890" width="27" bestFit="1" customWidth="1"/>
    <col min="5891" max="5891" width="26.85546875" bestFit="1" customWidth="1"/>
    <col min="5892" max="5892" width="7.7109375" bestFit="1" customWidth="1"/>
    <col min="5893" max="5893" width="6.7109375" bestFit="1" customWidth="1"/>
    <col min="5894" max="5894" width="17.28515625" bestFit="1" customWidth="1"/>
    <col min="5895" max="5895" width="36.5703125" bestFit="1" customWidth="1"/>
    <col min="5896" max="5899" width="5.5703125" bestFit="1" customWidth="1"/>
    <col min="5900" max="5900" width="6.7109375" bestFit="1" customWidth="1"/>
    <col min="5901" max="5901" width="8.5703125" bestFit="1" customWidth="1"/>
    <col min="5902" max="5902" width="27.5703125" bestFit="1" customWidth="1"/>
    <col min="6146" max="6146" width="27" bestFit="1" customWidth="1"/>
    <col min="6147" max="6147" width="26.85546875" bestFit="1" customWidth="1"/>
    <col min="6148" max="6148" width="7.7109375" bestFit="1" customWidth="1"/>
    <col min="6149" max="6149" width="6.7109375" bestFit="1" customWidth="1"/>
    <col min="6150" max="6150" width="17.28515625" bestFit="1" customWidth="1"/>
    <col min="6151" max="6151" width="36.5703125" bestFit="1" customWidth="1"/>
    <col min="6152" max="6155" width="5.5703125" bestFit="1" customWidth="1"/>
    <col min="6156" max="6156" width="6.7109375" bestFit="1" customWidth="1"/>
    <col min="6157" max="6157" width="8.5703125" bestFit="1" customWidth="1"/>
    <col min="6158" max="6158" width="27.5703125" bestFit="1" customWidth="1"/>
    <col min="6402" max="6402" width="27" bestFit="1" customWidth="1"/>
    <col min="6403" max="6403" width="26.85546875" bestFit="1" customWidth="1"/>
    <col min="6404" max="6404" width="7.7109375" bestFit="1" customWidth="1"/>
    <col min="6405" max="6405" width="6.7109375" bestFit="1" customWidth="1"/>
    <col min="6406" max="6406" width="17.28515625" bestFit="1" customWidth="1"/>
    <col min="6407" max="6407" width="36.5703125" bestFit="1" customWidth="1"/>
    <col min="6408" max="6411" width="5.5703125" bestFit="1" customWidth="1"/>
    <col min="6412" max="6412" width="6.7109375" bestFit="1" customWidth="1"/>
    <col min="6413" max="6413" width="8.5703125" bestFit="1" customWidth="1"/>
    <col min="6414" max="6414" width="27.5703125" bestFit="1" customWidth="1"/>
    <col min="6658" max="6658" width="27" bestFit="1" customWidth="1"/>
    <col min="6659" max="6659" width="26.85546875" bestFit="1" customWidth="1"/>
    <col min="6660" max="6660" width="7.7109375" bestFit="1" customWidth="1"/>
    <col min="6661" max="6661" width="6.7109375" bestFit="1" customWidth="1"/>
    <col min="6662" max="6662" width="17.28515625" bestFit="1" customWidth="1"/>
    <col min="6663" max="6663" width="36.5703125" bestFit="1" customWidth="1"/>
    <col min="6664" max="6667" width="5.5703125" bestFit="1" customWidth="1"/>
    <col min="6668" max="6668" width="6.7109375" bestFit="1" customWidth="1"/>
    <col min="6669" max="6669" width="8.5703125" bestFit="1" customWidth="1"/>
    <col min="6670" max="6670" width="27.5703125" bestFit="1" customWidth="1"/>
    <col min="6914" max="6914" width="27" bestFit="1" customWidth="1"/>
    <col min="6915" max="6915" width="26.85546875" bestFit="1" customWidth="1"/>
    <col min="6916" max="6916" width="7.7109375" bestFit="1" customWidth="1"/>
    <col min="6917" max="6917" width="6.7109375" bestFit="1" customWidth="1"/>
    <col min="6918" max="6918" width="17.28515625" bestFit="1" customWidth="1"/>
    <col min="6919" max="6919" width="36.5703125" bestFit="1" customWidth="1"/>
    <col min="6920" max="6923" width="5.5703125" bestFit="1" customWidth="1"/>
    <col min="6924" max="6924" width="6.7109375" bestFit="1" customWidth="1"/>
    <col min="6925" max="6925" width="8.5703125" bestFit="1" customWidth="1"/>
    <col min="6926" max="6926" width="27.5703125" bestFit="1" customWidth="1"/>
    <col min="7170" max="7170" width="27" bestFit="1" customWidth="1"/>
    <col min="7171" max="7171" width="26.85546875" bestFit="1" customWidth="1"/>
    <col min="7172" max="7172" width="7.7109375" bestFit="1" customWidth="1"/>
    <col min="7173" max="7173" width="6.7109375" bestFit="1" customWidth="1"/>
    <col min="7174" max="7174" width="17.28515625" bestFit="1" customWidth="1"/>
    <col min="7175" max="7175" width="36.5703125" bestFit="1" customWidth="1"/>
    <col min="7176" max="7179" width="5.5703125" bestFit="1" customWidth="1"/>
    <col min="7180" max="7180" width="6.7109375" bestFit="1" customWidth="1"/>
    <col min="7181" max="7181" width="8.5703125" bestFit="1" customWidth="1"/>
    <col min="7182" max="7182" width="27.5703125" bestFit="1" customWidth="1"/>
    <col min="7426" max="7426" width="27" bestFit="1" customWidth="1"/>
    <col min="7427" max="7427" width="26.85546875" bestFit="1" customWidth="1"/>
    <col min="7428" max="7428" width="7.7109375" bestFit="1" customWidth="1"/>
    <col min="7429" max="7429" width="6.7109375" bestFit="1" customWidth="1"/>
    <col min="7430" max="7430" width="17.28515625" bestFit="1" customWidth="1"/>
    <col min="7431" max="7431" width="36.5703125" bestFit="1" customWidth="1"/>
    <col min="7432" max="7435" width="5.5703125" bestFit="1" customWidth="1"/>
    <col min="7436" max="7436" width="6.7109375" bestFit="1" customWidth="1"/>
    <col min="7437" max="7437" width="8.5703125" bestFit="1" customWidth="1"/>
    <col min="7438" max="7438" width="27.5703125" bestFit="1" customWidth="1"/>
    <col min="7682" max="7682" width="27" bestFit="1" customWidth="1"/>
    <col min="7683" max="7683" width="26.85546875" bestFit="1" customWidth="1"/>
    <col min="7684" max="7684" width="7.7109375" bestFit="1" customWidth="1"/>
    <col min="7685" max="7685" width="6.7109375" bestFit="1" customWidth="1"/>
    <col min="7686" max="7686" width="17.28515625" bestFit="1" customWidth="1"/>
    <col min="7687" max="7687" width="36.5703125" bestFit="1" customWidth="1"/>
    <col min="7688" max="7691" width="5.5703125" bestFit="1" customWidth="1"/>
    <col min="7692" max="7692" width="6.7109375" bestFit="1" customWidth="1"/>
    <col min="7693" max="7693" width="8.5703125" bestFit="1" customWidth="1"/>
    <col min="7694" max="7694" width="27.5703125" bestFit="1" customWidth="1"/>
    <col min="7938" max="7938" width="27" bestFit="1" customWidth="1"/>
    <col min="7939" max="7939" width="26.85546875" bestFit="1" customWidth="1"/>
    <col min="7940" max="7940" width="7.7109375" bestFit="1" customWidth="1"/>
    <col min="7941" max="7941" width="6.7109375" bestFit="1" customWidth="1"/>
    <col min="7942" max="7942" width="17.28515625" bestFit="1" customWidth="1"/>
    <col min="7943" max="7943" width="36.5703125" bestFit="1" customWidth="1"/>
    <col min="7944" max="7947" width="5.5703125" bestFit="1" customWidth="1"/>
    <col min="7948" max="7948" width="6.7109375" bestFit="1" customWidth="1"/>
    <col min="7949" max="7949" width="8.5703125" bestFit="1" customWidth="1"/>
    <col min="7950" max="7950" width="27.5703125" bestFit="1" customWidth="1"/>
    <col min="8194" max="8194" width="27" bestFit="1" customWidth="1"/>
    <col min="8195" max="8195" width="26.85546875" bestFit="1" customWidth="1"/>
    <col min="8196" max="8196" width="7.7109375" bestFit="1" customWidth="1"/>
    <col min="8197" max="8197" width="6.7109375" bestFit="1" customWidth="1"/>
    <col min="8198" max="8198" width="17.28515625" bestFit="1" customWidth="1"/>
    <col min="8199" max="8199" width="36.5703125" bestFit="1" customWidth="1"/>
    <col min="8200" max="8203" width="5.5703125" bestFit="1" customWidth="1"/>
    <col min="8204" max="8204" width="6.7109375" bestFit="1" customWidth="1"/>
    <col min="8205" max="8205" width="8.5703125" bestFit="1" customWidth="1"/>
    <col min="8206" max="8206" width="27.5703125" bestFit="1" customWidth="1"/>
    <col min="8450" max="8450" width="27" bestFit="1" customWidth="1"/>
    <col min="8451" max="8451" width="26.85546875" bestFit="1" customWidth="1"/>
    <col min="8452" max="8452" width="7.7109375" bestFit="1" customWidth="1"/>
    <col min="8453" max="8453" width="6.7109375" bestFit="1" customWidth="1"/>
    <col min="8454" max="8454" width="17.28515625" bestFit="1" customWidth="1"/>
    <col min="8455" max="8455" width="36.5703125" bestFit="1" customWidth="1"/>
    <col min="8456" max="8459" width="5.5703125" bestFit="1" customWidth="1"/>
    <col min="8460" max="8460" width="6.7109375" bestFit="1" customWidth="1"/>
    <col min="8461" max="8461" width="8.5703125" bestFit="1" customWidth="1"/>
    <col min="8462" max="8462" width="27.5703125" bestFit="1" customWidth="1"/>
    <col min="8706" max="8706" width="27" bestFit="1" customWidth="1"/>
    <col min="8707" max="8707" width="26.85546875" bestFit="1" customWidth="1"/>
    <col min="8708" max="8708" width="7.7109375" bestFit="1" customWidth="1"/>
    <col min="8709" max="8709" width="6.7109375" bestFit="1" customWidth="1"/>
    <col min="8710" max="8710" width="17.28515625" bestFit="1" customWidth="1"/>
    <col min="8711" max="8711" width="36.5703125" bestFit="1" customWidth="1"/>
    <col min="8712" max="8715" width="5.5703125" bestFit="1" customWidth="1"/>
    <col min="8716" max="8716" width="6.7109375" bestFit="1" customWidth="1"/>
    <col min="8717" max="8717" width="8.5703125" bestFit="1" customWidth="1"/>
    <col min="8718" max="8718" width="27.5703125" bestFit="1" customWidth="1"/>
    <col min="8962" max="8962" width="27" bestFit="1" customWidth="1"/>
    <col min="8963" max="8963" width="26.85546875" bestFit="1" customWidth="1"/>
    <col min="8964" max="8964" width="7.7109375" bestFit="1" customWidth="1"/>
    <col min="8965" max="8965" width="6.7109375" bestFit="1" customWidth="1"/>
    <col min="8966" max="8966" width="17.28515625" bestFit="1" customWidth="1"/>
    <col min="8967" max="8967" width="36.5703125" bestFit="1" customWidth="1"/>
    <col min="8968" max="8971" width="5.5703125" bestFit="1" customWidth="1"/>
    <col min="8972" max="8972" width="6.7109375" bestFit="1" customWidth="1"/>
    <col min="8973" max="8973" width="8.5703125" bestFit="1" customWidth="1"/>
    <col min="8974" max="8974" width="27.5703125" bestFit="1" customWidth="1"/>
    <col min="9218" max="9218" width="27" bestFit="1" customWidth="1"/>
    <col min="9219" max="9219" width="26.85546875" bestFit="1" customWidth="1"/>
    <col min="9220" max="9220" width="7.7109375" bestFit="1" customWidth="1"/>
    <col min="9221" max="9221" width="6.7109375" bestFit="1" customWidth="1"/>
    <col min="9222" max="9222" width="17.28515625" bestFit="1" customWidth="1"/>
    <col min="9223" max="9223" width="36.5703125" bestFit="1" customWidth="1"/>
    <col min="9224" max="9227" width="5.5703125" bestFit="1" customWidth="1"/>
    <col min="9228" max="9228" width="6.7109375" bestFit="1" customWidth="1"/>
    <col min="9229" max="9229" width="8.5703125" bestFit="1" customWidth="1"/>
    <col min="9230" max="9230" width="27.5703125" bestFit="1" customWidth="1"/>
    <col min="9474" max="9474" width="27" bestFit="1" customWidth="1"/>
    <col min="9475" max="9475" width="26.85546875" bestFit="1" customWidth="1"/>
    <col min="9476" max="9476" width="7.7109375" bestFit="1" customWidth="1"/>
    <col min="9477" max="9477" width="6.7109375" bestFit="1" customWidth="1"/>
    <col min="9478" max="9478" width="17.28515625" bestFit="1" customWidth="1"/>
    <col min="9479" max="9479" width="36.5703125" bestFit="1" customWidth="1"/>
    <col min="9480" max="9483" width="5.5703125" bestFit="1" customWidth="1"/>
    <col min="9484" max="9484" width="6.7109375" bestFit="1" customWidth="1"/>
    <col min="9485" max="9485" width="8.5703125" bestFit="1" customWidth="1"/>
    <col min="9486" max="9486" width="27.5703125" bestFit="1" customWidth="1"/>
    <col min="9730" max="9730" width="27" bestFit="1" customWidth="1"/>
    <col min="9731" max="9731" width="26.85546875" bestFit="1" customWidth="1"/>
    <col min="9732" max="9732" width="7.7109375" bestFit="1" customWidth="1"/>
    <col min="9733" max="9733" width="6.7109375" bestFit="1" customWidth="1"/>
    <col min="9734" max="9734" width="17.28515625" bestFit="1" customWidth="1"/>
    <col min="9735" max="9735" width="36.5703125" bestFit="1" customWidth="1"/>
    <col min="9736" max="9739" width="5.5703125" bestFit="1" customWidth="1"/>
    <col min="9740" max="9740" width="6.7109375" bestFit="1" customWidth="1"/>
    <col min="9741" max="9741" width="8.5703125" bestFit="1" customWidth="1"/>
    <col min="9742" max="9742" width="27.5703125" bestFit="1" customWidth="1"/>
    <col min="9986" max="9986" width="27" bestFit="1" customWidth="1"/>
    <col min="9987" max="9987" width="26.85546875" bestFit="1" customWidth="1"/>
    <col min="9988" max="9988" width="7.7109375" bestFit="1" customWidth="1"/>
    <col min="9989" max="9989" width="6.7109375" bestFit="1" customWidth="1"/>
    <col min="9990" max="9990" width="17.28515625" bestFit="1" customWidth="1"/>
    <col min="9991" max="9991" width="36.5703125" bestFit="1" customWidth="1"/>
    <col min="9992" max="9995" width="5.5703125" bestFit="1" customWidth="1"/>
    <col min="9996" max="9996" width="6.7109375" bestFit="1" customWidth="1"/>
    <col min="9997" max="9997" width="8.5703125" bestFit="1" customWidth="1"/>
    <col min="9998" max="9998" width="27.5703125" bestFit="1" customWidth="1"/>
    <col min="10242" max="10242" width="27" bestFit="1" customWidth="1"/>
    <col min="10243" max="10243" width="26.85546875" bestFit="1" customWidth="1"/>
    <col min="10244" max="10244" width="7.7109375" bestFit="1" customWidth="1"/>
    <col min="10245" max="10245" width="6.7109375" bestFit="1" customWidth="1"/>
    <col min="10246" max="10246" width="17.28515625" bestFit="1" customWidth="1"/>
    <col min="10247" max="10247" width="36.5703125" bestFit="1" customWidth="1"/>
    <col min="10248" max="10251" width="5.5703125" bestFit="1" customWidth="1"/>
    <col min="10252" max="10252" width="6.7109375" bestFit="1" customWidth="1"/>
    <col min="10253" max="10253" width="8.5703125" bestFit="1" customWidth="1"/>
    <col min="10254" max="10254" width="27.5703125" bestFit="1" customWidth="1"/>
    <col min="10498" max="10498" width="27" bestFit="1" customWidth="1"/>
    <col min="10499" max="10499" width="26.85546875" bestFit="1" customWidth="1"/>
    <col min="10500" max="10500" width="7.7109375" bestFit="1" customWidth="1"/>
    <col min="10501" max="10501" width="6.7109375" bestFit="1" customWidth="1"/>
    <col min="10502" max="10502" width="17.28515625" bestFit="1" customWidth="1"/>
    <col min="10503" max="10503" width="36.5703125" bestFit="1" customWidth="1"/>
    <col min="10504" max="10507" width="5.5703125" bestFit="1" customWidth="1"/>
    <col min="10508" max="10508" width="6.7109375" bestFit="1" customWidth="1"/>
    <col min="10509" max="10509" width="8.5703125" bestFit="1" customWidth="1"/>
    <col min="10510" max="10510" width="27.5703125" bestFit="1" customWidth="1"/>
    <col min="10754" max="10754" width="27" bestFit="1" customWidth="1"/>
    <col min="10755" max="10755" width="26.85546875" bestFit="1" customWidth="1"/>
    <col min="10756" max="10756" width="7.7109375" bestFit="1" customWidth="1"/>
    <col min="10757" max="10757" width="6.7109375" bestFit="1" customWidth="1"/>
    <col min="10758" max="10758" width="17.28515625" bestFit="1" customWidth="1"/>
    <col min="10759" max="10759" width="36.5703125" bestFit="1" customWidth="1"/>
    <col min="10760" max="10763" width="5.5703125" bestFit="1" customWidth="1"/>
    <col min="10764" max="10764" width="6.7109375" bestFit="1" customWidth="1"/>
    <col min="10765" max="10765" width="8.5703125" bestFit="1" customWidth="1"/>
    <col min="10766" max="10766" width="27.5703125" bestFit="1" customWidth="1"/>
    <col min="11010" max="11010" width="27" bestFit="1" customWidth="1"/>
    <col min="11011" max="11011" width="26.85546875" bestFit="1" customWidth="1"/>
    <col min="11012" max="11012" width="7.7109375" bestFit="1" customWidth="1"/>
    <col min="11013" max="11013" width="6.7109375" bestFit="1" customWidth="1"/>
    <col min="11014" max="11014" width="17.28515625" bestFit="1" customWidth="1"/>
    <col min="11015" max="11015" width="36.5703125" bestFit="1" customWidth="1"/>
    <col min="11016" max="11019" width="5.5703125" bestFit="1" customWidth="1"/>
    <col min="11020" max="11020" width="6.7109375" bestFit="1" customWidth="1"/>
    <col min="11021" max="11021" width="8.5703125" bestFit="1" customWidth="1"/>
    <col min="11022" max="11022" width="27.5703125" bestFit="1" customWidth="1"/>
    <col min="11266" max="11266" width="27" bestFit="1" customWidth="1"/>
    <col min="11267" max="11267" width="26.85546875" bestFit="1" customWidth="1"/>
    <col min="11268" max="11268" width="7.7109375" bestFit="1" customWidth="1"/>
    <col min="11269" max="11269" width="6.7109375" bestFit="1" customWidth="1"/>
    <col min="11270" max="11270" width="17.28515625" bestFit="1" customWidth="1"/>
    <col min="11271" max="11271" width="36.5703125" bestFit="1" customWidth="1"/>
    <col min="11272" max="11275" width="5.5703125" bestFit="1" customWidth="1"/>
    <col min="11276" max="11276" width="6.7109375" bestFit="1" customWidth="1"/>
    <col min="11277" max="11277" width="8.5703125" bestFit="1" customWidth="1"/>
    <col min="11278" max="11278" width="27.5703125" bestFit="1" customWidth="1"/>
    <col min="11522" max="11522" width="27" bestFit="1" customWidth="1"/>
    <col min="11523" max="11523" width="26.85546875" bestFit="1" customWidth="1"/>
    <col min="11524" max="11524" width="7.7109375" bestFit="1" customWidth="1"/>
    <col min="11525" max="11525" width="6.7109375" bestFit="1" customWidth="1"/>
    <col min="11526" max="11526" width="17.28515625" bestFit="1" customWidth="1"/>
    <col min="11527" max="11527" width="36.5703125" bestFit="1" customWidth="1"/>
    <col min="11528" max="11531" width="5.5703125" bestFit="1" customWidth="1"/>
    <col min="11532" max="11532" width="6.7109375" bestFit="1" customWidth="1"/>
    <col min="11533" max="11533" width="8.5703125" bestFit="1" customWidth="1"/>
    <col min="11534" max="11534" width="27.5703125" bestFit="1" customWidth="1"/>
    <col min="11778" max="11778" width="27" bestFit="1" customWidth="1"/>
    <col min="11779" max="11779" width="26.85546875" bestFit="1" customWidth="1"/>
    <col min="11780" max="11780" width="7.7109375" bestFit="1" customWidth="1"/>
    <col min="11781" max="11781" width="6.7109375" bestFit="1" customWidth="1"/>
    <col min="11782" max="11782" width="17.28515625" bestFit="1" customWidth="1"/>
    <col min="11783" max="11783" width="36.5703125" bestFit="1" customWidth="1"/>
    <col min="11784" max="11787" width="5.5703125" bestFit="1" customWidth="1"/>
    <col min="11788" max="11788" width="6.7109375" bestFit="1" customWidth="1"/>
    <col min="11789" max="11789" width="8.5703125" bestFit="1" customWidth="1"/>
    <col min="11790" max="11790" width="27.5703125" bestFit="1" customWidth="1"/>
    <col min="12034" max="12034" width="27" bestFit="1" customWidth="1"/>
    <col min="12035" max="12035" width="26.85546875" bestFit="1" customWidth="1"/>
    <col min="12036" max="12036" width="7.7109375" bestFit="1" customWidth="1"/>
    <col min="12037" max="12037" width="6.7109375" bestFit="1" customWidth="1"/>
    <col min="12038" max="12038" width="17.28515625" bestFit="1" customWidth="1"/>
    <col min="12039" max="12039" width="36.5703125" bestFit="1" customWidth="1"/>
    <col min="12040" max="12043" width="5.5703125" bestFit="1" customWidth="1"/>
    <col min="12044" max="12044" width="6.7109375" bestFit="1" customWidth="1"/>
    <col min="12045" max="12045" width="8.5703125" bestFit="1" customWidth="1"/>
    <col min="12046" max="12046" width="27.5703125" bestFit="1" customWidth="1"/>
    <col min="12290" max="12290" width="27" bestFit="1" customWidth="1"/>
    <col min="12291" max="12291" width="26.85546875" bestFit="1" customWidth="1"/>
    <col min="12292" max="12292" width="7.7109375" bestFit="1" customWidth="1"/>
    <col min="12293" max="12293" width="6.7109375" bestFit="1" customWidth="1"/>
    <col min="12294" max="12294" width="17.28515625" bestFit="1" customWidth="1"/>
    <col min="12295" max="12295" width="36.5703125" bestFit="1" customWidth="1"/>
    <col min="12296" max="12299" width="5.5703125" bestFit="1" customWidth="1"/>
    <col min="12300" max="12300" width="6.7109375" bestFit="1" customWidth="1"/>
    <col min="12301" max="12301" width="8.5703125" bestFit="1" customWidth="1"/>
    <col min="12302" max="12302" width="27.5703125" bestFit="1" customWidth="1"/>
    <col min="12546" max="12546" width="27" bestFit="1" customWidth="1"/>
    <col min="12547" max="12547" width="26.85546875" bestFit="1" customWidth="1"/>
    <col min="12548" max="12548" width="7.7109375" bestFit="1" customWidth="1"/>
    <col min="12549" max="12549" width="6.7109375" bestFit="1" customWidth="1"/>
    <col min="12550" max="12550" width="17.28515625" bestFit="1" customWidth="1"/>
    <col min="12551" max="12551" width="36.5703125" bestFit="1" customWidth="1"/>
    <col min="12552" max="12555" width="5.5703125" bestFit="1" customWidth="1"/>
    <col min="12556" max="12556" width="6.7109375" bestFit="1" customWidth="1"/>
    <col min="12557" max="12557" width="8.5703125" bestFit="1" customWidth="1"/>
    <col min="12558" max="12558" width="27.5703125" bestFit="1" customWidth="1"/>
    <col min="12802" max="12802" width="27" bestFit="1" customWidth="1"/>
    <col min="12803" max="12803" width="26.85546875" bestFit="1" customWidth="1"/>
    <col min="12804" max="12804" width="7.7109375" bestFit="1" customWidth="1"/>
    <col min="12805" max="12805" width="6.7109375" bestFit="1" customWidth="1"/>
    <col min="12806" max="12806" width="17.28515625" bestFit="1" customWidth="1"/>
    <col min="12807" max="12807" width="36.5703125" bestFit="1" customWidth="1"/>
    <col min="12808" max="12811" width="5.5703125" bestFit="1" customWidth="1"/>
    <col min="12812" max="12812" width="6.7109375" bestFit="1" customWidth="1"/>
    <col min="12813" max="12813" width="8.5703125" bestFit="1" customWidth="1"/>
    <col min="12814" max="12814" width="27.5703125" bestFit="1" customWidth="1"/>
    <col min="13058" max="13058" width="27" bestFit="1" customWidth="1"/>
    <col min="13059" max="13059" width="26.85546875" bestFit="1" customWidth="1"/>
    <col min="13060" max="13060" width="7.7109375" bestFit="1" customWidth="1"/>
    <col min="13061" max="13061" width="6.7109375" bestFit="1" customWidth="1"/>
    <col min="13062" max="13062" width="17.28515625" bestFit="1" customWidth="1"/>
    <col min="13063" max="13063" width="36.5703125" bestFit="1" customWidth="1"/>
    <col min="13064" max="13067" width="5.5703125" bestFit="1" customWidth="1"/>
    <col min="13068" max="13068" width="6.7109375" bestFit="1" customWidth="1"/>
    <col min="13069" max="13069" width="8.5703125" bestFit="1" customWidth="1"/>
    <col min="13070" max="13070" width="27.5703125" bestFit="1" customWidth="1"/>
    <col min="13314" max="13314" width="27" bestFit="1" customWidth="1"/>
    <col min="13315" max="13315" width="26.85546875" bestFit="1" customWidth="1"/>
    <col min="13316" max="13316" width="7.7109375" bestFit="1" customWidth="1"/>
    <col min="13317" max="13317" width="6.7109375" bestFit="1" customWidth="1"/>
    <col min="13318" max="13318" width="17.28515625" bestFit="1" customWidth="1"/>
    <col min="13319" max="13319" width="36.5703125" bestFit="1" customWidth="1"/>
    <col min="13320" max="13323" width="5.5703125" bestFit="1" customWidth="1"/>
    <col min="13324" max="13324" width="6.7109375" bestFit="1" customWidth="1"/>
    <col min="13325" max="13325" width="8.5703125" bestFit="1" customWidth="1"/>
    <col min="13326" max="13326" width="27.5703125" bestFit="1" customWidth="1"/>
    <col min="13570" max="13570" width="27" bestFit="1" customWidth="1"/>
    <col min="13571" max="13571" width="26.85546875" bestFit="1" customWidth="1"/>
    <col min="13572" max="13572" width="7.7109375" bestFit="1" customWidth="1"/>
    <col min="13573" max="13573" width="6.7109375" bestFit="1" customWidth="1"/>
    <col min="13574" max="13574" width="17.28515625" bestFit="1" customWidth="1"/>
    <col min="13575" max="13575" width="36.5703125" bestFit="1" customWidth="1"/>
    <col min="13576" max="13579" width="5.5703125" bestFit="1" customWidth="1"/>
    <col min="13580" max="13580" width="6.7109375" bestFit="1" customWidth="1"/>
    <col min="13581" max="13581" width="8.5703125" bestFit="1" customWidth="1"/>
    <col min="13582" max="13582" width="27.5703125" bestFit="1" customWidth="1"/>
    <col min="13826" max="13826" width="27" bestFit="1" customWidth="1"/>
    <col min="13827" max="13827" width="26.85546875" bestFit="1" customWidth="1"/>
    <col min="13828" max="13828" width="7.7109375" bestFit="1" customWidth="1"/>
    <col min="13829" max="13829" width="6.7109375" bestFit="1" customWidth="1"/>
    <col min="13830" max="13830" width="17.28515625" bestFit="1" customWidth="1"/>
    <col min="13831" max="13831" width="36.5703125" bestFit="1" customWidth="1"/>
    <col min="13832" max="13835" width="5.5703125" bestFit="1" customWidth="1"/>
    <col min="13836" max="13836" width="6.7109375" bestFit="1" customWidth="1"/>
    <col min="13837" max="13837" width="8.5703125" bestFit="1" customWidth="1"/>
    <col min="13838" max="13838" width="27.5703125" bestFit="1" customWidth="1"/>
    <col min="14082" max="14082" width="27" bestFit="1" customWidth="1"/>
    <col min="14083" max="14083" width="26.85546875" bestFit="1" customWidth="1"/>
    <col min="14084" max="14084" width="7.7109375" bestFit="1" customWidth="1"/>
    <col min="14085" max="14085" width="6.7109375" bestFit="1" customWidth="1"/>
    <col min="14086" max="14086" width="17.28515625" bestFit="1" customWidth="1"/>
    <col min="14087" max="14087" width="36.5703125" bestFit="1" customWidth="1"/>
    <col min="14088" max="14091" width="5.5703125" bestFit="1" customWidth="1"/>
    <col min="14092" max="14092" width="6.7109375" bestFit="1" customWidth="1"/>
    <col min="14093" max="14093" width="8.5703125" bestFit="1" customWidth="1"/>
    <col min="14094" max="14094" width="27.5703125" bestFit="1" customWidth="1"/>
    <col min="14338" max="14338" width="27" bestFit="1" customWidth="1"/>
    <col min="14339" max="14339" width="26.85546875" bestFit="1" customWidth="1"/>
    <col min="14340" max="14340" width="7.7109375" bestFit="1" customWidth="1"/>
    <col min="14341" max="14341" width="6.7109375" bestFit="1" customWidth="1"/>
    <col min="14342" max="14342" width="17.28515625" bestFit="1" customWidth="1"/>
    <col min="14343" max="14343" width="36.5703125" bestFit="1" customWidth="1"/>
    <col min="14344" max="14347" width="5.5703125" bestFit="1" customWidth="1"/>
    <col min="14348" max="14348" width="6.7109375" bestFit="1" customWidth="1"/>
    <col min="14349" max="14349" width="8.5703125" bestFit="1" customWidth="1"/>
    <col min="14350" max="14350" width="27.5703125" bestFit="1" customWidth="1"/>
    <col min="14594" max="14594" width="27" bestFit="1" customWidth="1"/>
    <col min="14595" max="14595" width="26.85546875" bestFit="1" customWidth="1"/>
    <col min="14596" max="14596" width="7.7109375" bestFit="1" customWidth="1"/>
    <col min="14597" max="14597" width="6.7109375" bestFit="1" customWidth="1"/>
    <col min="14598" max="14598" width="17.28515625" bestFit="1" customWidth="1"/>
    <col min="14599" max="14599" width="36.5703125" bestFit="1" customWidth="1"/>
    <col min="14600" max="14603" width="5.5703125" bestFit="1" customWidth="1"/>
    <col min="14604" max="14604" width="6.7109375" bestFit="1" customWidth="1"/>
    <col min="14605" max="14605" width="8.5703125" bestFit="1" customWidth="1"/>
    <col min="14606" max="14606" width="27.5703125" bestFit="1" customWidth="1"/>
    <col min="14850" max="14850" width="27" bestFit="1" customWidth="1"/>
    <col min="14851" max="14851" width="26.85546875" bestFit="1" customWidth="1"/>
    <col min="14852" max="14852" width="7.7109375" bestFit="1" customWidth="1"/>
    <col min="14853" max="14853" width="6.7109375" bestFit="1" customWidth="1"/>
    <col min="14854" max="14854" width="17.28515625" bestFit="1" customWidth="1"/>
    <col min="14855" max="14855" width="36.5703125" bestFit="1" customWidth="1"/>
    <col min="14856" max="14859" width="5.5703125" bestFit="1" customWidth="1"/>
    <col min="14860" max="14860" width="6.7109375" bestFit="1" customWidth="1"/>
    <col min="14861" max="14861" width="8.5703125" bestFit="1" customWidth="1"/>
    <col min="14862" max="14862" width="27.5703125" bestFit="1" customWidth="1"/>
    <col min="15106" max="15106" width="27" bestFit="1" customWidth="1"/>
    <col min="15107" max="15107" width="26.85546875" bestFit="1" customWidth="1"/>
    <col min="15108" max="15108" width="7.7109375" bestFit="1" customWidth="1"/>
    <col min="15109" max="15109" width="6.7109375" bestFit="1" customWidth="1"/>
    <col min="15110" max="15110" width="17.28515625" bestFit="1" customWidth="1"/>
    <col min="15111" max="15111" width="36.5703125" bestFit="1" customWidth="1"/>
    <col min="15112" max="15115" width="5.5703125" bestFit="1" customWidth="1"/>
    <col min="15116" max="15116" width="6.7109375" bestFit="1" customWidth="1"/>
    <col min="15117" max="15117" width="8.5703125" bestFit="1" customWidth="1"/>
    <col min="15118" max="15118" width="27.5703125" bestFit="1" customWidth="1"/>
    <col min="15362" max="15362" width="27" bestFit="1" customWidth="1"/>
    <col min="15363" max="15363" width="26.85546875" bestFit="1" customWidth="1"/>
    <col min="15364" max="15364" width="7.7109375" bestFit="1" customWidth="1"/>
    <col min="15365" max="15365" width="6.7109375" bestFit="1" customWidth="1"/>
    <col min="15366" max="15366" width="17.28515625" bestFit="1" customWidth="1"/>
    <col min="15367" max="15367" width="36.5703125" bestFit="1" customWidth="1"/>
    <col min="15368" max="15371" width="5.5703125" bestFit="1" customWidth="1"/>
    <col min="15372" max="15372" width="6.7109375" bestFit="1" customWidth="1"/>
    <col min="15373" max="15373" width="8.5703125" bestFit="1" customWidth="1"/>
    <col min="15374" max="15374" width="27.5703125" bestFit="1" customWidth="1"/>
    <col min="15618" max="15618" width="27" bestFit="1" customWidth="1"/>
    <col min="15619" max="15619" width="26.85546875" bestFit="1" customWidth="1"/>
    <col min="15620" max="15620" width="7.7109375" bestFit="1" customWidth="1"/>
    <col min="15621" max="15621" width="6.7109375" bestFit="1" customWidth="1"/>
    <col min="15622" max="15622" width="17.28515625" bestFit="1" customWidth="1"/>
    <col min="15623" max="15623" width="36.5703125" bestFit="1" customWidth="1"/>
    <col min="15624" max="15627" width="5.5703125" bestFit="1" customWidth="1"/>
    <col min="15628" max="15628" width="6.7109375" bestFit="1" customWidth="1"/>
    <col min="15629" max="15629" width="8.5703125" bestFit="1" customWidth="1"/>
    <col min="15630" max="15630" width="27.5703125" bestFit="1" customWidth="1"/>
    <col min="15874" max="15874" width="27" bestFit="1" customWidth="1"/>
    <col min="15875" max="15875" width="26.85546875" bestFit="1" customWidth="1"/>
    <col min="15876" max="15876" width="7.7109375" bestFit="1" customWidth="1"/>
    <col min="15877" max="15877" width="6.7109375" bestFit="1" customWidth="1"/>
    <col min="15878" max="15878" width="17.28515625" bestFit="1" customWidth="1"/>
    <col min="15879" max="15879" width="36.5703125" bestFit="1" customWidth="1"/>
    <col min="15880" max="15883" width="5.5703125" bestFit="1" customWidth="1"/>
    <col min="15884" max="15884" width="6.7109375" bestFit="1" customWidth="1"/>
    <col min="15885" max="15885" width="8.5703125" bestFit="1" customWidth="1"/>
    <col min="15886" max="15886" width="27.5703125" bestFit="1" customWidth="1"/>
    <col min="16130" max="16130" width="27" bestFit="1" customWidth="1"/>
    <col min="16131" max="16131" width="26.85546875" bestFit="1" customWidth="1"/>
    <col min="16132" max="16132" width="7.7109375" bestFit="1" customWidth="1"/>
    <col min="16133" max="16133" width="6.7109375" bestFit="1" customWidth="1"/>
    <col min="16134" max="16134" width="17.28515625" bestFit="1" customWidth="1"/>
    <col min="16135" max="16135" width="36.5703125" bestFit="1" customWidth="1"/>
    <col min="16136" max="16139" width="5.5703125" bestFit="1" customWidth="1"/>
    <col min="16140" max="16140" width="6.7109375" bestFit="1" customWidth="1"/>
    <col min="16141" max="16141" width="8.5703125" bestFit="1" customWidth="1"/>
    <col min="16142" max="16142" width="27.5703125" bestFit="1" customWidth="1"/>
  </cols>
  <sheetData>
    <row r="1" spans="1:18" s="1" customFormat="1" ht="30" customHeight="1" x14ac:dyDescent="0.2">
      <c r="A1" s="295" t="s">
        <v>4023</v>
      </c>
      <c r="B1" s="295"/>
      <c r="C1" s="295"/>
      <c r="D1" s="295"/>
      <c r="E1" s="295"/>
      <c r="F1" s="295"/>
      <c r="G1" s="295"/>
      <c r="H1" s="295"/>
      <c r="I1" s="295"/>
      <c r="J1" s="295"/>
      <c r="K1" s="295"/>
      <c r="L1" s="295"/>
      <c r="M1" s="295"/>
      <c r="N1" s="295"/>
      <c r="O1" s="241"/>
      <c r="P1" s="241"/>
      <c r="Q1" s="241"/>
      <c r="R1" s="241"/>
    </row>
    <row r="2" spans="1:18" s="1" customFormat="1" ht="30" customHeight="1" x14ac:dyDescent="0.2">
      <c r="A2" s="295" t="s">
        <v>4041</v>
      </c>
      <c r="B2" s="295"/>
      <c r="C2" s="295"/>
      <c r="D2" s="295"/>
      <c r="E2" s="295"/>
      <c r="F2" s="295"/>
      <c r="G2" s="295"/>
      <c r="H2" s="295"/>
      <c r="I2" s="295"/>
      <c r="J2" s="295"/>
      <c r="K2" s="295"/>
      <c r="L2" s="295"/>
      <c r="M2" s="295"/>
      <c r="N2" s="295"/>
      <c r="O2" s="241"/>
      <c r="P2" s="241"/>
      <c r="Q2" s="241"/>
      <c r="R2" s="241"/>
    </row>
    <row r="3" spans="1:18" s="1" customFormat="1" ht="30.75" customHeight="1" thickBot="1" x14ac:dyDescent="0.25">
      <c r="A3" s="295" t="s">
        <v>3381</v>
      </c>
      <c r="B3" s="295"/>
      <c r="C3" s="295"/>
      <c r="D3" s="295"/>
      <c r="E3" s="295"/>
      <c r="F3" s="295"/>
      <c r="G3" s="295"/>
      <c r="H3" s="295"/>
      <c r="I3" s="295"/>
      <c r="J3" s="295"/>
      <c r="K3" s="295"/>
      <c r="L3" s="295"/>
      <c r="M3" s="295"/>
      <c r="N3" s="295"/>
      <c r="O3" s="241"/>
      <c r="P3" s="241"/>
      <c r="Q3" s="241"/>
      <c r="R3" s="241"/>
    </row>
    <row r="4" spans="1:18" s="5" customFormat="1" ht="12.75" customHeight="1" x14ac:dyDescent="0.2">
      <c r="A4" s="297" t="s">
        <v>719</v>
      </c>
      <c r="B4" s="300" t="s">
        <v>0</v>
      </c>
      <c r="C4" s="302" t="s">
        <v>3382</v>
      </c>
      <c r="D4" s="302" t="s">
        <v>8</v>
      </c>
      <c r="E4" s="304" t="s">
        <v>9</v>
      </c>
      <c r="F4" s="304" t="s">
        <v>1</v>
      </c>
      <c r="G4" s="305" t="s">
        <v>795</v>
      </c>
      <c r="H4" s="300" t="s">
        <v>3</v>
      </c>
      <c r="I4" s="304"/>
      <c r="J4" s="304"/>
      <c r="K4" s="307"/>
      <c r="L4" s="308" t="s">
        <v>3593</v>
      </c>
      <c r="M4" s="304" t="s">
        <v>6</v>
      </c>
      <c r="N4" s="307" t="s">
        <v>5</v>
      </c>
    </row>
    <row r="5" spans="1:18" s="5" customFormat="1" ht="23.25" customHeight="1" thickBot="1" x14ac:dyDescent="0.25">
      <c r="A5" s="298"/>
      <c r="B5" s="301"/>
      <c r="C5" s="303"/>
      <c r="D5" s="303"/>
      <c r="E5" s="303"/>
      <c r="F5" s="303"/>
      <c r="G5" s="306"/>
      <c r="H5" s="3">
        <v>1</v>
      </c>
      <c r="I5" s="2">
        <v>2</v>
      </c>
      <c r="J5" s="2">
        <v>3</v>
      </c>
      <c r="K5" s="4" t="s">
        <v>7</v>
      </c>
      <c r="L5" s="309"/>
      <c r="M5" s="303"/>
      <c r="N5" s="310"/>
    </row>
    <row r="6" spans="1:18" ht="15" x14ac:dyDescent="0.2">
      <c r="B6" s="299" t="s">
        <v>4005</v>
      </c>
      <c r="C6" s="299"/>
      <c r="D6" s="299"/>
      <c r="E6" s="299"/>
      <c r="F6" s="299"/>
      <c r="G6" s="299"/>
      <c r="H6" s="299"/>
      <c r="I6" s="299"/>
      <c r="J6" s="299"/>
      <c r="K6" s="299"/>
      <c r="L6" s="299"/>
      <c r="M6" s="299"/>
    </row>
    <row r="7" spans="1:18" x14ac:dyDescent="0.2">
      <c r="B7" s="7" t="s">
        <v>1580</v>
      </c>
      <c r="C7" s="7" t="s">
        <v>1581</v>
      </c>
      <c r="D7" s="7" t="s">
        <v>96</v>
      </c>
      <c r="E7" s="7" t="str">
        <f>"2,2780"</f>
        <v>2,2780</v>
      </c>
      <c r="F7" s="7" t="s">
        <v>4020</v>
      </c>
      <c r="G7" s="7" t="s">
        <v>796</v>
      </c>
      <c r="H7" s="41" t="s">
        <v>44</v>
      </c>
      <c r="I7" s="41" t="s">
        <v>44</v>
      </c>
      <c r="J7" s="41" t="s">
        <v>44</v>
      </c>
      <c r="K7" s="20"/>
      <c r="L7" s="52">
        <v>0</v>
      </c>
      <c r="M7" s="19" t="s">
        <v>720</v>
      </c>
      <c r="N7" s="7" t="s">
        <v>1653</v>
      </c>
    </row>
    <row r="9" spans="1:18" ht="15" x14ac:dyDescent="0.2">
      <c r="B9" s="294" t="s">
        <v>4007</v>
      </c>
      <c r="C9" s="294"/>
      <c r="D9" s="294"/>
      <c r="E9" s="294"/>
      <c r="F9" s="294"/>
      <c r="G9" s="294"/>
      <c r="H9" s="294"/>
      <c r="I9" s="294"/>
      <c r="J9" s="294"/>
      <c r="K9" s="294"/>
      <c r="L9" s="294"/>
      <c r="M9" s="294"/>
    </row>
    <row r="10" spans="1:18" x14ac:dyDescent="0.2">
      <c r="A10" s="43">
        <v>1</v>
      </c>
      <c r="B10" s="15" t="s">
        <v>1640</v>
      </c>
      <c r="C10" s="15" t="s">
        <v>1582</v>
      </c>
      <c r="D10" s="15" t="s">
        <v>1583</v>
      </c>
      <c r="E10" s="15" t="str">
        <f>"1,7360"</f>
        <v>1,7360</v>
      </c>
      <c r="F10" s="15" t="s">
        <v>4020</v>
      </c>
      <c r="G10" s="15" t="s">
        <v>796</v>
      </c>
      <c r="H10" s="38" t="s">
        <v>41</v>
      </c>
      <c r="I10" s="38" t="s">
        <v>41</v>
      </c>
      <c r="J10" s="35" t="s">
        <v>41</v>
      </c>
      <c r="K10" s="38" t="s">
        <v>42</v>
      </c>
      <c r="L10" s="29">
        <v>75</v>
      </c>
      <c r="M10" s="21" t="str">
        <f>"130,2000"</f>
        <v>130,2000</v>
      </c>
      <c r="N10" s="15" t="s">
        <v>1654</v>
      </c>
    </row>
    <row r="11" spans="1:18" x14ac:dyDescent="0.2">
      <c r="A11" s="43">
        <v>1</v>
      </c>
      <c r="B11" s="16" t="s">
        <v>1641</v>
      </c>
      <c r="C11" s="16" t="s">
        <v>1584</v>
      </c>
      <c r="D11" s="16" t="s">
        <v>1585</v>
      </c>
      <c r="E11" s="16" t="str">
        <f>"1,7134"</f>
        <v>1,7134</v>
      </c>
      <c r="F11" s="16" t="s">
        <v>4020</v>
      </c>
      <c r="G11" s="16" t="s">
        <v>796</v>
      </c>
      <c r="H11" s="36" t="s">
        <v>53</v>
      </c>
      <c r="I11" s="36" t="s">
        <v>51</v>
      </c>
      <c r="J11" s="36" t="s">
        <v>54</v>
      </c>
      <c r="K11" s="24"/>
      <c r="L11" s="30">
        <v>72.5</v>
      </c>
      <c r="M11" s="23" t="str">
        <f>"133,9108"</f>
        <v>133,9108</v>
      </c>
      <c r="N11" s="16" t="s">
        <v>1655</v>
      </c>
    </row>
    <row r="12" spans="1:18" x14ac:dyDescent="0.2">
      <c r="A12" s="43">
        <v>2</v>
      </c>
      <c r="B12" s="17" t="s">
        <v>1586</v>
      </c>
      <c r="C12" s="17" t="s">
        <v>1587</v>
      </c>
      <c r="D12" s="17" t="s">
        <v>349</v>
      </c>
      <c r="E12" s="17" t="str">
        <f>"1,6900"</f>
        <v>1,6900</v>
      </c>
      <c r="F12" s="17" t="s">
        <v>1662</v>
      </c>
      <c r="G12" s="17" t="s">
        <v>3267</v>
      </c>
      <c r="H12" s="37" t="s">
        <v>1588</v>
      </c>
      <c r="I12" s="37" t="s">
        <v>1589</v>
      </c>
      <c r="J12" s="39" t="s">
        <v>1590</v>
      </c>
      <c r="K12" s="26"/>
      <c r="L12" s="31">
        <v>30</v>
      </c>
      <c r="M12" s="25" t="str">
        <f>"56,4798"</f>
        <v>56,4798</v>
      </c>
      <c r="N12" s="17" t="s">
        <v>1656</v>
      </c>
    </row>
    <row r="14" spans="1:18" ht="15" x14ac:dyDescent="0.2">
      <c r="B14" s="294" t="s">
        <v>4006</v>
      </c>
      <c r="C14" s="294"/>
      <c r="D14" s="294"/>
      <c r="E14" s="294"/>
      <c r="F14" s="294"/>
      <c r="G14" s="294"/>
      <c r="H14" s="294"/>
      <c r="I14" s="294"/>
      <c r="J14" s="294"/>
      <c r="K14" s="294"/>
      <c r="L14" s="294"/>
      <c r="M14" s="294"/>
    </row>
    <row r="15" spans="1:18" x14ac:dyDescent="0.2">
      <c r="A15" s="43">
        <v>1</v>
      </c>
      <c r="B15" s="15" t="s">
        <v>1642</v>
      </c>
      <c r="C15" s="15" t="s">
        <v>1591</v>
      </c>
      <c r="D15" s="15" t="s">
        <v>1592</v>
      </c>
      <c r="E15" s="15" t="str">
        <f>"1,5826"</f>
        <v>1,5826</v>
      </c>
      <c r="F15" s="15" t="s">
        <v>4020</v>
      </c>
      <c r="G15" s="15" t="s">
        <v>796</v>
      </c>
      <c r="H15" s="35" t="s">
        <v>46</v>
      </c>
      <c r="I15" s="35" t="s">
        <v>61</v>
      </c>
      <c r="J15" s="38" t="s">
        <v>76</v>
      </c>
      <c r="K15" s="22"/>
      <c r="L15" s="29">
        <v>95</v>
      </c>
      <c r="M15" s="21" t="str">
        <f>"150,3470"</f>
        <v>150,3470</v>
      </c>
      <c r="N15" s="15" t="s">
        <v>3391</v>
      </c>
    </row>
    <row r="16" spans="1:18" x14ac:dyDescent="0.2">
      <c r="A16" s="43">
        <v>2</v>
      </c>
      <c r="B16" s="17" t="s">
        <v>1593</v>
      </c>
      <c r="C16" s="17" t="s">
        <v>1594</v>
      </c>
      <c r="D16" s="17" t="s">
        <v>336</v>
      </c>
      <c r="E16" s="17" t="str">
        <f>"1,4528"</f>
        <v>1,4528</v>
      </c>
      <c r="F16" s="17" t="s">
        <v>862</v>
      </c>
      <c r="G16" s="17" t="s">
        <v>796</v>
      </c>
      <c r="H16" s="37" t="s">
        <v>52</v>
      </c>
      <c r="I16" s="37" t="s">
        <v>45</v>
      </c>
      <c r="J16" s="37" t="s">
        <v>59</v>
      </c>
      <c r="K16" s="26"/>
      <c r="L16" s="31">
        <v>50</v>
      </c>
      <c r="M16" s="25" t="str">
        <f>"72,6400"</f>
        <v>72,6400</v>
      </c>
      <c r="N16" s="17" t="s">
        <v>1655</v>
      </c>
    </row>
    <row r="18" spans="1:14" ht="15" x14ac:dyDescent="0.2">
      <c r="B18" s="294" t="s">
        <v>4007</v>
      </c>
      <c r="C18" s="294"/>
      <c r="D18" s="294"/>
      <c r="E18" s="294"/>
      <c r="F18" s="294"/>
      <c r="G18" s="294"/>
      <c r="H18" s="294"/>
      <c r="I18" s="294"/>
      <c r="J18" s="294"/>
      <c r="K18" s="294"/>
      <c r="L18" s="294"/>
      <c r="M18" s="294"/>
    </row>
    <row r="19" spans="1:14" x14ac:dyDescent="0.2">
      <c r="A19" s="43">
        <v>1</v>
      </c>
      <c r="B19" s="15" t="s">
        <v>1595</v>
      </c>
      <c r="C19" s="15" t="s">
        <v>1596</v>
      </c>
      <c r="D19" s="15" t="s">
        <v>1597</v>
      </c>
      <c r="E19" s="15" t="str">
        <f>"1,3360"</f>
        <v>1,3360</v>
      </c>
      <c r="F19" s="15" t="s">
        <v>1662</v>
      </c>
      <c r="G19" s="15" t="s">
        <v>3267</v>
      </c>
      <c r="H19" s="35" t="s">
        <v>52</v>
      </c>
      <c r="I19" s="35" t="s">
        <v>59</v>
      </c>
      <c r="J19" s="35" t="s">
        <v>86</v>
      </c>
      <c r="K19" s="22"/>
      <c r="L19" s="29">
        <v>60</v>
      </c>
      <c r="M19" s="21" t="str">
        <f>"80,1600"</f>
        <v>80,1600</v>
      </c>
      <c r="N19" s="15" t="s">
        <v>1656</v>
      </c>
    </row>
    <row r="20" spans="1:14" x14ac:dyDescent="0.2">
      <c r="A20" s="43">
        <v>1</v>
      </c>
      <c r="B20" s="16" t="s">
        <v>1643</v>
      </c>
      <c r="C20" s="16" t="s">
        <v>1598</v>
      </c>
      <c r="D20" s="16" t="s">
        <v>1599</v>
      </c>
      <c r="E20" s="16" t="str">
        <f>"1,3048"</f>
        <v>1,3048</v>
      </c>
      <c r="F20" s="16" t="s">
        <v>1662</v>
      </c>
      <c r="G20" s="16" t="s">
        <v>3267</v>
      </c>
      <c r="H20" s="36" t="s">
        <v>42</v>
      </c>
      <c r="I20" s="40" t="s">
        <v>81</v>
      </c>
      <c r="J20" s="40" t="s">
        <v>81</v>
      </c>
      <c r="K20" s="24"/>
      <c r="L20" s="30">
        <v>80</v>
      </c>
      <c r="M20" s="23" t="str">
        <f>"104,3840"</f>
        <v>104,3840</v>
      </c>
      <c r="N20" s="16" t="s">
        <v>1656</v>
      </c>
    </row>
    <row r="21" spans="1:14" x14ac:dyDescent="0.2">
      <c r="A21" s="43">
        <v>1</v>
      </c>
      <c r="B21" s="16" t="s">
        <v>1644</v>
      </c>
      <c r="C21" s="16" t="s">
        <v>1600</v>
      </c>
      <c r="D21" s="16" t="s">
        <v>147</v>
      </c>
      <c r="E21" s="16" t="str">
        <f>"1,2460"</f>
        <v>1,2460</v>
      </c>
      <c r="F21" s="16" t="s">
        <v>4020</v>
      </c>
      <c r="G21" s="16" t="s">
        <v>796</v>
      </c>
      <c r="H21" s="36" t="s">
        <v>46</v>
      </c>
      <c r="I21" s="36" t="s">
        <v>61</v>
      </c>
      <c r="J21" s="40" t="s">
        <v>47</v>
      </c>
      <c r="K21" s="24"/>
      <c r="L21" s="30">
        <v>95</v>
      </c>
      <c r="M21" s="23" t="str">
        <f>"118,3700"</f>
        <v>118,3700</v>
      </c>
      <c r="N21" s="16" t="s">
        <v>1655</v>
      </c>
    </row>
    <row r="22" spans="1:14" x14ac:dyDescent="0.2">
      <c r="A22" s="43">
        <v>2</v>
      </c>
      <c r="B22" s="16" t="s">
        <v>1645</v>
      </c>
      <c r="C22" s="16" t="s">
        <v>1601</v>
      </c>
      <c r="D22" s="16" t="s">
        <v>1602</v>
      </c>
      <c r="E22" s="16" t="str">
        <f>"1,2876"</f>
        <v>1,2876</v>
      </c>
      <c r="F22" s="16" t="s">
        <v>4020</v>
      </c>
      <c r="G22" s="16" t="s">
        <v>3258</v>
      </c>
      <c r="H22" s="40" t="s">
        <v>55</v>
      </c>
      <c r="I22" s="40" t="s">
        <v>55</v>
      </c>
      <c r="J22" s="36" t="s">
        <v>42</v>
      </c>
      <c r="K22" s="24"/>
      <c r="L22" s="30">
        <v>80</v>
      </c>
      <c r="M22" s="23" t="str">
        <f>"103,0080"</f>
        <v>103,0080</v>
      </c>
      <c r="N22" s="16" t="s">
        <v>1657</v>
      </c>
    </row>
    <row r="23" spans="1:14" x14ac:dyDescent="0.2">
      <c r="A23" s="43">
        <v>1</v>
      </c>
      <c r="B23" s="17" t="s">
        <v>1603</v>
      </c>
      <c r="C23" s="17" t="s">
        <v>1604</v>
      </c>
      <c r="D23" s="17" t="s">
        <v>161</v>
      </c>
      <c r="E23" s="17" t="str">
        <f>"1,3070"</f>
        <v>1,3070</v>
      </c>
      <c r="F23" s="17" t="s">
        <v>1662</v>
      </c>
      <c r="G23" s="17" t="s">
        <v>3267</v>
      </c>
      <c r="H23" s="37" t="s">
        <v>51</v>
      </c>
      <c r="I23" s="39" t="s">
        <v>41</v>
      </c>
      <c r="J23" s="37" t="s">
        <v>41</v>
      </c>
      <c r="K23" s="26"/>
      <c r="L23" s="31">
        <v>75</v>
      </c>
      <c r="M23" s="25" t="str">
        <f>"122,5313"</f>
        <v>122,5313</v>
      </c>
      <c r="N23" s="17" t="s">
        <v>1656</v>
      </c>
    </row>
    <row r="25" spans="1:14" ht="15" x14ac:dyDescent="0.2">
      <c r="B25" s="294" t="s">
        <v>4008</v>
      </c>
      <c r="C25" s="294"/>
      <c r="D25" s="294"/>
      <c r="E25" s="294"/>
      <c r="F25" s="294"/>
      <c r="G25" s="294"/>
      <c r="H25" s="294"/>
      <c r="I25" s="294"/>
      <c r="J25" s="294"/>
      <c r="K25" s="294"/>
      <c r="L25" s="294"/>
      <c r="M25" s="294"/>
    </row>
    <row r="26" spans="1:14" x14ac:dyDescent="0.2">
      <c r="A26" s="43">
        <v>1</v>
      </c>
      <c r="B26" s="15" t="s">
        <v>1646</v>
      </c>
      <c r="C26" s="15" t="s">
        <v>1605</v>
      </c>
      <c r="D26" s="15" t="s">
        <v>1606</v>
      </c>
      <c r="E26" s="15" t="str">
        <f>"1,2264"</f>
        <v>1,2264</v>
      </c>
      <c r="F26" s="15" t="s">
        <v>4020</v>
      </c>
      <c r="G26" s="15" t="s">
        <v>839</v>
      </c>
      <c r="H26" s="35" t="s">
        <v>97</v>
      </c>
      <c r="I26" s="35" t="s">
        <v>69</v>
      </c>
      <c r="J26" s="35" t="s">
        <v>70</v>
      </c>
      <c r="K26" s="22"/>
      <c r="L26" s="29">
        <v>115</v>
      </c>
      <c r="M26" s="21" t="str">
        <f>"141,0360"</f>
        <v>141,0360</v>
      </c>
      <c r="N26" s="15" t="s">
        <v>3391</v>
      </c>
    </row>
    <row r="27" spans="1:14" x14ac:dyDescent="0.2">
      <c r="A27" s="43">
        <v>1</v>
      </c>
      <c r="B27" s="16" t="s">
        <v>1647</v>
      </c>
      <c r="C27" s="16" t="s">
        <v>1607</v>
      </c>
      <c r="D27" s="16" t="s">
        <v>1608</v>
      </c>
      <c r="E27" s="16" t="str">
        <f>"1,1828"</f>
        <v>1,1828</v>
      </c>
      <c r="F27" s="16" t="s">
        <v>4020</v>
      </c>
      <c r="G27" s="16" t="s">
        <v>3268</v>
      </c>
      <c r="H27" s="36" t="s">
        <v>81</v>
      </c>
      <c r="I27" s="40" t="s">
        <v>46</v>
      </c>
      <c r="J27" s="40" t="s">
        <v>46</v>
      </c>
      <c r="K27" s="24"/>
      <c r="L27" s="30">
        <v>85</v>
      </c>
      <c r="M27" s="23" t="str">
        <f>"100,5380"</f>
        <v>100,5380</v>
      </c>
      <c r="N27" s="16" t="s">
        <v>1658</v>
      </c>
    </row>
    <row r="28" spans="1:14" x14ac:dyDescent="0.2">
      <c r="A28" s="43">
        <v>1</v>
      </c>
      <c r="B28" s="16" t="s">
        <v>1648</v>
      </c>
      <c r="C28" s="16" t="s">
        <v>1609</v>
      </c>
      <c r="D28" s="16" t="s">
        <v>407</v>
      </c>
      <c r="E28" s="16" t="str">
        <f>"1,1438"</f>
        <v>1,1438</v>
      </c>
      <c r="F28" s="16" t="s">
        <v>4020</v>
      </c>
      <c r="G28" s="16" t="s">
        <v>796</v>
      </c>
      <c r="H28" s="36" t="s">
        <v>41</v>
      </c>
      <c r="I28" s="36" t="s">
        <v>42</v>
      </c>
      <c r="J28" s="36" t="s">
        <v>81</v>
      </c>
      <c r="K28" s="24"/>
      <c r="L28" s="30">
        <v>85</v>
      </c>
      <c r="M28" s="23" t="str">
        <f>"97,2230"</f>
        <v>97,2230</v>
      </c>
      <c r="N28" s="16" t="s">
        <v>1655</v>
      </c>
    </row>
    <row r="29" spans="1:14" x14ac:dyDescent="0.2">
      <c r="A29" s="43">
        <v>2</v>
      </c>
      <c r="B29" s="16" t="s">
        <v>1610</v>
      </c>
      <c r="C29" s="16" t="s">
        <v>1611</v>
      </c>
      <c r="D29" s="16" t="s">
        <v>1612</v>
      </c>
      <c r="E29" s="16" t="str">
        <f>"1,2174"</f>
        <v>1,2174</v>
      </c>
      <c r="F29" s="16" t="s">
        <v>1662</v>
      </c>
      <c r="G29" s="16" t="s">
        <v>3267</v>
      </c>
      <c r="H29" s="40" t="s">
        <v>59</v>
      </c>
      <c r="I29" s="36" t="s">
        <v>59</v>
      </c>
      <c r="J29" s="36" t="s">
        <v>60</v>
      </c>
      <c r="K29" s="24"/>
      <c r="L29" s="30">
        <v>52.5</v>
      </c>
      <c r="M29" s="23" t="str">
        <f>"63,9135"</f>
        <v>63,9135</v>
      </c>
      <c r="N29" s="16" t="s">
        <v>1656</v>
      </c>
    </row>
    <row r="30" spans="1:14" x14ac:dyDescent="0.2">
      <c r="A30" s="43">
        <v>1</v>
      </c>
      <c r="B30" s="17" t="s">
        <v>1649</v>
      </c>
      <c r="C30" s="17" t="s">
        <v>1613</v>
      </c>
      <c r="D30" s="17" t="s">
        <v>1614</v>
      </c>
      <c r="E30" s="17" t="str">
        <f>"1,1170"</f>
        <v>1,1170</v>
      </c>
      <c r="F30" s="17" t="s">
        <v>1662</v>
      </c>
      <c r="G30" s="17" t="s">
        <v>3267</v>
      </c>
      <c r="H30" s="37" t="s">
        <v>69</v>
      </c>
      <c r="I30" s="39" t="s">
        <v>70</v>
      </c>
      <c r="J30" s="39" t="s">
        <v>70</v>
      </c>
      <c r="K30" s="26"/>
      <c r="L30" s="31">
        <v>110</v>
      </c>
      <c r="M30" s="25" t="str">
        <f>"159,3624"</f>
        <v>159,3624</v>
      </c>
      <c r="N30" s="17" t="s">
        <v>1656</v>
      </c>
    </row>
    <row r="32" spans="1:14" ht="15" x14ac:dyDescent="0.2">
      <c r="B32" s="294" t="s">
        <v>4010</v>
      </c>
      <c r="C32" s="294"/>
      <c r="D32" s="294"/>
      <c r="E32" s="294"/>
      <c r="F32" s="294"/>
      <c r="G32" s="294"/>
      <c r="H32" s="294"/>
      <c r="I32" s="294"/>
      <c r="J32" s="294"/>
      <c r="K32" s="294"/>
      <c r="L32" s="294"/>
      <c r="M32" s="294"/>
    </row>
    <row r="33" spans="1:14" x14ac:dyDescent="0.2">
      <c r="A33" s="43">
        <v>1</v>
      </c>
      <c r="B33" s="15" t="s">
        <v>1650</v>
      </c>
      <c r="C33" s="15" t="s">
        <v>1615</v>
      </c>
      <c r="D33" s="15" t="s">
        <v>1616</v>
      </c>
      <c r="E33" s="15" t="str">
        <f>"1,0174"</f>
        <v>1,0174</v>
      </c>
      <c r="F33" s="15" t="s">
        <v>4020</v>
      </c>
      <c r="G33" s="15" t="s">
        <v>807</v>
      </c>
      <c r="H33" s="35" t="s">
        <v>87</v>
      </c>
      <c r="I33" s="35" t="s">
        <v>169</v>
      </c>
      <c r="J33" s="35" t="s">
        <v>157</v>
      </c>
      <c r="K33" s="22"/>
      <c r="L33" s="29">
        <v>122.5</v>
      </c>
      <c r="M33" s="21" t="str">
        <f>"124,6315"</f>
        <v>124,6315</v>
      </c>
      <c r="N33" s="15" t="s">
        <v>1659</v>
      </c>
    </row>
    <row r="34" spans="1:14" x14ac:dyDescent="0.2">
      <c r="A34" s="43">
        <v>1</v>
      </c>
      <c r="B34" s="16" t="s">
        <v>1617</v>
      </c>
      <c r="C34" s="16" t="s">
        <v>1618</v>
      </c>
      <c r="D34" s="16" t="s">
        <v>223</v>
      </c>
      <c r="E34" s="16" t="str">
        <f>"1,0150"</f>
        <v>1,0150</v>
      </c>
      <c r="F34" s="16" t="s">
        <v>1662</v>
      </c>
      <c r="G34" s="16" t="s">
        <v>3267</v>
      </c>
      <c r="H34" s="36" t="s">
        <v>59</v>
      </c>
      <c r="I34" s="36" t="s">
        <v>86</v>
      </c>
      <c r="J34" s="40" t="s">
        <v>67</v>
      </c>
      <c r="K34" s="24"/>
      <c r="L34" s="30">
        <v>60</v>
      </c>
      <c r="M34" s="23" t="str">
        <f>"60,9000"</f>
        <v>60,9000</v>
      </c>
      <c r="N34" s="16" t="s">
        <v>1656</v>
      </c>
    </row>
    <row r="35" spans="1:14" x14ac:dyDescent="0.2">
      <c r="A35" s="43">
        <v>2</v>
      </c>
      <c r="B35" s="16" t="s">
        <v>1619</v>
      </c>
      <c r="C35" s="16" t="s">
        <v>1620</v>
      </c>
      <c r="D35" s="16" t="s">
        <v>565</v>
      </c>
      <c r="E35" s="16" t="str">
        <f>"1,0060"</f>
        <v>1,0060</v>
      </c>
      <c r="F35" s="16" t="s">
        <v>4020</v>
      </c>
      <c r="G35" s="16" t="s">
        <v>796</v>
      </c>
      <c r="H35" s="36" t="s">
        <v>59</v>
      </c>
      <c r="I35" s="40" t="s">
        <v>93</v>
      </c>
      <c r="J35" s="36" t="s">
        <v>93</v>
      </c>
      <c r="K35" s="24"/>
      <c r="L35" s="30">
        <v>55</v>
      </c>
      <c r="M35" s="23" t="str">
        <f>"55,3300"</f>
        <v>55,3300</v>
      </c>
      <c r="N35" s="16" t="s">
        <v>1660</v>
      </c>
    </row>
    <row r="36" spans="1:14" x14ac:dyDescent="0.2">
      <c r="A36" s="43">
        <v>1</v>
      </c>
      <c r="B36" s="17" t="s">
        <v>1621</v>
      </c>
      <c r="C36" s="17" t="s">
        <v>1622</v>
      </c>
      <c r="D36" s="17" t="s">
        <v>948</v>
      </c>
      <c r="E36" s="17" t="str">
        <f>"0,9948"</f>
        <v>0,9948</v>
      </c>
      <c r="F36" s="17" t="s">
        <v>1662</v>
      </c>
      <c r="G36" s="17" t="s">
        <v>3267</v>
      </c>
      <c r="H36" s="37" t="s">
        <v>42</v>
      </c>
      <c r="I36" s="37" t="s">
        <v>81</v>
      </c>
      <c r="J36" s="37" t="s">
        <v>46</v>
      </c>
      <c r="K36" s="26"/>
      <c r="L36" s="31">
        <v>90</v>
      </c>
      <c r="M36" s="25" t="str">
        <f>"92,0389"</f>
        <v>92,0389</v>
      </c>
      <c r="N36" s="17" t="s">
        <v>1656</v>
      </c>
    </row>
    <row r="38" spans="1:14" ht="15" x14ac:dyDescent="0.2">
      <c r="B38" s="294" t="s">
        <v>4011</v>
      </c>
      <c r="C38" s="294"/>
      <c r="D38" s="294"/>
      <c r="E38" s="294"/>
      <c r="F38" s="294"/>
      <c r="G38" s="294"/>
      <c r="H38" s="294"/>
      <c r="I38" s="294"/>
      <c r="J38" s="294"/>
      <c r="K38" s="294"/>
      <c r="L38" s="294"/>
      <c r="M38" s="294"/>
    </row>
    <row r="39" spans="1:14" x14ac:dyDescent="0.2">
      <c r="A39" s="43">
        <v>1</v>
      </c>
      <c r="B39" s="15" t="s">
        <v>1623</v>
      </c>
      <c r="C39" s="15" t="s">
        <v>1624</v>
      </c>
      <c r="D39" s="15" t="s">
        <v>1625</v>
      </c>
      <c r="E39" s="15" t="str">
        <f>"0,9328"</f>
        <v>0,9328</v>
      </c>
      <c r="F39" s="15" t="s">
        <v>4020</v>
      </c>
      <c r="G39" s="15" t="s">
        <v>796</v>
      </c>
      <c r="H39" s="35" t="s">
        <v>53</v>
      </c>
      <c r="I39" s="35" t="s">
        <v>51</v>
      </c>
      <c r="J39" s="35" t="s">
        <v>54</v>
      </c>
      <c r="K39" s="22"/>
      <c r="L39" s="29">
        <v>72.5</v>
      </c>
      <c r="M39" s="21" t="str">
        <f>"67,6280"</f>
        <v>67,6280</v>
      </c>
      <c r="N39" s="15" t="s">
        <v>1655</v>
      </c>
    </row>
    <row r="40" spans="1:14" x14ac:dyDescent="0.2">
      <c r="A40" s="43">
        <v>1</v>
      </c>
      <c r="B40" s="16" t="s">
        <v>1626</v>
      </c>
      <c r="C40" s="16" t="s">
        <v>1627</v>
      </c>
      <c r="D40" s="16" t="s">
        <v>643</v>
      </c>
      <c r="E40" s="16" t="str">
        <f>"0,9222"</f>
        <v>0,9222</v>
      </c>
      <c r="F40" s="16" t="s">
        <v>1662</v>
      </c>
      <c r="G40" s="16" t="s">
        <v>3267</v>
      </c>
      <c r="H40" s="36" t="s">
        <v>70</v>
      </c>
      <c r="I40" s="36" t="s">
        <v>71</v>
      </c>
      <c r="J40" s="40" t="s">
        <v>157</v>
      </c>
      <c r="K40" s="24"/>
      <c r="L40" s="30">
        <v>120</v>
      </c>
      <c r="M40" s="23" t="str">
        <f>"121,2877"</f>
        <v>121,2877</v>
      </c>
      <c r="N40" s="16" t="s">
        <v>1656</v>
      </c>
    </row>
    <row r="41" spans="1:14" x14ac:dyDescent="0.2">
      <c r="A41" s="43">
        <v>1</v>
      </c>
      <c r="B41" s="17" t="s">
        <v>1628</v>
      </c>
      <c r="C41" s="17" t="s">
        <v>1629</v>
      </c>
      <c r="D41" s="17" t="s">
        <v>1630</v>
      </c>
      <c r="E41" s="17" t="str">
        <f>"0,9190"</f>
        <v>0,9190</v>
      </c>
      <c r="F41" s="17" t="s">
        <v>1662</v>
      </c>
      <c r="G41" s="17" t="s">
        <v>3267</v>
      </c>
      <c r="H41" s="39" t="s">
        <v>53</v>
      </c>
      <c r="I41" s="37" t="s">
        <v>53</v>
      </c>
      <c r="J41" s="39" t="s">
        <v>51</v>
      </c>
      <c r="K41" s="26"/>
      <c r="L41" s="31">
        <v>65</v>
      </c>
      <c r="M41" s="25" t="str">
        <f>"103,9389"</f>
        <v>103,9389</v>
      </c>
      <c r="N41" s="17" t="s">
        <v>1656</v>
      </c>
    </row>
    <row r="43" spans="1:14" ht="15" x14ac:dyDescent="0.2">
      <c r="B43" s="294" t="s">
        <v>4012</v>
      </c>
      <c r="C43" s="294"/>
      <c r="D43" s="294"/>
      <c r="E43" s="294"/>
      <c r="F43" s="294"/>
      <c r="G43" s="294"/>
      <c r="H43" s="294"/>
      <c r="I43" s="294"/>
      <c r="J43" s="294"/>
      <c r="K43" s="294"/>
      <c r="L43" s="294"/>
      <c r="M43" s="294"/>
    </row>
    <row r="44" spans="1:14" x14ac:dyDescent="0.2">
      <c r="A44" s="43">
        <v>1</v>
      </c>
      <c r="B44" s="7" t="s">
        <v>1651</v>
      </c>
      <c r="C44" s="7" t="s">
        <v>1631</v>
      </c>
      <c r="D44" s="7" t="s">
        <v>981</v>
      </c>
      <c r="E44" s="7" t="str">
        <f>"0,9030"</f>
        <v>0,9030</v>
      </c>
      <c r="F44" s="7" t="s">
        <v>4020</v>
      </c>
      <c r="G44" s="7" t="s">
        <v>3269</v>
      </c>
      <c r="H44" s="34" t="s">
        <v>106</v>
      </c>
      <c r="I44" s="34" t="s">
        <v>166</v>
      </c>
      <c r="J44" s="34" t="s">
        <v>140</v>
      </c>
      <c r="K44" s="41" t="s">
        <v>135</v>
      </c>
      <c r="L44" s="28">
        <v>200</v>
      </c>
      <c r="M44" s="19" t="str">
        <f>"180,6000"</f>
        <v>180,6000</v>
      </c>
      <c r="N44" s="7" t="s">
        <v>1661</v>
      </c>
    </row>
    <row r="46" spans="1:14" ht="15" x14ac:dyDescent="0.2">
      <c r="B46" s="294" t="s">
        <v>4016</v>
      </c>
      <c r="C46" s="294"/>
      <c r="D46" s="294"/>
      <c r="E46" s="294"/>
      <c r="F46" s="294"/>
      <c r="G46" s="294"/>
      <c r="H46" s="294"/>
      <c r="I46" s="294"/>
      <c r="J46" s="294"/>
      <c r="K46" s="294"/>
      <c r="L46" s="294"/>
      <c r="M46" s="294"/>
    </row>
    <row r="47" spans="1:14" x14ac:dyDescent="0.2">
      <c r="A47" s="43">
        <v>1</v>
      </c>
      <c r="B47" s="7" t="s">
        <v>1652</v>
      </c>
      <c r="C47" s="7" t="s">
        <v>1632</v>
      </c>
      <c r="D47" s="7" t="s">
        <v>1633</v>
      </c>
      <c r="E47" s="7" t="str">
        <f>"0,8540"</f>
        <v>0,8540</v>
      </c>
      <c r="F47" s="7" t="s">
        <v>4020</v>
      </c>
      <c r="G47" s="7" t="s">
        <v>3270</v>
      </c>
      <c r="H47" s="34" t="s">
        <v>11</v>
      </c>
      <c r="I47" s="34" t="s">
        <v>107</v>
      </c>
      <c r="J47" s="41" t="s">
        <v>166</v>
      </c>
      <c r="K47" s="20"/>
      <c r="L47" s="28">
        <v>190</v>
      </c>
      <c r="M47" s="19" t="str">
        <f>"162,2600"</f>
        <v>162,2600</v>
      </c>
      <c r="N47" s="7" t="s">
        <v>3391</v>
      </c>
    </row>
    <row r="48" spans="1:14" x14ac:dyDescent="0.2">
      <c r="J48" s="46"/>
    </row>
    <row r="49" spans="1:6" ht="18" x14ac:dyDescent="0.25">
      <c r="B49" s="8" t="s">
        <v>4022</v>
      </c>
      <c r="C49" s="8"/>
    </row>
    <row r="50" spans="1:6" ht="18.75" x14ac:dyDescent="0.3">
      <c r="B50" s="242" t="s">
        <v>3499</v>
      </c>
      <c r="C50" s="8"/>
    </row>
    <row r="51" spans="1:6" ht="14.25" x14ac:dyDescent="0.2">
      <c r="B51" s="11"/>
      <c r="C51" s="12" t="s">
        <v>18</v>
      </c>
    </row>
    <row r="52" spans="1:6" ht="15" x14ac:dyDescent="0.2">
      <c r="B52" s="13" t="s">
        <v>0</v>
      </c>
      <c r="C52" s="13" t="s">
        <v>19</v>
      </c>
      <c r="D52" s="13" t="s">
        <v>20</v>
      </c>
      <c r="E52" s="13" t="s">
        <v>3593</v>
      </c>
      <c r="F52" s="13" t="s">
        <v>9</v>
      </c>
    </row>
    <row r="53" spans="1:6" x14ac:dyDescent="0.2">
      <c r="A53" s="43">
        <v>1</v>
      </c>
      <c r="B53" s="10" t="s">
        <v>1634</v>
      </c>
      <c r="C53" s="18" t="s">
        <v>18</v>
      </c>
      <c r="D53" s="27" t="s">
        <v>69</v>
      </c>
      <c r="E53" s="27" t="s">
        <v>140</v>
      </c>
      <c r="F53" s="27" t="s">
        <v>1635</v>
      </c>
    </row>
    <row r="54" spans="1:6" x14ac:dyDescent="0.2">
      <c r="A54" s="43">
        <v>2</v>
      </c>
      <c r="B54" s="10" t="s">
        <v>1636</v>
      </c>
      <c r="C54" s="18" t="s">
        <v>18</v>
      </c>
      <c r="D54" s="27" t="s">
        <v>116</v>
      </c>
      <c r="E54" s="27" t="s">
        <v>107</v>
      </c>
      <c r="F54" s="27" t="s">
        <v>1637</v>
      </c>
    </row>
    <row r="55" spans="1:6" x14ac:dyDescent="0.2">
      <c r="A55" s="43">
        <v>3</v>
      </c>
      <c r="B55" s="10" t="s">
        <v>1638</v>
      </c>
      <c r="C55" s="18" t="s">
        <v>18</v>
      </c>
      <c r="D55" s="27" t="s">
        <v>86</v>
      </c>
      <c r="E55" s="27" t="s">
        <v>61</v>
      </c>
      <c r="F55" s="27" t="s">
        <v>1639</v>
      </c>
    </row>
  </sheetData>
  <mergeCells count="23">
    <mergeCell ref="A1:N1"/>
    <mergeCell ref="A2:N2"/>
    <mergeCell ref="A3:N3"/>
    <mergeCell ref="B38:M38"/>
    <mergeCell ref="B43:M43"/>
    <mergeCell ref="M4:M5"/>
    <mergeCell ref="N4:N5"/>
    <mergeCell ref="B46:M46"/>
    <mergeCell ref="A4:A5"/>
    <mergeCell ref="B25:M25"/>
    <mergeCell ref="B6:M6"/>
    <mergeCell ref="B9:M9"/>
    <mergeCell ref="B14:M14"/>
    <mergeCell ref="B18:M18"/>
    <mergeCell ref="B32:M32"/>
    <mergeCell ref="B4:B5"/>
    <mergeCell ref="C4:C5"/>
    <mergeCell ref="D4:D5"/>
    <mergeCell ref="E4:E5"/>
    <mergeCell ref="F4:F5"/>
    <mergeCell ref="G4:G5"/>
    <mergeCell ref="H4:K4"/>
    <mergeCell ref="L4:L5"/>
  </mergeCell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topLeftCell="A50" workbookViewId="0">
      <selection activeCell="F49" sqref="F49"/>
    </sheetView>
  </sheetViews>
  <sheetFormatPr defaultColWidth="8.7109375" defaultRowHeight="12.75" x14ac:dyDescent="0.2"/>
  <cols>
    <col min="1" max="1" width="6.85546875" style="43" bestFit="1" customWidth="1"/>
    <col min="2" max="2" width="24.85546875" style="6" bestFit="1" customWidth="1"/>
    <col min="3" max="3" width="33.42578125" style="6" bestFit="1" customWidth="1"/>
    <col min="4" max="4" width="8.5703125" style="6" bestFit="1" customWidth="1"/>
    <col min="5" max="5" width="8.140625" style="6" bestFit="1" customWidth="1"/>
    <col min="6" max="6" width="22.42578125" style="6" bestFit="1" customWidth="1"/>
    <col min="7" max="7" width="43.42578125" style="6" bestFit="1" customWidth="1"/>
    <col min="8" max="10" width="6.42578125" style="27" bestFit="1" customWidth="1"/>
    <col min="11" max="11" width="4.85546875" style="27" bestFit="1" customWidth="1"/>
    <col min="12" max="12" width="6.42578125" style="32" bestFit="1" customWidth="1"/>
    <col min="13" max="13" width="9.85546875" style="27" bestFit="1" customWidth="1"/>
    <col min="14" max="14" width="16.5703125" style="6" bestFit="1" customWidth="1"/>
    <col min="258" max="258" width="30" bestFit="1" customWidth="1"/>
    <col min="259" max="259" width="30.85546875" bestFit="1" customWidth="1"/>
    <col min="260" max="260" width="7.7109375" bestFit="1" customWidth="1"/>
    <col min="261" max="261" width="6.7109375" bestFit="1" customWidth="1"/>
    <col min="262" max="262" width="18.7109375" bestFit="1" customWidth="1"/>
    <col min="263" max="263" width="32.5703125" bestFit="1" customWidth="1"/>
    <col min="264" max="266" width="5.5703125" bestFit="1" customWidth="1"/>
    <col min="267" max="267" width="4.85546875" bestFit="1" customWidth="1"/>
    <col min="268" max="268" width="6.7109375" bestFit="1" customWidth="1"/>
    <col min="269" max="269" width="8.5703125" bestFit="1" customWidth="1"/>
    <col min="270" max="270" width="26.140625" bestFit="1" customWidth="1"/>
    <col min="514" max="514" width="30" bestFit="1" customWidth="1"/>
    <col min="515" max="515" width="30.85546875" bestFit="1" customWidth="1"/>
    <col min="516" max="516" width="7.7109375" bestFit="1" customWidth="1"/>
    <col min="517" max="517" width="6.7109375" bestFit="1" customWidth="1"/>
    <col min="518" max="518" width="18.7109375" bestFit="1" customWidth="1"/>
    <col min="519" max="519" width="32.5703125" bestFit="1" customWidth="1"/>
    <col min="520" max="522" width="5.5703125" bestFit="1" customWidth="1"/>
    <col min="523" max="523" width="4.85546875" bestFit="1" customWidth="1"/>
    <col min="524" max="524" width="6.7109375" bestFit="1" customWidth="1"/>
    <col min="525" max="525" width="8.5703125" bestFit="1" customWidth="1"/>
    <col min="526" max="526" width="26.140625" bestFit="1" customWidth="1"/>
    <col min="770" max="770" width="30" bestFit="1" customWidth="1"/>
    <col min="771" max="771" width="30.85546875" bestFit="1" customWidth="1"/>
    <col min="772" max="772" width="7.7109375" bestFit="1" customWidth="1"/>
    <col min="773" max="773" width="6.7109375" bestFit="1" customWidth="1"/>
    <col min="774" max="774" width="18.7109375" bestFit="1" customWidth="1"/>
    <col min="775" max="775" width="32.5703125" bestFit="1" customWidth="1"/>
    <col min="776" max="778" width="5.5703125" bestFit="1" customWidth="1"/>
    <col min="779" max="779" width="4.85546875" bestFit="1" customWidth="1"/>
    <col min="780" max="780" width="6.7109375" bestFit="1" customWidth="1"/>
    <col min="781" max="781" width="8.5703125" bestFit="1" customWidth="1"/>
    <col min="782" max="782" width="26.140625" bestFit="1" customWidth="1"/>
    <col min="1026" max="1026" width="30" bestFit="1" customWidth="1"/>
    <col min="1027" max="1027" width="30.85546875" bestFit="1" customWidth="1"/>
    <col min="1028" max="1028" width="7.7109375" bestFit="1" customWidth="1"/>
    <col min="1029" max="1029" width="6.7109375" bestFit="1" customWidth="1"/>
    <col min="1030" max="1030" width="18.7109375" bestFit="1" customWidth="1"/>
    <col min="1031" max="1031" width="32.5703125" bestFit="1" customWidth="1"/>
    <col min="1032" max="1034" width="5.5703125" bestFit="1" customWidth="1"/>
    <col min="1035" max="1035" width="4.85546875" bestFit="1" customWidth="1"/>
    <col min="1036" max="1036" width="6.7109375" bestFit="1" customWidth="1"/>
    <col min="1037" max="1037" width="8.5703125" bestFit="1" customWidth="1"/>
    <col min="1038" max="1038" width="26.140625" bestFit="1" customWidth="1"/>
    <col min="1282" max="1282" width="30" bestFit="1" customWidth="1"/>
    <col min="1283" max="1283" width="30.85546875" bestFit="1" customWidth="1"/>
    <col min="1284" max="1284" width="7.7109375" bestFit="1" customWidth="1"/>
    <col min="1285" max="1285" width="6.7109375" bestFit="1" customWidth="1"/>
    <col min="1286" max="1286" width="18.7109375" bestFit="1" customWidth="1"/>
    <col min="1287" max="1287" width="32.5703125" bestFit="1" customWidth="1"/>
    <col min="1288" max="1290" width="5.5703125" bestFit="1" customWidth="1"/>
    <col min="1291" max="1291" width="4.85546875" bestFit="1" customWidth="1"/>
    <col min="1292" max="1292" width="6.7109375" bestFit="1" customWidth="1"/>
    <col min="1293" max="1293" width="8.5703125" bestFit="1" customWidth="1"/>
    <col min="1294" max="1294" width="26.140625" bestFit="1" customWidth="1"/>
    <col min="1538" max="1538" width="30" bestFit="1" customWidth="1"/>
    <col min="1539" max="1539" width="30.85546875" bestFit="1" customWidth="1"/>
    <col min="1540" max="1540" width="7.7109375" bestFit="1" customWidth="1"/>
    <col min="1541" max="1541" width="6.7109375" bestFit="1" customWidth="1"/>
    <col min="1542" max="1542" width="18.7109375" bestFit="1" customWidth="1"/>
    <col min="1543" max="1543" width="32.5703125" bestFit="1" customWidth="1"/>
    <col min="1544" max="1546" width="5.5703125" bestFit="1" customWidth="1"/>
    <col min="1547" max="1547" width="4.85546875" bestFit="1" customWidth="1"/>
    <col min="1548" max="1548" width="6.7109375" bestFit="1" customWidth="1"/>
    <col min="1549" max="1549" width="8.5703125" bestFit="1" customWidth="1"/>
    <col min="1550" max="1550" width="26.140625" bestFit="1" customWidth="1"/>
    <col min="1794" max="1794" width="30" bestFit="1" customWidth="1"/>
    <col min="1795" max="1795" width="30.85546875" bestFit="1" customWidth="1"/>
    <col min="1796" max="1796" width="7.7109375" bestFit="1" customWidth="1"/>
    <col min="1797" max="1797" width="6.7109375" bestFit="1" customWidth="1"/>
    <col min="1798" max="1798" width="18.7109375" bestFit="1" customWidth="1"/>
    <col min="1799" max="1799" width="32.5703125" bestFit="1" customWidth="1"/>
    <col min="1800" max="1802" width="5.5703125" bestFit="1" customWidth="1"/>
    <col min="1803" max="1803" width="4.85546875" bestFit="1" customWidth="1"/>
    <col min="1804" max="1804" width="6.7109375" bestFit="1" customWidth="1"/>
    <col min="1805" max="1805" width="8.5703125" bestFit="1" customWidth="1"/>
    <col min="1806" max="1806" width="26.140625" bestFit="1" customWidth="1"/>
    <col min="2050" max="2050" width="30" bestFit="1" customWidth="1"/>
    <col min="2051" max="2051" width="30.85546875" bestFit="1" customWidth="1"/>
    <col min="2052" max="2052" width="7.7109375" bestFit="1" customWidth="1"/>
    <col min="2053" max="2053" width="6.7109375" bestFit="1" customWidth="1"/>
    <col min="2054" max="2054" width="18.7109375" bestFit="1" customWidth="1"/>
    <col min="2055" max="2055" width="32.5703125" bestFit="1" customWidth="1"/>
    <col min="2056" max="2058" width="5.5703125" bestFit="1" customWidth="1"/>
    <col min="2059" max="2059" width="4.85546875" bestFit="1" customWidth="1"/>
    <col min="2060" max="2060" width="6.7109375" bestFit="1" customWidth="1"/>
    <col min="2061" max="2061" width="8.5703125" bestFit="1" customWidth="1"/>
    <col min="2062" max="2062" width="26.140625" bestFit="1" customWidth="1"/>
    <col min="2306" max="2306" width="30" bestFit="1" customWidth="1"/>
    <col min="2307" max="2307" width="30.85546875" bestFit="1" customWidth="1"/>
    <col min="2308" max="2308" width="7.7109375" bestFit="1" customWidth="1"/>
    <col min="2309" max="2309" width="6.7109375" bestFit="1" customWidth="1"/>
    <col min="2310" max="2310" width="18.7109375" bestFit="1" customWidth="1"/>
    <col min="2311" max="2311" width="32.5703125" bestFit="1" customWidth="1"/>
    <col min="2312" max="2314" width="5.5703125" bestFit="1" customWidth="1"/>
    <col min="2315" max="2315" width="4.85546875" bestFit="1" customWidth="1"/>
    <col min="2316" max="2316" width="6.7109375" bestFit="1" customWidth="1"/>
    <col min="2317" max="2317" width="8.5703125" bestFit="1" customWidth="1"/>
    <col min="2318" max="2318" width="26.140625" bestFit="1" customWidth="1"/>
    <col min="2562" max="2562" width="30" bestFit="1" customWidth="1"/>
    <col min="2563" max="2563" width="30.85546875" bestFit="1" customWidth="1"/>
    <col min="2564" max="2564" width="7.7109375" bestFit="1" customWidth="1"/>
    <col min="2565" max="2565" width="6.7109375" bestFit="1" customWidth="1"/>
    <col min="2566" max="2566" width="18.7109375" bestFit="1" customWidth="1"/>
    <col min="2567" max="2567" width="32.5703125" bestFit="1" customWidth="1"/>
    <col min="2568" max="2570" width="5.5703125" bestFit="1" customWidth="1"/>
    <col min="2571" max="2571" width="4.85546875" bestFit="1" customWidth="1"/>
    <col min="2572" max="2572" width="6.7109375" bestFit="1" customWidth="1"/>
    <col min="2573" max="2573" width="8.5703125" bestFit="1" customWidth="1"/>
    <col min="2574" max="2574" width="26.140625" bestFit="1" customWidth="1"/>
    <col min="2818" max="2818" width="30" bestFit="1" customWidth="1"/>
    <col min="2819" max="2819" width="30.85546875" bestFit="1" customWidth="1"/>
    <col min="2820" max="2820" width="7.7109375" bestFit="1" customWidth="1"/>
    <col min="2821" max="2821" width="6.7109375" bestFit="1" customWidth="1"/>
    <col min="2822" max="2822" width="18.7109375" bestFit="1" customWidth="1"/>
    <col min="2823" max="2823" width="32.5703125" bestFit="1" customWidth="1"/>
    <col min="2824" max="2826" width="5.5703125" bestFit="1" customWidth="1"/>
    <col min="2827" max="2827" width="4.85546875" bestFit="1" customWidth="1"/>
    <col min="2828" max="2828" width="6.7109375" bestFit="1" customWidth="1"/>
    <col min="2829" max="2829" width="8.5703125" bestFit="1" customWidth="1"/>
    <col min="2830" max="2830" width="26.140625" bestFit="1" customWidth="1"/>
    <col min="3074" max="3074" width="30" bestFit="1" customWidth="1"/>
    <col min="3075" max="3075" width="30.85546875" bestFit="1" customWidth="1"/>
    <col min="3076" max="3076" width="7.7109375" bestFit="1" customWidth="1"/>
    <col min="3077" max="3077" width="6.7109375" bestFit="1" customWidth="1"/>
    <col min="3078" max="3078" width="18.7109375" bestFit="1" customWidth="1"/>
    <col min="3079" max="3079" width="32.5703125" bestFit="1" customWidth="1"/>
    <col min="3080" max="3082" width="5.5703125" bestFit="1" customWidth="1"/>
    <col min="3083" max="3083" width="4.85546875" bestFit="1" customWidth="1"/>
    <col min="3084" max="3084" width="6.7109375" bestFit="1" customWidth="1"/>
    <col min="3085" max="3085" width="8.5703125" bestFit="1" customWidth="1"/>
    <col min="3086" max="3086" width="26.140625" bestFit="1" customWidth="1"/>
    <col min="3330" max="3330" width="30" bestFit="1" customWidth="1"/>
    <col min="3331" max="3331" width="30.85546875" bestFit="1" customWidth="1"/>
    <col min="3332" max="3332" width="7.7109375" bestFit="1" customWidth="1"/>
    <col min="3333" max="3333" width="6.7109375" bestFit="1" customWidth="1"/>
    <col min="3334" max="3334" width="18.7109375" bestFit="1" customWidth="1"/>
    <col min="3335" max="3335" width="32.5703125" bestFit="1" customWidth="1"/>
    <col min="3336" max="3338" width="5.5703125" bestFit="1" customWidth="1"/>
    <col min="3339" max="3339" width="4.85546875" bestFit="1" customWidth="1"/>
    <col min="3340" max="3340" width="6.7109375" bestFit="1" customWidth="1"/>
    <col min="3341" max="3341" width="8.5703125" bestFit="1" customWidth="1"/>
    <col min="3342" max="3342" width="26.140625" bestFit="1" customWidth="1"/>
    <col min="3586" max="3586" width="30" bestFit="1" customWidth="1"/>
    <col min="3587" max="3587" width="30.85546875" bestFit="1" customWidth="1"/>
    <col min="3588" max="3588" width="7.7109375" bestFit="1" customWidth="1"/>
    <col min="3589" max="3589" width="6.7109375" bestFit="1" customWidth="1"/>
    <col min="3590" max="3590" width="18.7109375" bestFit="1" customWidth="1"/>
    <col min="3591" max="3591" width="32.5703125" bestFit="1" customWidth="1"/>
    <col min="3592" max="3594" width="5.5703125" bestFit="1" customWidth="1"/>
    <col min="3595" max="3595" width="4.85546875" bestFit="1" customWidth="1"/>
    <col min="3596" max="3596" width="6.7109375" bestFit="1" customWidth="1"/>
    <col min="3597" max="3597" width="8.5703125" bestFit="1" customWidth="1"/>
    <col min="3598" max="3598" width="26.140625" bestFit="1" customWidth="1"/>
    <col min="3842" max="3842" width="30" bestFit="1" customWidth="1"/>
    <col min="3843" max="3843" width="30.85546875" bestFit="1" customWidth="1"/>
    <col min="3844" max="3844" width="7.7109375" bestFit="1" customWidth="1"/>
    <col min="3845" max="3845" width="6.7109375" bestFit="1" customWidth="1"/>
    <col min="3846" max="3846" width="18.7109375" bestFit="1" customWidth="1"/>
    <col min="3847" max="3847" width="32.5703125" bestFit="1" customWidth="1"/>
    <col min="3848" max="3850" width="5.5703125" bestFit="1" customWidth="1"/>
    <col min="3851" max="3851" width="4.85546875" bestFit="1" customWidth="1"/>
    <col min="3852" max="3852" width="6.7109375" bestFit="1" customWidth="1"/>
    <col min="3853" max="3853" width="8.5703125" bestFit="1" customWidth="1"/>
    <col min="3854" max="3854" width="26.140625" bestFit="1" customWidth="1"/>
    <col min="4098" max="4098" width="30" bestFit="1" customWidth="1"/>
    <col min="4099" max="4099" width="30.85546875" bestFit="1" customWidth="1"/>
    <col min="4100" max="4100" width="7.7109375" bestFit="1" customWidth="1"/>
    <col min="4101" max="4101" width="6.7109375" bestFit="1" customWidth="1"/>
    <col min="4102" max="4102" width="18.7109375" bestFit="1" customWidth="1"/>
    <col min="4103" max="4103" width="32.5703125" bestFit="1" customWidth="1"/>
    <col min="4104" max="4106" width="5.5703125" bestFit="1" customWidth="1"/>
    <col min="4107" max="4107" width="4.85546875" bestFit="1" customWidth="1"/>
    <col min="4108" max="4108" width="6.7109375" bestFit="1" customWidth="1"/>
    <col min="4109" max="4109" width="8.5703125" bestFit="1" customWidth="1"/>
    <col min="4110" max="4110" width="26.140625" bestFit="1" customWidth="1"/>
    <col min="4354" max="4354" width="30" bestFit="1" customWidth="1"/>
    <col min="4355" max="4355" width="30.85546875" bestFit="1" customWidth="1"/>
    <col min="4356" max="4356" width="7.7109375" bestFit="1" customWidth="1"/>
    <col min="4357" max="4357" width="6.7109375" bestFit="1" customWidth="1"/>
    <col min="4358" max="4358" width="18.7109375" bestFit="1" customWidth="1"/>
    <col min="4359" max="4359" width="32.5703125" bestFit="1" customWidth="1"/>
    <col min="4360" max="4362" width="5.5703125" bestFit="1" customWidth="1"/>
    <col min="4363" max="4363" width="4.85546875" bestFit="1" customWidth="1"/>
    <col min="4364" max="4364" width="6.7109375" bestFit="1" customWidth="1"/>
    <col min="4365" max="4365" width="8.5703125" bestFit="1" customWidth="1"/>
    <col min="4366" max="4366" width="26.140625" bestFit="1" customWidth="1"/>
    <col min="4610" max="4610" width="30" bestFit="1" customWidth="1"/>
    <col min="4611" max="4611" width="30.85546875" bestFit="1" customWidth="1"/>
    <col min="4612" max="4612" width="7.7109375" bestFit="1" customWidth="1"/>
    <col min="4613" max="4613" width="6.7109375" bestFit="1" customWidth="1"/>
    <col min="4614" max="4614" width="18.7109375" bestFit="1" customWidth="1"/>
    <col min="4615" max="4615" width="32.5703125" bestFit="1" customWidth="1"/>
    <col min="4616" max="4618" width="5.5703125" bestFit="1" customWidth="1"/>
    <col min="4619" max="4619" width="4.85546875" bestFit="1" customWidth="1"/>
    <col min="4620" max="4620" width="6.7109375" bestFit="1" customWidth="1"/>
    <col min="4621" max="4621" width="8.5703125" bestFit="1" customWidth="1"/>
    <col min="4622" max="4622" width="26.140625" bestFit="1" customWidth="1"/>
    <col min="4866" max="4866" width="30" bestFit="1" customWidth="1"/>
    <col min="4867" max="4867" width="30.85546875" bestFit="1" customWidth="1"/>
    <col min="4868" max="4868" width="7.7109375" bestFit="1" customWidth="1"/>
    <col min="4869" max="4869" width="6.7109375" bestFit="1" customWidth="1"/>
    <col min="4870" max="4870" width="18.7109375" bestFit="1" customWidth="1"/>
    <col min="4871" max="4871" width="32.5703125" bestFit="1" customWidth="1"/>
    <col min="4872" max="4874" width="5.5703125" bestFit="1" customWidth="1"/>
    <col min="4875" max="4875" width="4.85546875" bestFit="1" customWidth="1"/>
    <col min="4876" max="4876" width="6.7109375" bestFit="1" customWidth="1"/>
    <col min="4877" max="4877" width="8.5703125" bestFit="1" customWidth="1"/>
    <col min="4878" max="4878" width="26.140625" bestFit="1" customWidth="1"/>
    <col min="5122" max="5122" width="30" bestFit="1" customWidth="1"/>
    <col min="5123" max="5123" width="30.85546875" bestFit="1" customWidth="1"/>
    <col min="5124" max="5124" width="7.7109375" bestFit="1" customWidth="1"/>
    <col min="5125" max="5125" width="6.7109375" bestFit="1" customWidth="1"/>
    <col min="5126" max="5126" width="18.7109375" bestFit="1" customWidth="1"/>
    <col min="5127" max="5127" width="32.5703125" bestFit="1" customWidth="1"/>
    <col min="5128" max="5130" width="5.5703125" bestFit="1" customWidth="1"/>
    <col min="5131" max="5131" width="4.85546875" bestFit="1" customWidth="1"/>
    <col min="5132" max="5132" width="6.7109375" bestFit="1" customWidth="1"/>
    <col min="5133" max="5133" width="8.5703125" bestFit="1" customWidth="1"/>
    <col min="5134" max="5134" width="26.140625" bestFit="1" customWidth="1"/>
    <col min="5378" max="5378" width="30" bestFit="1" customWidth="1"/>
    <col min="5379" max="5379" width="30.85546875" bestFit="1" customWidth="1"/>
    <col min="5380" max="5380" width="7.7109375" bestFit="1" customWidth="1"/>
    <col min="5381" max="5381" width="6.7109375" bestFit="1" customWidth="1"/>
    <col min="5382" max="5382" width="18.7109375" bestFit="1" customWidth="1"/>
    <col min="5383" max="5383" width="32.5703125" bestFit="1" customWidth="1"/>
    <col min="5384" max="5386" width="5.5703125" bestFit="1" customWidth="1"/>
    <col min="5387" max="5387" width="4.85546875" bestFit="1" customWidth="1"/>
    <col min="5388" max="5388" width="6.7109375" bestFit="1" customWidth="1"/>
    <col min="5389" max="5389" width="8.5703125" bestFit="1" customWidth="1"/>
    <col min="5390" max="5390" width="26.140625" bestFit="1" customWidth="1"/>
    <col min="5634" max="5634" width="30" bestFit="1" customWidth="1"/>
    <col min="5635" max="5635" width="30.85546875" bestFit="1" customWidth="1"/>
    <col min="5636" max="5636" width="7.7109375" bestFit="1" customWidth="1"/>
    <col min="5637" max="5637" width="6.7109375" bestFit="1" customWidth="1"/>
    <col min="5638" max="5638" width="18.7109375" bestFit="1" customWidth="1"/>
    <col min="5639" max="5639" width="32.5703125" bestFit="1" customWidth="1"/>
    <col min="5640" max="5642" width="5.5703125" bestFit="1" customWidth="1"/>
    <col min="5643" max="5643" width="4.85546875" bestFit="1" customWidth="1"/>
    <col min="5644" max="5644" width="6.7109375" bestFit="1" customWidth="1"/>
    <col min="5645" max="5645" width="8.5703125" bestFit="1" customWidth="1"/>
    <col min="5646" max="5646" width="26.140625" bestFit="1" customWidth="1"/>
    <col min="5890" max="5890" width="30" bestFit="1" customWidth="1"/>
    <col min="5891" max="5891" width="30.85546875" bestFit="1" customWidth="1"/>
    <col min="5892" max="5892" width="7.7109375" bestFit="1" customWidth="1"/>
    <col min="5893" max="5893" width="6.7109375" bestFit="1" customWidth="1"/>
    <col min="5894" max="5894" width="18.7109375" bestFit="1" customWidth="1"/>
    <col min="5895" max="5895" width="32.5703125" bestFit="1" customWidth="1"/>
    <col min="5896" max="5898" width="5.5703125" bestFit="1" customWidth="1"/>
    <col min="5899" max="5899" width="4.85546875" bestFit="1" customWidth="1"/>
    <col min="5900" max="5900" width="6.7109375" bestFit="1" customWidth="1"/>
    <col min="5901" max="5901" width="8.5703125" bestFit="1" customWidth="1"/>
    <col min="5902" max="5902" width="26.140625" bestFit="1" customWidth="1"/>
    <col min="6146" max="6146" width="30" bestFit="1" customWidth="1"/>
    <col min="6147" max="6147" width="30.85546875" bestFit="1" customWidth="1"/>
    <col min="6148" max="6148" width="7.7109375" bestFit="1" customWidth="1"/>
    <col min="6149" max="6149" width="6.7109375" bestFit="1" customWidth="1"/>
    <col min="6150" max="6150" width="18.7109375" bestFit="1" customWidth="1"/>
    <col min="6151" max="6151" width="32.5703125" bestFit="1" customWidth="1"/>
    <col min="6152" max="6154" width="5.5703125" bestFit="1" customWidth="1"/>
    <col min="6155" max="6155" width="4.85546875" bestFit="1" customWidth="1"/>
    <col min="6156" max="6156" width="6.7109375" bestFit="1" customWidth="1"/>
    <col min="6157" max="6157" width="8.5703125" bestFit="1" customWidth="1"/>
    <col min="6158" max="6158" width="26.140625" bestFit="1" customWidth="1"/>
    <col min="6402" max="6402" width="30" bestFit="1" customWidth="1"/>
    <col min="6403" max="6403" width="30.85546875" bestFit="1" customWidth="1"/>
    <col min="6404" max="6404" width="7.7109375" bestFit="1" customWidth="1"/>
    <col min="6405" max="6405" width="6.7109375" bestFit="1" customWidth="1"/>
    <col min="6406" max="6406" width="18.7109375" bestFit="1" customWidth="1"/>
    <col min="6407" max="6407" width="32.5703125" bestFit="1" customWidth="1"/>
    <col min="6408" max="6410" width="5.5703125" bestFit="1" customWidth="1"/>
    <col min="6411" max="6411" width="4.85546875" bestFit="1" customWidth="1"/>
    <col min="6412" max="6412" width="6.7109375" bestFit="1" customWidth="1"/>
    <col min="6413" max="6413" width="8.5703125" bestFit="1" customWidth="1"/>
    <col min="6414" max="6414" width="26.140625" bestFit="1" customWidth="1"/>
    <col min="6658" max="6658" width="30" bestFit="1" customWidth="1"/>
    <col min="6659" max="6659" width="30.85546875" bestFit="1" customWidth="1"/>
    <col min="6660" max="6660" width="7.7109375" bestFit="1" customWidth="1"/>
    <col min="6661" max="6661" width="6.7109375" bestFit="1" customWidth="1"/>
    <col min="6662" max="6662" width="18.7109375" bestFit="1" customWidth="1"/>
    <col min="6663" max="6663" width="32.5703125" bestFit="1" customWidth="1"/>
    <col min="6664" max="6666" width="5.5703125" bestFit="1" customWidth="1"/>
    <col min="6667" max="6667" width="4.85546875" bestFit="1" customWidth="1"/>
    <col min="6668" max="6668" width="6.7109375" bestFit="1" customWidth="1"/>
    <col min="6669" max="6669" width="8.5703125" bestFit="1" customWidth="1"/>
    <col min="6670" max="6670" width="26.140625" bestFit="1" customWidth="1"/>
    <col min="6914" max="6914" width="30" bestFit="1" customWidth="1"/>
    <col min="6915" max="6915" width="30.85546875" bestFit="1" customWidth="1"/>
    <col min="6916" max="6916" width="7.7109375" bestFit="1" customWidth="1"/>
    <col min="6917" max="6917" width="6.7109375" bestFit="1" customWidth="1"/>
    <col min="6918" max="6918" width="18.7109375" bestFit="1" customWidth="1"/>
    <col min="6919" max="6919" width="32.5703125" bestFit="1" customWidth="1"/>
    <col min="6920" max="6922" width="5.5703125" bestFit="1" customWidth="1"/>
    <col min="6923" max="6923" width="4.85546875" bestFit="1" customWidth="1"/>
    <col min="6924" max="6924" width="6.7109375" bestFit="1" customWidth="1"/>
    <col min="6925" max="6925" width="8.5703125" bestFit="1" customWidth="1"/>
    <col min="6926" max="6926" width="26.140625" bestFit="1" customWidth="1"/>
    <col min="7170" max="7170" width="30" bestFit="1" customWidth="1"/>
    <col min="7171" max="7171" width="30.85546875" bestFit="1" customWidth="1"/>
    <col min="7172" max="7172" width="7.7109375" bestFit="1" customWidth="1"/>
    <col min="7173" max="7173" width="6.7109375" bestFit="1" customWidth="1"/>
    <col min="7174" max="7174" width="18.7109375" bestFit="1" customWidth="1"/>
    <col min="7175" max="7175" width="32.5703125" bestFit="1" customWidth="1"/>
    <col min="7176" max="7178" width="5.5703125" bestFit="1" customWidth="1"/>
    <col min="7179" max="7179" width="4.85546875" bestFit="1" customWidth="1"/>
    <col min="7180" max="7180" width="6.7109375" bestFit="1" customWidth="1"/>
    <col min="7181" max="7181" width="8.5703125" bestFit="1" customWidth="1"/>
    <col min="7182" max="7182" width="26.140625" bestFit="1" customWidth="1"/>
    <col min="7426" max="7426" width="30" bestFit="1" customWidth="1"/>
    <col min="7427" max="7427" width="30.85546875" bestFit="1" customWidth="1"/>
    <col min="7428" max="7428" width="7.7109375" bestFit="1" customWidth="1"/>
    <col min="7429" max="7429" width="6.7109375" bestFit="1" customWidth="1"/>
    <col min="7430" max="7430" width="18.7109375" bestFit="1" customWidth="1"/>
    <col min="7431" max="7431" width="32.5703125" bestFit="1" customWidth="1"/>
    <col min="7432" max="7434" width="5.5703125" bestFit="1" customWidth="1"/>
    <col min="7435" max="7435" width="4.85546875" bestFit="1" customWidth="1"/>
    <col min="7436" max="7436" width="6.7109375" bestFit="1" customWidth="1"/>
    <col min="7437" max="7437" width="8.5703125" bestFit="1" customWidth="1"/>
    <col min="7438" max="7438" width="26.140625" bestFit="1" customWidth="1"/>
    <col min="7682" max="7682" width="30" bestFit="1" customWidth="1"/>
    <col min="7683" max="7683" width="30.85546875" bestFit="1" customWidth="1"/>
    <col min="7684" max="7684" width="7.7109375" bestFit="1" customWidth="1"/>
    <col min="7685" max="7685" width="6.7109375" bestFit="1" customWidth="1"/>
    <col min="7686" max="7686" width="18.7109375" bestFit="1" customWidth="1"/>
    <col min="7687" max="7687" width="32.5703125" bestFit="1" customWidth="1"/>
    <col min="7688" max="7690" width="5.5703125" bestFit="1" customWidth="1"/>
    <col min="7691" max="7691" width="4.85546875" bestFit="1" customWidth="1"/>
    <col min="7692" max="7692" width="6.7109375" bestFit="1" customWidth="1"/>
    <col min="7693" max="7693" width="8.5703125" bestFit="1" customWidth="1"/>
    <col min="7694" max="7694" width="26.140625" bestFit="1" customWidth="1"/>
    <col min="7938" max="7938" width="30" bestFit="1" customWidth="1"/>
    <col min="7939" max="7939" width="30.85546875" bestFit="1" customWidth="1"/>
    <col min="7940" max="7940" width="7.7109375" bestFit="1" customWidth="1"/>
    <col min="7941" max="7941" width="6.7109375" bestFit="1" customWidth="1"/>
    <col min="7942" max="7942" width="18.7109375" bestFit="1" customWidth="1"/>
    <col min="7943" max="7943" width="32.5703125" bestFit="1" customWidth="1"/>
    <col min="7944" max="7946" width="5.5703125" bestFit="1" customWidth="1"/>
    <col min="7947" max="7947" width="4.85546875" bestFit="1" customWidth="1"/>
    <col min="7948" max="7948" width="6.7109375" bestFit="1" customWidth="1"/>
    <col min="7949" max="7949" width="8.5703125" bestFit="1" customWidth="1"/>
    <col min="7950" max="7950" width="26.140625" bestFit="1" customWidth="1"/>
    <col min="8194" max="8194" width="30" bestFit="1" customWidth="1"/>
    <col min="8195" max="8195" width="30.85546875" bestFit="1" customWidth="1"/>
    <col min="8196" max="8196" width="7.7109375" bestFit="1" customWidth="1"/>
    <col min="8197" max="8197" width="6.7109375" bestFit="1" customWidth="1"/>
    <col min="8198" max="8198" width="18.7109375" bestFit="1" customWidth="1"/>
    <col min="8199" max="8199" width="32.5703125" bestFit="1" customWidth="1"/>
    <col min="8200" max="8202" width="5.5703125" bestFit="1" customWidth="1"/>
    <col min="8203" max="8203" width="4.85546875" bestFit="1" customWidth="1"/>
    <col min="8204" max="8204" width="6.7109375" bestFit="1" customWidth="1"/>
    <col min="8205" max="8205" width="8.5703125" bestFit="1" customWidth="1"/>
    <col min="8206" max="8206" width="26.140625" bestFit="1" customWidth="1"/>
    <col min="8450" max="8450" width="30" bestFit="1" customWidth="1"/>
    <col min="8451" max="8451" width="30.85546875" bestFit="1" customWidth="1"/>
    <col min="8452" max="8452" width="7.7109375" bestFit="1" customWidth="1"/>
    <col min="8453" max="8453" width="6.7109375" bestFit="1" customWidth="1"/>
    <col min="8454" max="8454" width="18.7109375" bestFit="1" customWidth="1"/>
    <col min="8455" max="8455" width="32.5703125" bestFit="1" customWidth="1"/>
    <col min="8456" max="8458" width="5.5703125" bestFit="1" customWidth="1"/>
    <col min="8459" max="8459" width="4.85546875" bestFit="1" customWidth="1"/>
    <col min="8460" max="8460" width="6.7109375" bestFit="1" customWidth="1"/>
    <col min="8461" max="8461" width="8.5703125" bestFit="1" customWidth="1"/>
    <col min="8462" max="8462" width="26.140625" bestFit="1" customWidth="1"/>
    <col min="8706" max="8706" width="30" bestFit="1" customWidth="1"/>
    <col min="8707" max="8707" width="30.85546875" bestFit="1" customWidth="1"/>
    <col min="8708" max="8708" width="7.7109375" bestFit="1" customWidth="1"/>
    <col min="8709" max="8709" width="6.7109375" bestFit="1" customWidth="1"/>
    <col min="8710" max="8710" width="18.7109375" bestFit="1" customWidth="1"/>
    <col min="8711" max="8711" width="32.5703125" bestFit="1" customWidth="1"/>
    <col min="8712" max="8714" width="5.5703125" bestFit="1" customWidth="1"/>
    <col min="8715" max="8715" width="4.85546875" bestFit="1" customWidth="1"/>
    <col min="8716" max="8716" width="6.7109375" bestFit="1" customWidth="1"/>
    <col min="8717" max="8717" width="8.5703125" bestFit="1" customWidth="1"/>
    <col min="8718" max="8718" width="26.140625" bestFit="1" customWidth="1"/>
    <col min="8962" max="8962" width="30" bestFit="1" customWidth="1"/>
    <col min="8963" max="8963" width="30.85546875" bestFit="1" customWidth="1"/>
    <col min="8964" max="8964" width="7.7109375" bestFit="1" customWidth="1"/>
    <col min="8965" max="8965" width="6.7109375" bestFit="1" customWidth="1"/>
    <col min="8966" max="8966" width="18.7109375" bestFit="1" customWidth="1"/>
    <col min="8967" max="8967" width="32.5703125" bestFit="1" customWidth="1"/>
    <col min="8968" max="8970" width="5.5703125" bestFit="1" customWidth="1"/>
    <col min="8971" max="8971" width="4.85546875" bestFit="1" customWidth="1"/>
    <col min="8972" max="8972" width="6.7109375" bestFit="1" customWidth="1"/>
    <col min="8973" max="8973" width="8.5703125" bestFit="1" customWidth="1"/>
    <col min="8974" max="8974" width="26.140625" bestFit="1" customWidth="1"/>
    <col min="9218" max="9218" width="30" bestFit="1" customWidth="1"/>
    <col min="9219" max="9219" width="30.85546875" bestFit="1" customWidth="1"/>
    <col min="9220" max="9220" width="7.7109375" bestFit="1" customWidth="1"/>
    <col min="9221" max="9221" width="6.7109375" bestFit="1" customWidth="1"/>
    <col min="9222" max="9222" width="18.7109375" bestFit="1" customWidth="1"/>
    <col min="9223" max="9223" width="32.5703125" bestFit="1" customWidth="1"/>
    <col min="9224" max="9226" width="5.5703125" bestFit="1" customWidth="1"/>
    <col min="9227" max="9227" width="4.85546875" bestFit="1" customWidth="1"/>
    <col min="9228" max="9228" width="6.7109375" bestFit="1" customWidth="1"/>
    <col min="9229" max="9229" width="8.5703125" bestFit="1" customWidth="1"/>
    <col min="9230" max="9230" width="26.140625" bestFit="1" customWidth="1"/>
    <col min="9474" max="9474" width="30" bestFit="1" customWidth="1"/>
    <col min="9475" max="9475" width="30.85546875" bestFit="1" customWidth="1"/>
    <col min="9476" max="9476" width="7.7109375" bestFit="1" customWidth="1"/>
    <col min="9477" max="9477" width="6.7109375" bestFit="1" customWidth="1"/>
    <col min="9478" max="9478" width="18.7109375" bestFit="1" customWidth="1"/>
    <col min="9479" max="9479" width="32.5703125" bestFit="1" customWidth="1"/>
    <col min="9480" max="9482" width="5.5703125" bestFit="1" customWidth="1"/>
    <col min="9483" max="9483" width="4.85546875" bestFit="1" customWidth="1"/>
    <col min="9484" max="9484" width="6.7109375" bestFit="1" customWidth="1"/>
    <col min="9485" max="9485" width="8.5703125" bestFit="1" customWidth="1"/>
    <col min="9486" max="9486" width="26.140625" bestFit="1" customWidth="1"/>
    <col min="9730" max="9730" width="30" bestFit="1" customWidth="1"/>
    <col min="9731" max="9731" width="30.85546875" bestFit="1" customWidth="1"/>
    <col min="9732" max="9732" width="7.7109375" bestFit="1" customWidth="1"/>
    <col min="9733" max="9733" width="6.7109375" bestFit="1" customWidth="1"/>
    <col min="9734" max="9734" width="18.7109375" bestFit="1" customWidth="1"/>
    <col min="9735" max="9735" width="32.5703125" bestFit="1" customWidth="1"/>
    <col min="9736" max="9738" width="5.5703125" bestFit="1" customWidth="1"/>
    <col min="9739" max="9739" width="4.85546875" bestFit="1" customWidth="1"/>
    <col min="9740" max="9740" width="6.7109375" bestFit="1" customWidth="1"/>
    <col min="9741" max="9741" width="8.5703125" bestFit="1" customWidth="1"/>
    <col min="9742" max="9742" width="26.140625" bestFit="1" customWidth="1"/>
    <col min="9986" max="9986" width="30" bestFit="1" customWidth="1"/>
    <col min="9987" max="9987" width="30.85546875" bestFit="1" customWidth="1"/>
    <col min="9988" max="9988" width="7.7109375" bestFit="1" customWidth="1"/>
    <col min="9989" max="9989" width="6.7109375" bestFit="1" customWidth="1"/>
    <col min="9990" max="9990" width="18.7109375" bestFit="1" customWidth="1"/>
    <col min="9991" max="9991" width="32.5703125" bestFit="1" customWidth="1"/>
    <col min="9992" max="9994" width="5.5703125" bestFit="1" customWidth="1"/>
    <col min="9995" max="9995" width="4.85546875" bestFit="1" customWidth="1"/>
    <col min="9996" max="9996" width="6.7109375" bestFit="1" customWidth="1"/>
    <col min="9997" max="9997" width="8.5703125" bestFit="1" customWidth="1"/>
    <col min="9998" max="9998" width="26.140625" bestFit="1" customWidth="1"/>
    <col min="10242" max="10242" width="30" bestFit="1" customWidth="1"/>
    <col min="10243" max="10243" width="30.85546875" bestFit="1" customWidth="1"/>
    <col min="10244" max="10244" width="7.7109375" bestFit="1" customWidth="1"/>
    <col min="10245" max="10245" width="6.7109375" bestFit="1" customWidth="1"/>
    <col min="10246" max="10246" width="18.7109375" bestFit="1" customWidth="1"/>
    <col min="10247" max="10247" width="32.5703125" bestFit="1" customWidth="1"/>
    <col min="10248" max="10250" width="5.5703125" bestFit="1" customWidth="1"/>
    <col min="10251" max="10251" width="4.85546875" bestFit="1" customWidth="1"/>
    <col min="10252" max="10252" width="6.7109375" bestFit="1" customWidth="1"/>
    <col min="10253" max="10253" width="8.5703125" bestFit="1" customWidth="1"/>
    <col min="10254" max="10254" width="26.140625" bestFit="1" customWidth="1"/>
    <col min="10498" max="10498" width="30" bestFit="1" customWidth="1"/>
    <col min="10499" max="10499" width="30.85546875" bestFit="1" customWidth="1"/>
    <col min="10500" max="10500" width="7.7109375" bestFit="1" customWidth="1"/>
    <col min="10501" max="10501" width="6.7109375" bestFit="1" customWidth="1"/>
    <col min="10502" max="10502" width="18.7109375" bestFit="1" customWidth="1"/>
    <col min="10503" max="10503" width="32.5703125" bestFit="1" customWidth="1"/>
    <col min="10504" max="10506" width="5.5703125" bestFit="1" customWidth="1"/>
    <col min="10507" max="10507" width="4.85546875" bestFit="1" customWidth="1"/>
    <col min="10508" max="10508" width="6.7109375" bestFit="1" customWidth="1"/>
    <col min="10509" max="10509" width="8.5703125" bestFit="1" customWidth="1"/>
    <col min="10510" max="10510" width="26.140625" bestFit="1" customWidth="1"/>
    <col min="10754" max="10754" width="30" bestFit="1" customWidth="1"/>
    <col min="10755" max="10755" width="30.85546875" bestFit="1" customWidth="1"/>
    <col min="10756" max="10756" width="7.7109375" bestFit="1" customWidth="1"/>
    <col min="10757" max="10757" width="6.7109375" bestFit="1" customWidth="1"/>
    <col min="10758" max="10758" width="18.7109375" bestFit="1" customWidth="1"/>
    <col min="10759" max="10759" width="32.5703125" bestFit="1" customWidth="1"/>
    <col min="10760" max="10762" width="5.5703125" bestFit="1" customWidth="1"/>
    <col min="10763" max="10763" width="4.85546875" bestFit="1" customWidth="1"/>
    <col min="10764" max="10764" width="6.7109375" bestFit="1" customWidth="1"/>
    <col min="10765" max="10765" width="8.5703125" bestFit="1" customWidth="1"/>
    <col min="10766" max="10766" width="26.140625" bestFit="1" customWidth="1"/>
    <col min="11010" max="11010" width="30" bestFit="1" customWidth="1"/>
    <col min="11011" max="11011" width="30.85546875" bestFit="1" customWidth="1"/>
    <col min="11012" max="11012" width="7.7109375" bestFit="1" customWidth="1"/>
    <col min="11013" max="11013" width="6.7109375" bestFit="1" customWidth="1"/>
    <col min="11014" max="11014" width="18.7109375" bestFit="1" customWidth="1"/>
    <col min="11015" max="11015" width="32.5703125" bestFit="1" customWidth="1"/>
    <col min="11016" max="11018" width="5.5703125" bestFit="1" customWidth="1"/>
    <col min="11019" max="11019" width="4.85546875" bestFit="1" customWidth="1"/>
    <col min="11020" max="11020" width="6.7109375" bestFit="1" customWidth="1"/>
    <col min="11021" max="11021" width="8.5703125" bestFit="1" customWidth="1"/>
    <col min="11022" max="11022" width="26.140625" bestFit="1" customWidth="1"/>
    <col min="11266" max="11266" width="30" bestFit="1" customWidth="1"/>
    <col min="11267" max="11267" width="30.85546875" bestFit="1" customWidth="1"/>
    <col min="11268" max="11268" width="7.7109375" bestFit="1" customWidth="1"/>
    <col min="11269" max="11269" width="6.7109375" bestFit="1" customWidth="1"/>
    <col min="11270" max="11270" width="18.7109375" bestFit="1" customWidth="1"/>
    <col min="11271" max="11271" width="32.5703125" bestFit="1" customWidth="1"/>
    <col min="11272" max="11274" width="5.5703125" bestFit="1" customWidth="1"/>
    <col min="11275" max="11275" width="4.85546875" bestFit="1" customWidth="1"/>
    <col min="11276" max="11276" width="6.7109375" bestFit="1" customWidth="1"/>
    <col min="11277" max="11277" width="8.5703125" bestFit="1" customWidth="1"/>
    <col min="11278" max="11278" width="26.140625" bestFit="1" customWidth="1"/>
    <col min="11522" max="11522" width="30" bestFit="1" customWidth="1"/>
    <col min="11523" max="11523" width="30.85546875" bestFit="1" customWidth="1"/>
    <col min="11524" max="11524" width="7.7109375" bestFit="1" customWidth="1"/>
    <col min="11525" max="11525" width="6.7109375" bestFit="1" customWidth="1"/>
    <col min="11526" max="11526" width="18.7109375" bestFit="1" customWidth="1"/>
    <col min="11527" max="11527" width="32.5703125" bestFit="1" customWidth="1"/>
    <col min="11528" max="11530" width="5.5703125" bestFit="1" customWidth="1"/>
    <col min="11531" max="11531" width="4.85546875" bestFit="1" customWidth="1"/>
    <col min="11532" max="11532" width="6.7109375" bestFit="1" customWidth="1"/>
    <col min="11533" max="11533" width="8.5703125" bestFit="1" customWidth="1"/>
    <col min="11534" max="11534" width="26.140625" bestFit="1" customWidth="1"/>
    <col min="11778" max="11778" width="30" bestFit="1" customWidth="1"/>
    <col min="11779" max="11779" width="30.85546875" bestFit="1" customWidth="1"/>
    <col min="11780" max="11780" width="7.7109375" bestFit="1" customWidth="1"/>
    <col min="11781" max="11781" width="6.7109375" bestFit="1" customWidth="1"/>
    <col min="11782" max="11782" width="18.7109375" bestFit="1" customWidth="1"/>
    <col min="11783" max="11783" width="32.5703125" bestFit="1" customWidth="1"/>
    <col min="11784" max="11786" width="5.5703125" bestFit="1" customWidth="1"/>
    <col min="11787" max="11787" width="4.85546875" bestFit="1" customWidth="1"/>
    <col min="11788" max="11788" width="6.7109375" bestFit="1" customWidth="1"/>
    <col min="11789" max="11789" width="8.5703125" bestFit="1" customWidth="1"/>
    <col min="11790" max="11790" width="26.140625" bestFit="1" customWidth="1"/>
    <col min="12034" max="12034" width="30" bestFit="1" customWidth="1"/>
    <col min="12035" max="12035" width="30.85546875" bestFit="1" customWidth="1"/>
    <col min="12036" max="12036" width="7.7109375" bestFit="1" customWidth="1"/>
    <col min="12037" max="12037" width="6.7109375" bestFit="1" customWidth="1"/>
    <col min="12038" max="12038" width="18.7109375" bestFit="1" customWidth="1"/>
    <col min="12039" max="12039" width="32.5703125" bestFit="1" customWidth="1"/>
    <col min="12040" max="12042" width="5.5703125" bestFit="1" customWidth="1"/>
    <col min="12043" max="12043" width="4.85546875" bestFit="1" customWidth="1"/>
    <col min="12044" max="12044" width="6.7109375" bestFit="1" customWidth="1"/>
    <col min="12045" max="12045" width="8.5703125" bestFit="1" customWidth="1"/>
    <col min="12046" max="12046" width="26.140625" bestFit="1" customWidth="1"/>
    <col min="12290" max="12290" width="30" bestFit="1" customWidth="1"/>
    <col min="12291" max="12291" width="30.85546875" bestFit="1" customWidth="1"/>
    <col min="12292" max="12292" width="7.7109375" bestFit="1" customWidth="1"/>
    <col min="12293" max="12293" width="6.7109375" bestFit="1" customWidth="1"/>
    <col min="12294" max="12294" width="18.7109375" bestFit="1" customWidth="1"/>
    <col min="12295" max="12295" width="32.5703125" bestFit="1" customWidth="1"/>
    <col min="12296" max="12298" width="5.5703125" bestFit="1" customWidth="1"/>
    <col min="12299" max="12299" width="4.85546875" bestFit="1" customWidth="1"/>
    <col min="12300" max="12300" width="6.7109375" bestFit="1" customWidth="1"/>
    <col min="12301" max="12301" width="8.5703125" bestFit="1" customWidth="1"/>
    <col min="12302" max="12302" width="26.140625" bestFit="1" customWidth="1"/>
    <col min="12546" max="12546" width="30" bestFit="1" customWidth="1"/>
    <col min="12547" max="12547" width="30.85546875" bestFit="1" customWidth="1"/>
    <col min="12548" max="12548" width="7.7109375" bestFit="1" customWidth="1"/>
    <col min="12549" max="12549" width="6.7109375" bestFit="1" customWidth="1"/>
    <col min="12550" max="12550" width="18.7109375" bestFit="1" customWidth="1"/>
    <col min="12551" max="12551" width="32.5703125" bestFit="1" customWidth="1"/>
    <col min="12552" max="12554" width="5.5703125" bestFit="1" customWidth="1"/>
    <col min="12555" max="12555" width="4.85546875" bestFit="1" customWidth="1"/>
    <col min="12556" max="12556" width="6.7109375" bestFit="1" customWidth="1"/>
    <col min="12557" max="12557" width="8.5703125" bestFit="1" customWidth="1"/>
    <col min="12558" max="12558" width="26.140625" bestFit="1" customWidth="1"/>
    <col min="12802" max="12802" width="30" bestFit="1" customWidth="1"/>
    <col min="12803" max="12803" width="30.85546875" bestFit="1" customWidth="1"/>
    <col min="12804" max="12804" width="7.7109375" bestFit="1" customWidth="1"/>
    <col min="12805" max="12805" width="6.7109375" bestFit="1" customWidth="1"/>
    <col min="12806" max="12806" width="18.7109375" bestFit="1" customWidth="1"/>
    <col min="12807" max="12807" width="32.5703125" bestFit="1" customWidth="1"/>
    <col min="12808" max="12810" width="5.5703125" bestFit="1" customWidth="1"/>
    <col min="12811" max="12811" width="4.85546875" bestFit="1" customWidth="1"/>
    <col min="12812" max="12812" width="6.7109375" bestFit="1" customWidth="1"/>
    <col min="12813" max="12813" width="8.5703125" bestFit="1" customWidth="1"/>
    <col min="12814" max="12814" width="26.140625" bestFit="1" customWidth="1"/>
    <col min="13058" max="13058" width="30" bestFit="1" customWidth="1"/>
    <col min="13059" max="13059" width="30.85546875" bestFit="1" customWidth="1"/>
    <col min="13060" max="13060" width="7.7109375" bestFit="1" customWidth="1"/>
    <col min="13061" max="13061" width="6.7109375" bestFit="1" customWidth="1"/>
    <col min="13062" max="13062" width="18.7109375" bestFit="1" customWidth="1"/>
    <col min="13063" max="13063" width="32.5703125" bestFit="1" customWidth="1"/>
    <col min="13064" max="13066" width="5.5703125" bestFit="1" customWidth="1"/>
    <col min="13067" max="13067" width="4.85546875" bestFit="1" customWidth="1"/>
    <col min="13068" max="13068" width="6.7109375" bestFit="1" customWidth="1"/>
    <col min="13069" max="13069" width="8.5703125" bestFit="1" customWidth="1"/>
    <col min="13070" max="13070" width="26.140625" bestFit="1" customWidth="1"/>
    <col min="13314" max="13314" width="30" bestFit="1" customWidth="1"/>
    <col min="13315" max="13315" width="30.85546875" bestFit="1" customWidth="1"/>
    <col min="13316" max="13316" width="7.7109375" bestFit="1" customWidth="1"/>
    <col min="13317" max="13317" width="6.7109375" bestFit="1" customWidth="1"/>
    <col min="13318" max="13318" width="18.7109375" bestFit="1" customWidth="1"/>
    <col min="13319" max="13319" width="32.5703125" bestFit="1" customWidth="1"/>
    <col min="13320" max="13322" width="5.5703125" bestFit="1" customWidth="1"/>
    <col min="13323" max="13323" width="4.85546875" bestFit="1" customWidth="1"/>
    <col min="13324" max="13324" width="6.7109375" bestFit="1" customWidth="1"/>
    <col min="13325" max="13325" width="8.5703125" bestFit="1" customWidth="1"/>
    <col min="13326" max="13326" width="26.140625" bestFit="1" customWidth="1"/>
    <col min="13570" max="13570" width="30" bestFit="1" customWidth="1"/>
    <col min="13571" max="13571" width="30.85546875" bestFit="1" customWidth="1"/>
    <col min="13572" max="13572" width="7.7109375" bestFit="1" customWidth="1"/>
    <col min="13573" max="13573" width="6.7109375" bestFit="1" customWidth="1"/>
    <col min="13574" max="13574" width="18.7109375" bestFit="1" customWidth="1"/>
    <col min="13575" max="13575" width="32.5703125" bestFit="1" customWidth="1"/>
    <col min="13576" max="13578" width="5.5703125" bestFit="1" customWidth="1"/>
    <col min="13579" max="13579" width="4.85546875" bestFit="1" customWidth="1"/>
    <col min="13580" max="13580" width="6.7109375" bestFit="1" customWidth="1"/>
    <col min="13581" max="13581" width="8.5703125" bestFit="1" customWidth="1"/>
    <col min="13582" max="13582" width="26.140625" bestFit="1" customWidth="1"/>
    <col min="13826" max="13826" width="30" bestFit="1" customWidth="1"/>
    <col min="13827" max="13827" width="30.85546875" bestFit="1" customWidth="1"/>
    <col min="13828" max="13828" width="7.7109375" bestFit="1" customWidth="1"/>
    <col min="13829" max="13829" width="6.7109375" bestFit="1" customWidth="1"/>
    <col min="13830" max="13830" width="18.7109375" bestFit="1" customWidth="1"/>
    <col min="13831" max="13831" width="32.5703125" bestFit="1" customWidth="1"/>
    <col min="13832" max="13834" width="5.5703125" bestFit="1" customWidth="1"/>
    <col min="13835" max="13835" width="4.85546875" bestFit="1" customWidth="1"/>
    <col min="13836" max="13836" width="6.7109375" bestFit="1" customWidth="1"/>
    <col min="13837" max="13837" width="8.5703125" bestFit="1" customWidth="1"/>
    <col min="13838" max="13838" width="26.140625" bestFit="1" customWidth="1"/>
    <col min="14082" max="14082" width="30" bestFit="1" customWidth="1"/>
    <col min="14083" max="14083" width="30.85546875" bestFit="1" customWidth="1"/>
    <col min="14084" max="14084" width="7.7109375" bestFit="1" customWidth="1"/>
    <col min="14085" max="14085" width="6.7109375" bestFit="1" customWidth="1"/>
    <col min="14086" max="14086" width="18.7109375" bestFit="1" customWidth="1"/>
    <col min="14087" max="14087" width="32.5703125" bestFit="1" customWidth="1"/>
    <col min="14088" max="14090" width="5.5703125" bestFit="1" customWidth="1"/>
    <col min="14091" max="14091" width="4.85546875" bestFit="1" customWidth="1"/>
    <col min="14092" max="14092" width="6.7109375" bestFit="1" customWidth="1"/>
    <col min="14093" max="14093" width="8.5703125" bestFit="1" customWidth="1"/>
    <col min="14094" max="14094" width="26.140625" bestFit="1" customWidth="1"/>
    <col min="14338" max="14338" width="30" bestFit="1" customWidth="1"/>
    <col min="14339" max="14339" width="30.85546875" bestFit="1" customWidth="1"/>
    <col min="14340" max="14340" width="7.7109375" bestFit="1" customWidth="1"/>
    <col min="14341" max="14341" width="6.7109375" bestFit="1" customWidth="1"/>
    <col min="14342" max="14342" width="18.7109375" bestFit="1" customWidth="1"/>
    <col min="14343" max="14343" width="32.5703125" bestFit="1" customWidth="1"/>
    <col min="14344" max="14346" width="5.5703125" bestFit="1" customWidth="1"/>
    <col min="14347" max="14347" width="4.85546875" bestFit="1" customWidth="1"/>
    <col min="14348" max="14348" width="6.7109375" bestFit="1" customWidth="1"/>
    <col min="14349" max="14349" width="8.5703125" bestFit="1" customWidth="1"/>
    <col min="14350" max="14350" width="26.140625" bestFit="1" customWidth="1"/>
    <col min="14594" max="14594" width="30" bestFit="1" customWidth="1"/>
    <col min="14595" max="14595" width="30.85546875" bestFit="1" customWidth="1"/>
    <col min="14596" max="14596" width="7.7109375" bestFit="1" customWidth="1"/>
    <col min="14597" max="14597" width="6.7109375" bestFit="1" customWidth="1"/>
    <col min="14598" max="14598" width="18.7109375" bestFit="1" customWidth="1"/>
    <col min="14599" max="14599" width="32.5703125" bestFit="1" customWidth="1"/>
    <col min="14600" max="14602" width="5.5703125" bestFit="1" customWidth="1"/>
    <col min="14603" max="14603" width="4.85546875" bestFit="1" customWidth="1"/>
    <col min="14604" max="14604" width="6.7109375" bestFit="1" customWidth="1"/>
    <col min="14605" max="14605" width="8.5703125" bestFit="1" customWidth="1"/>
    <col min="14606" max="14606" width="26.140625" bestFit="1" customWidth="1"/>
    <col min="14850" max="14850" width="30" bestFit="1" customWidth="1"/>
    <col min="14851" max="14851" width="30.85546875" bestFit="1" customWidth="1"/>
    <col min="14852" max="14852" width="7.7109375" bestFit="1" customWidth="1"/>
    <col min="14853" max="14853" width="6.7109375" bestFit="1" customWidth="1"/>
    <col min="14854" max="14854" width="18.7109375" bestFit="1" customWidth="1"/>
    <col min="14855" max="14855" width="32.5703125" bestFit="1" customWidth="1"/>
    <col min="14856" max="14858" width="5.5703125" bestFit="1" customWidth="1"/>
    <col min="14859" max="14859" width="4.85546875" bestFit="1" customWidth="1"/>
    <col min="14860" max="14860" width="6.7109375" bestFit="1" customWidth="1"/>
    <col min="14861" max="14861" width="8.5703125" bestFit="1" customWidth="1"/>
    <col min="14862" max="14862" width="26.140625" bestFit="1" customWidth="1"/>
    <col min="15106" max="15106" width="30" bestFit="1" customWidth="1"/>
    <col min="15107" max="15107" width="30.85546875" bestFit="1" customWidth="1"/>
    <col min="15108" max="15108" width="7.7109375" bestFit="1" customWidth="1"/>
    <col min="15109" max="15109" width="6.7109375" bestFit="1" customWidth="1"/>
    <col min="15110" max="15110" width="18.7109375" bestFit="1" customWidth="1"/>
    <col min="15111" max="15111" width="32.5703125" bestFit="1" customWidth="1"/>
    <col min="15112" max="15114" width="5.5703125" bestFit="1" customWidth="1"/>
    <col min="15115" max="15115" width="4.85546875" bestFit="1" customWidth="1"/>
    <col min="15116" max="15116" width="6.7109375" bestFit="1" customWidth="1"/>
    <col min="15117" max="15117" width="8.5703125" bestFit="1" customWidth="1"/>
    <col min="15118" max="15118" width="26.140625" bestFit="1" customWidth="1"/>
    <col min="15362" max="15362" width="30" bestFit="1" customWidth="1"/>
    <col min="15363" max="15363" width="30.85546875" bestFit="1" customWidth="1"/>
    <col min="15364" max="15364" width="7.7109375" bestFit="1" customWidth="1"/>
    <col min="15365" max="15365" width="6.7109375" bestFit="1" customWidth="1"/>
    <col min="15366" max="15366" width="18.7109375" bestFit="1" customWidth="1"/>
    <col min="15367" max="15367" width="32.5703125" bestFit="1" customWidth="1"/>
    <col min="15368" max="15370" width="5.5703125" bestFit="1" customWidth="1"/>
    <col min="15371" max="15371" width="4.85546875" bestFit="1" customWidth="1"/>
    <col min="15372" max="15372" width="6.7109375" bestFit="1" customWidth="1"/>
    <col min="15373" max="15373" width="8.5703125" bestFit="1" customWidth="1"/>
    <col min="15374" max="15374" width="26.140625" bestFit="1" customWidth="1"/>
    <col min="15618" max="15618" width="30" bestFit="1" customWidth="1"/>
    <col min="15619" max="15619" width="30.85546875" bestFit="1" customWidth="1"/>
    <col min="15620" max="15620" width="7.7109375" bestFit="1" customWidth="1"/>
    <col min="15621" max="15621" width="6.7109375" bestFit="1" customWidth="1"/>
    <col min="15622" max="15622" width="18.7109375" bestFit="1" customWidth="1"/>
    <col min="15623" max="15623" width="32.5703125" bestFit="1" customWidth="1"/>
    <col min="15624" max="15626" width="5.5703125" bestFit="1" customWidth="1"/>
    <col min="15627" max="15627" width="4.85546875" bestFit="1" customWidth="1"/>
    <col min="15628" max="15628" width="6.7109375" bestFit="1" customWidth="1"/>
    <col min="15629" max="15629" width="8.5703125" bestFit="1" customWidth="1"/>
    <col min="15630" max="15630" width="26.140625" bestFit="1" customWidth="1"/>
    <col min="15874" max="15874" width="30" bestFit="1" customWidth="1"/>
    <col min="15875" max="15875" width="30.85546875" bestFit="1" customWidth="1"/>
    <col min="15876" max="15876" width="7.7109375" bestFit="1" customWidth="1"/>
    <col min="15877" max="15877" width="6.7109375" bestFit="1" customWidth="1"/>
    <col min="15878" max="15878" width="18.7109375" bestFit="1" customWidth="1"/>
    <col min="15879" max="15879" width="32.5703125" bestFit="1" customWidth="1"/>
    <col min="15880" max="15882" width="5.5703125" bestFit="1" customWidth="1"/>
    <col min="15883" max="15883" width="4.85546875" bestFit="1" customWidth="1"/>
    <col min="15884" max="15884" width="6.7109375" bestFit="1" customWidth="1"/>
    <col min="15885" max="15885" width="8.5703125" bestFit="1" customWidth="1"/>
    <col min="15886" max="15886" width="26.140625" bestFit="1" customWidth="1"/>
    <col min="16130" max="16130" width="30" bestFit="1" customWidth="1"/>
    <col min="16131" max="16131" width="30.85546875" bestFit="1" customWidth="1"/>
    <col min="16132" max="16132" width="7.7109375" bestFit="1" customWidth="1"/>
    <col min="16133" max="16133" width="6.7109375" bestFit="1" customWidth="1"/>
    <col min="16134" max="16134" width="18.7109375" bestFit="1" customWidth="1"/>
    <col min="16135" max="16135" width="32.5703125" bestFit="1" customWidth="1"/>
    <col min="16136" max="16138" width="5.5703125" bestFit="1" customWidth="1"/>
    <col min="16139" max="16139" width="4.85546875" bestFit="1" customWidth="1"/>
    <col min="16140" max="16140" width="6.7109375" bestFit="1" customWidth="1"/>
    <col min="16141" max="16141" width="8.5703125" bestFit="1" customWidth="1"/>
    <col min="16142" max="16142" width="26.140625" bestFit="1" customWidth="1"/>
  </cols>
  <sheetData>
    <row r="1" spans="1:18" s="1" customFormat="1" ht="30" customHeight="1" x14ac:dyDescent="0.2">
      <c r="A1" s="295" t="s">
        <v>4023</v>
      </c>
      <c r="B1" s="295"/>
      <c r="C1" s="295"/>
      <c r="D1" s="295"/>
      <c r="E1" s="295"/>
      <c r="F1" s="295"/>
      <c r="G1" s="295"/>
      <c r="H1" s="295"/>
      <c r="I1" s="295"/>
      <c r="J1" s="295"/>
      <c r="K1" s="295"/>
      <c r="L1" s="295"/>
      <c r="M1" s="295"/>
      <c r="N1" s="295"/>
      <c r="O1" s="241"/>
      <c r="P1" s="241"/>
      <c r="Q1" s="241"/>
      <c r="R1" s="241"/>
    </row>
    <row r="2" spans="1:18" s="1" customFormat="1" ht="30" customHeight="1" x14ac:dyDescent="0.2">
      <c r="A2" s="295" t="s">
        <v>4042</v>
      </c>
      <c r="B2" s="295"/>
      <c r="C2" s="295"/>
      <c r="D2" s="295"/>
      <c r="E2" s="295"/>
      <c r="F2" s="295"/>
      <c r="G2" s="295"/>
      <c r="H2" s="295"/>
      <c r="I2" s="295"/>
      <c r="J2" s="295"/>
      <c r="K2" s="295"/>
      <c r="L2" s="295"/>
      <c r="M2" s="295"/>
      <c r="N2" s="295"/>
      <c r="O2" s="241"/>
      <c r="P2" s="241"/>
      <c r="Q2" s="241"/>
      <c r="R2" s="241"/>
    </row>
    <row r="3" spans="1:18" s="1" customFormat="1" ht="30.75" customHeight="1" thickBot="1" x14ac:dyDescent="0.25">
      <c r="A3" s="295" t="s">
        <v>3381</v>
      </c>
      <c r="B3" s="295"/>
      <c r="C3" s="295"/>
      <c r="D3" s="295"/>
      <c r="E3" s="295"/>
      <c r="F3" s="295"/>
      <c r="G3" s="295"/>
      <c r="H3" s="295"/>
      <c r="I3" s="295"/>
      <c r="J3" s="295"/>
      <c r="K3" s="295"/>
      <c r="L3" s="295"/>
      <c r="M3" s="295"/>
      <c r="N3" s="295"/>
      <c r="O3" s="241"/>
      <c r="P3" s="241"/>
      <c r="Q3" s="241"/>
      <c r="R3" s="241"/>
    </row>
    <row r="4" spans="1:18" s="5" customFormat="1" ht="12.75" customHeight="1" x14ac:dyDescent="0.2">
      <c r="A4" s="297" t="s">
        <v>719</v>
      </c>
      <c r="B4" s="300" t="s">
        <v>0</v>
      </c>
      <c r="C4" s="302" t="s">
        <v>3382</v>
      </c>
      <c r="D4" s="302" t="s">
        <v>8</v>
      </c>
      <c r="E4" s="304" t="s">
        <v>9</v>
      </c>
      <c r="F4" s="304" t="s">
        <v>1</v>
      </c>
      <c r="G4" s="305" t="s">
        <v>795</v>
      </c>
      <c r="H4" s="300" t="s">
        <v>3</v>
      </c>
      <c r="I4" s="304"/>
      <c r="J4" s="304"/>
      <c r="K4" s="307"/>
      <c r="L4" s="308" t="s">
        <v>3593</v>
      </c>
      <c r="M4" s="304" t="s">
        <v>6</v>
      </c>
      <c r="N4" s="307" t="s">
        <v>5</v>
      </c>
    </row>
    <row r="5" spans="1:18" s="5" customFormat="1" ht="23.25" customHeight="1" thickBot="1" x14ac:dyDescent="0.25">
      <c r="A5" s="298"/>
      <c r="B5" s="301"/>
      <c r="C5" s="303"/>
      <c r="D5" s="303"/>
      <c r="E5" s="303"/>
      <c r="F5" s="303"/>
      <c r="G5" s="306"/>
      <c r="H5" s="3">
        <v>1</v>
      </c>
      <c r="I5" s="2">
        <v>2</v>
      </c>
      <c r="J5" s="2">
        <v>3</v>
      </c>
      <c r="K5" s="4" t="s">
        <v>7</v>
      </c>
      <c r="L5" s="309"/>
      <c r="M5" s="303"/>
      <c r="N5" s="310"/>
    </row>
    <row r="6" spans="1:18" ht="15" x14ac:dyDescent="0.2">
      <c r="B6" s="299" t="s">
        <v>4008</v>
      </c>
      <c r="C6" s="299"/>
      <c r="D6" s="299"/>
      <c r="E6" s="299"/>
      <c r="F6" s="299"/>
      <c r="G6" s="299"/>
      <c r="H6" s="299"/>
      <c r="I6" s="299"/>
      <c r="J6" s="299"/>
      <c r="K6" s="299"/>
      <c r="L6" s="299"/>
      <c r="M6" s="299"/>
      <c r="N6" s="57"/>
    </row>
    <row r="7" spans="1:18" x14ac:dyDescent="0.2">
      <c r="A7" s="43">
        <v>1</v>
      </c>
      <c r="B7" s="7" t="s">
        <v>1165</v>
      </c>
      <c r="C7" s="7" t="s">
        <v>1073</v>
      </c>
      <c r="D7" s="7" t="s">
        <v>410</v>
      </c>
      <c r="E7" s="7" t="str">
        <f>"1,5454"</f>
        <v>1,5454</v>
      </c>
      <c r="F7" s="7" t="s">
        <v>4020</v>
      </c>
      <c r="G7" s="7" t="s">
        <v>3256</v>
      </c>
      <c r="H7" s="34" t="s">
        <v>106</v>
      </c>
      <c r="I7" s="41" t="s">
        <v>166</v>
      </c>
      <c r="J7" s="41" t="s">
        <v>225</v>
      </c>
      <c r="K7" s="20"/>
      <c r="L7" s="28">
        <v>185</v>
      </c>
      <c r="M7" s="19" t="str">
        <f>"285,8990"</f>
        <v>285,8990</v>
      </c>
      <c r="N7" s="17" t="s">
        <v>3391</v>
      </c>
    </row>
    <row r="9" spans="1:18" ht="15" x14ac:dyDescent="0.2">
      <c r="B9" s="294" t="s">
        <v>4010</v>
      </c>
      <c r="C9" s="294"/>
      <c r="D9" s="294"/>
      <c r="E9" s="294"/>
      <c r="F9" s="294"/>
      <c r="G9" s="294"/>
      <c r="H9" s="294"/>
      <c r="I9" s="294"/>
      <c r="J9" s="294"/>
      <c r="K9" s="294"/>
      <c r="L9" s="294"/>
      <c r="M9" s="294"/>
    </row>
    <row r="10" spans="1:18" x14ac:dyDescent="0.2">
      <c r="A10" s="43">
        <v>1</v>
      </c>
      <c r="B10" s="15" t="s">
        <v>1074</v>
      </c>
      <c r="C10" s="15" t="s">
        <v>1075</v>
      </c>
      <c r="D10" s="15" t="s">
        <v>235</v>
      </c>
      <c r="E10" s="15" t="str">
        <f>"1,4216"</f>
        <v>1,4216</v>
      </c>
      <c r="F10" s="15" t="s">
        <v>1076</v>
      </c>
      <c r="G10" s="15" t="s">
        <v>3263</v>
      </c>
      <c r="H10" s="38" t="s">
        <v>69</v>
      </c>
      <c r="I10" s="35" t="s">
        <v>69</v>
      </c>
      <c r="J10" s="38" t="s">
        <v>71</v>
      </c>
      <c r="K10" s="22"/>
      <c r="L10" s="29">
        <v>110</v>
      </c>
      <c r="M10" s="21" t="str">
        <f>"156,3760"</f>
        <v>156,3760</v>
      </c>
      <c r="N10" s="15" t="s">
        <v>3391</v>
      </c>
    </row>
    <row r="11" spans="1:18" x14ac:dyDescent="0.2">
      <c r="A11" s="43">
        <v>1</v>
      </c>
      <c r="B11" s="17" t="s">
        <v>1193</v>
      </c>
      <c r="C11" s="17" t="s">
        <v>1077</v>
      </c>
      <c r="D11" s="17" t="s">
        <v>235</v>
      </c>
      <c r="E11" s="17" t="str">
        <f>"1,4216"</f>
        <v>1,4216</v>
      </c>
      <c r="F11" s="17" t="s">
        <v>1076</v>
      </c>
      <c r="G11" s="17" t="s">
        <v>3263</v>
      </c>
      <c r="H11" s="39" t="s">
        <v>69</v>
      </c>
      <c r="I11" s="37" t="s">
        <v>69</v>
      </c>
      <c r="J11" s="39" t="s">
        <v>71</v>
      </c>
      <c r="K11" s="26"/>
      <c r="L11" s="31">
        <v>110</v>
      </c>
      <c r="M11" s="25" t="str">
        <f>"163,2565"</f>
        <v>163,2565</v>
      </c>
      <c r="N11" s="17" t="s">
        <v>3391</v>
      </c>
    </row>
    <row r="13" spans="1:18" ht="15" x14ac:dyDescent="0.2">
      <c r="B13" s="294" t="s">
        <v>4007</v>
      </c>
      <c r="C13" s="294"/>
      <c r="D13" s="294"/>
      <c r="E13" s="294"/>
      <c r="F13" s="294"/>
      <c r="G13" s="294"/>
      <c r="H13" s="294"/>
      <c r="I13" s="294"/>
      <c r="J13" s="294"/>
      <c r="K13" s="294"/>
      <c r="L13" s="294"/>
      <c r="M13" s="294"/>
    </row>
    <row r="14" spans="1:18" x14ac:dyDescent="0.2">
      <c r="A14" s="43">
        <v>1</v>
      </c>
      <c r="B14" s="15" t="s">
        <v>1194</v>
      </c>
      <c r="C14" s="15" t="s">
        <v>1078</v>
      </c>
      <c r="D14" s="15" t="s">
        <v>1079</v>
      </c>
      <c r="E14" s="15" t="str">
        <f>"1,3304"</f>
        <v>1,3304</v>
      </c>
      <c r="F14" s="15" t="s">
        <v>4020</v>
      </c>
      <c r="G14" s="15" t="s">
        <v>796</v>
      </c>
      <c r="H14" s="38" t="s">
        <v>70</v>
      </c>
      <c r="I14" s="35" t="s">
        <v>70</v>
      </c>
      <c r="J14" s="35" t="s">
        <v>112</v>
      </c>
      <c r="K14" s="22"/>
      <c r="L14" s="29">
        <v>125</v>
      </c>
      <c r="M14" s="21" t="str">
        <f>"166,3000"</f>
        <v>166,3000</v>
      </c>
      <c r="N14" s="15" t="s">
        <v>3391</v>
      </c>
    </row>
    <row r="15" spans="1:18" x14ac:dyDescent="0.2">
      <c r="A15" s="43">
        <v>1</v>
      </c>
      <c r="B15" s="17" t="s">
        <v>1195</v>
      </c>
      <c r="C15" s="17" t="s">
        <v>1080</v>
      </c>
      <c r="D15" s="17" t="s">
        <v>1081</v>
      </c>
      <c r="E15" s="17" t="str">
        <f>"1,2570"</f>
        <v>1,2570</v>
      </c>
      <c r="F15" s="17" t="s">
        <v>859</v>
      </c>
      <c r="G15" s="17" t="s">
        <v>804</v>
      </c>
      <c r="H15" s="37" t="s">
        <v>70</v>
      </c>
      <c r="I15" s="37" t="s">
        <v>112</v>
      </c>
      <c r="J15" s="39" t="s">
        <v>165</v>
      </c>
      <c r="K15" s="26"/>
      <c r="L15" s="31">
        <v>125</v>
      </c>
      <c r="M15" s="25" t="str">
        <f>"157,1250"</f>
        <v>157,1250</v>
      </c>
      <c r="N15" s="17" t="s">
        <v>1180</v>
      </c>
    </row>
    <row r="17" spans="1:14" ht="15" x14ac:dyDescent="0.2">
      <c r="B17" s="294" t="s">
        <v>4008</v>
      </c>
      <c r="C17" s="294"/>
      <c r="D17" s="294"/>
      <c r="E17" s="294"/>
      <c r="F17" s="294"/>
      <c r="G17" s="294"/>
      <c r="H17" s="294"/>
      <c r="I17" s="294"/>
      <c r="J17" s="294"/>
      <c r="K17" s="294"/>
      <c r="L17" s="294"/>
      <c r="M17" s="294"/>
    </row>
    <row r="18" spans="1:14" x14ac:dyDescent="0.2">
      <c r="B18" s="15" t="s">
        <v>1082</v>
      </c>
      <c r="C18" s="15" t="s">
        <v>1083</v>
      </c>
      <c r="D18" s="15" t="s">
        <v>915</v>
      </c>
      <c r="E18" s="15" t="str">
        <f>"1,1588"</f>
        <v>1,1588</v>
      </c>
      <c r="F18" s="15" t="s">
        <v>4020</v>
      </c>
      <c r="G18" s="15" t="s">
        <v>836</v>
      </c>
      <c r="H18" s="38" t="s">
        <v>36</v>
      </c>
      <c r="I18" s="38" t="s">
        <v>36</v>
      </c>
      <c r="J18" s="38" t="s">
        <v>36</v>
      </c>
      <c r="K18" s="22"/>
      <c r="L18" s="56">
        <v>0</v>
      </c>
      <c r="M18" s="21" t="s">
        <v>720</v>
      </c>
      <c r="N18" s="15" t="s">
        <v>1181</v>
      </c>
    </row>
    <row r="19" spans="1:14" x14ac:dyDescent="0.2">
      <c r="A19" s="43">
        <v>1</v>
      </c>
      <c r="B19" s="16" t="s">
        <v>1171</v>
      </c>
      <c r="C19" s="16" t="s">
        <v>1084</v>
      </c>
      <c r="D19" s="16" t="s">
        <v>12</v>
      </c>
      <c r="E19" s="16" t="str">
        <f>"1,1336"</f>
        <v>1,1336</v>
      </c>
      <c r="F19" s="16" t="s">
        <v>4020</v>
      </c>
      <c r="G19" s="16" t="s">
        <v>3193</v>
      </c>
      <c r="H19" s="36" t="s">
        <v>106</v>
      </c>
      <c r="I19" s="24"/>
      <c r="J19" s="24"/>
      <c r="K19" s="24"/>
      <c r="L19" s="30">
        <v>185</v>
      </c>
      <c r="M19" s="23" t="str">
        <f>"209,7160"</f>
        <v>209,7160</v>
      </c>
      <c r="N19" s="16" t="s">
        <v>1182</v>
      </c>
    </row>
    <row r="20" spans="1:14" x14ac:dyDescent="0.2">
      <c r="A20" s="43">
        <v>2</v>
      </c>
      <c r="B20" s="16" t="s">
        <v>1172</v>
      </c>
      <c r="C20" s="16" t="s">
        <v>1085</v>
      </c>
      <c r="D20" s="16" t="s">
        <v>164</v>
      </c>
      <c r="E20" s="16" t="str">
        <f>"1,1454"</f>
        <v>1,1454</v>
      </c>
      <c r="F20" s="16" t="s">
        <v>1212</v>
      </c>
      <c r="G20" s="16" t="s">
        <v>3257</v>
      </c>
      <c r="H20" s="40" t="s">
        <v>142</v>
      </c>
      <c r="I20" s="36" t="s">
        <v>142</v>
      </c>
      <c r="J20" s="36" t="s">
        <v>260</v>
      </c>
      <c r="K20" s="24"/>
      <c r="L20" s="30">
        <v>177.5</v>
      </c>
      <c r="M20" s="23" t="str">
        <f>"203,3085"</f>
        <v>203,3085</v>
      </c>
      <c r="N20" s="16" t="s">
        <v>3391</v>
      </c>
    </row>
    <row r="21" spans="1:14" x14ac:dyDescent="0.2">
      <c r="B21" s="17" t="s">
        <v>1086</v>
      </c>
      <c r="C21" s="17" t="s">
        <v>1087</v>
      </c>
      <c r="D21" s="17" t="s">
        <v>1088</v>
      </c>
      <c r="E21" s="17" t="str">
        <f>"1,1534"</f>
        <v>1,1534</v>
      </c>
      <c r="F21" s="17" t="s">
        <v>4020</v>
      </c>
      <c r="G21" s="17" t="s">
        <v>3230</v>
      </c>
      <c r="H21" s="39" t="s">
        <v>37</v>
      </c>
      <c r="I21" s="39" t="s">
        <v>37</v>
      </c>
      <c r="J21" s="39" t="s">
        <v>37</v>
      </c>
      <c r="K21" s="26"/>
      <c r="L21" s="33">
        <v>0</v>
      </c>
      <c r="M21" s="25" t="s">
        <v>720</v>
      </c>
      <c r="N21" s="17" t="s">
        <v>3391</v>
      </c>
    </row>
    <row r="23" spans="1:14" ht="15" x14ac:dyDescent="0.2">
      <c r="B23" s="294" t="s">
        <v>4009</v>
      </c>
      <c r="C23" s="294"/>
      <c r="D23" s="294"/>
      <c r="E23" s="294"/>
      <c r="F23" s="294"/>
      <c r="G23" s="294"/>
      <c r="H23" s="294"/>
      <c r="I23" s="294"/>
      <c r="J23" s="294"/>
      <c r="K23" s="294"/>
      <c r="L23" s="294"/>
      <c r="M23" s="294"/>
      <c r="N23" s="142"/>
    </row>
    <row r="24" spans="1:14" x14ac:dyDescent="0.2">
      <c r="A24" s="43">
        <v>1</v>
      </c>
      <c r="B24" s="15" t="s">
        <v>1196</v>
      </c>
      <c r="C24" s="15" t="s">
        <v>1089</v>
      </c>
      <c r="D24" s="15" t="s">
        <v>1090</v>
      </c>
      <c r="E24" s="15" t="str">
        <f>"1,0852"</f>
        <v>1,0852</v>
      </c>
      <c r="F24" s="15" t="s">
        <v>4020</v>
      </c>
      <c r="G24" s="15" t="s">
        <v>807</v>
      </c>
      <c r="H24" s="35" t="s">
        <v>187</v>
      </c>
      <c r="I24" s="38" t="s">
        <v>400</v>
      </c>
      <c r="J24" s="35" t="s">
        <v>400</v>
      </c>
      <c r="K24" s="22"/>
      <c r="L24" s="29">
        <v>227.5</v>
      </c>
      <c r="M24" s="109" t="str">
        <f>"246,8830"</f>
        <v>246,8830</v>
      </c>
      <c r="N24" s="15" t="s">
        <v>3391</v>
      </c>
    </row>
    <row r="25" spans="1:14" x14ac:dyDescent="0.2">
      <c r="A25" s="43">
        <v>2</v>
      </c>
      <c r="B25" s="16" t="s">
        <v>1197</v>
      </c>
      <c r="C25" s="16" t="s">
        <v>1091</v>
      </c>
      <c r="D25" s="16" t="s">
        <v>619</v>
      </c>
      <c r="E25" s="16" t="str">
        <f>"1,0372"</f>
        <v>1,0372</v>
      </c>
      <c r="F25" s="16" t="s">
        <v>4020</v>
      </c>
      <c r="G25" s="16" t="s">
        <v>847</v>
      </c>
      <c r="H25" s="40" t="s">
        <v>11</v>
      </c>
      <c r="I25" s="36" t="s">
        <v>11</v>
      </c>
      <c r="J25" s="36" t="s">
        <v>140</v>
      </c>
      <c r="K25" s="24"/>
      <c r="L25" s="30">
        <v>200</v>
      </c>
      <c r="M25" s="110" t="str">
        <f>"207,4400"</f>
        <v>207,4400</v>
      </c>
      <c r="N25" s="16" t="s">
        <v>3391</v>
      </c>
    </row>
    <row r="26" spans="1:14" x14ac:dyDescent="0.2">
      <c r="B26" s="17" t="s">
        <v>1092</v>
      </c>
      <c r="C26" s="17" t="s">
        <v>1087</v>
      </c>
      <c r="D26" s="17" t="s">
        <v>1093</v>
      </c>
      <c r="E26" s="17" t="str">
        <f>"1,0672"</f>
        <v>1,0672</v>
      </c>
      <c r="F26" s="17" t="s">
        <v>4020</v>
      </c>
      <c r="G26" s="17" t="s">
        <v>796</v>
      </c>
      <c r="H26" s="39" t="s">
        <v>24</v>
      </c>
      <c r="I26" s="39" t="s">
        <v>24</v>
      </c>
      <c r="J26" s="39" t="s">
        <v>24</v>
      </c>
      <c r="K26" s="26"/>
      <c r="L26" s="33">
        <v>0</v>
      </c>
      <c r="M26" s="111" t="s">
        <v>720</v>
      </c>
      <c r="N26" s="17" t="s">
        <v>1181</v>
      </c>
    </row>
    <row r="28" spans="1:14" ht="15" x14ac:dyDescent="0.2">
      <c r="B28" s="294" t="s">
        <v>4010</v>
      </c>
      <c r="C28" s="294"/>
      <c r="D28" s="294"/>
      <c r="E28" s="294"/>
      <c r="F28" s="294"/>
      <c r="G28" s="294"/>
      <c r="H28" s="294"/>
      <c r="I28" s="294"/>
      <c r="J28" s="294"/>
      <c r="K28" s="294"/>
      <c r="L28" s="294"/>
      <c r="M28" s="294"/>
    </row>
    <row r="29" spans="1:14" x14ac:dyDescent="0.2">
      <c r="A29" s="43">
        <v>1</v>
      </c>
      <c r="B29" s="15" t="s">
        <v>1198</v>
      </c>
      <c r="C29" s="15" t="s">
        <v>1094</v>
      </c>
      <c r="D29" s="15" t="s">
        <v>1095</v>
      </c>
      <c r="E29" s="15" t="str">
        <f>"1,0086"</f>
        <v>1,0086</v>
      </c>
      <c r="F29" s="15" t="s">
        <v>4020</v>
      </c>
      <c r="G29" s="15" t="s">
        <v>3258</v>
      </c>
      <c r="H29" s="35" t="s">
        <v>208</v>
      </c>
      <c r="I29" s="35" t="s">
        <v>261</v>
      </c>
      <c r="J29" s="35" t="s">
        <v>17</v>
      </c>
      <c r="K29" s="22"/>
      <c r="L29" s="29">
        <v>260</v>
      </c>
      <c r="M29" s="21" t="str">
        <f>"262,2360"</f>
        <v>262,2360</v>
      </c>
      <c r="N29" s="15" t="s">
        <v>1183</v>
      </c>
    </row>
    <row r="30" spans="1:14" x14ac:dyDescent="0.2">
      <c r="A30" s="43">
        <v>2</v>
      </c>
      <c r="B30" s="16" t="s">
        <v>1096</v>
      </c>
      <c r="C30" s="16" t="s">
        <v>1097</v>
      </c>
      <c r="D30" s="16" t="s">
        <v>10</v>
      </c>
      <c r="E30" s="16" t="str">
        <f>"0,9736"</f>
        <v>0,9736</v>
      </c>
      <c r="F30" s="16" t="s">
        <v>4020</v>
      </c>
      <c r="G30" s="16" t="s">
        <v>796</v>
      </c>
      <c r="H30" s="36" t="s">
        <v>220</v>
      </c>
      <c r="I30" s="36" t="s">
        <v>208</v>
      </c>
      <c r="J30" s="36" t="s">
        <v>273</v>
      </c>
      <c r="K30" s="24"/>
      <c r="L30" s="30">
        <v>257.5</v>
      </c>
      <c r="M30" s="23" t="str">
        <f>"250,7020"</f>
        <v>250,7020</v>
      </c>
      <c r="N30" s="16" t="s">
        <v>744</v>
      </c>
    </row>
    <row r="31" spans="1:14" x14ac:dyDescent="0.2">
      <c r="A31" s="43">
        <v>3</v>
      </c>
      <c r="B31" s="16" t="s">
        <v>1199</v>
      </c>
      <c r="C31" s="16" t="s">
        <v>694</v>
      </c>
      <c r="D31" s="16" t="s">
        <v>1098</v>
      </c>
      <c r="E31" s="16" t="str">
        <f>"1,0028"</f>
        <v>1,0028</v>
      </c>
      <c r="F31" s="16" t="s">
        <v>4020</v>
      </c>
      <c r="G31" s="16" t="s">
        <v>809</v>
      </c>
      <c r="H31" s="36" t="s">
        <v>144</v>
      </c>
      <c r="I31" s="40" t="s">
        <v>208</v>
      </c>
      <c r="J31" s="40" t="s">
        <v>208</v>
      </c>
      <c r="K31" s="24"/>
      <c r="L31" s="30">
        <v>230</v>
      </c>
      <c r="M31" s="23" t="str">
        <f>"230,6440"</f>
        <v>230,6440</v>
      </c>
      <c r="N31" s="16" t="s">
        <v>1099</v>
      </c>
    </row>
    <row r="32" spans="1:14" x14ac:dyDescent="0.2">
      <c r="A32" s="43">
        <v>4</v>
      </c>
      <c r="B32" s="16" t="s">
        <v>1200</v>
      </c>
      <c r="C32" s="16" t="s">
        <v>1100</v>
      </c>
      <c r="D32" s="16" t="s">
        <v>944</v>
      </c>
      <c r="E32" s="16" t="str">
        <f>"0,9768"</f>
        <v>0,9768</v>
      </c>
      <c r="F32" s="16" t="s">
        <v>860</v>
      </c>
      <c r="G32" s="16" t="s">
        <v>796</v>
      </c>
      <c r="H32" s="36" t="s">
        <v>24</v>
      </c>
      <c r="I32" s="40" t="s">
        <v>144</v>
      </c>
      <c r="J32" s="40" t="s">
        <v>188</v>
      </c>
      <c r="K32" s="24"/>
      <c r="L32" s="30">
        <v>220</v>
      </c>
      <c r="M32" s="23" t="str">
        <f>"214,8960"</f>
        <v>214,8960</v>
      </c>
      <c r="N32" s="16" t="s">
        <v>1184</v>
      </c>
    </row>
    <row r="33" spans="1:14" x14ac:dyDescent="0.2">
      <c r="A33" s="43">
        <v>5</v>
      </c>
      <c r="B33" s="16" t="s">
        <v>1101</v>
      </c>
      <c r="C33" s="16" t="s">
        <v>1102</v>
      </c>
      <c r="D33" s="16" t="s">
        <v>944</v>
      </c>
      <c r="E33" s="16" t="str">
        <f>"0,9768"</f>
        <v>0,9768</v>
      </c>
      <c r="F33" s="16" t="s">
        <v>4020</v>
      </c>
      <c r="G33" s="16" t="s">
        <v>880</v>
      </c>
      <c r="H33" s="40" t="s">
        <v>187</v>
      </c>
      <c r="I33" s="40" t="s">
        <v>187</v>
      </c>
      <c r="J33" s="36" t="s">
        <v>187</v>
      </c>
      <c r="K33" s="24"/>
      <c r="L33" s="30">
        <v>215</v>
      </c>
      <c r="M33" s="23" t="str">
        <f>"210,0120"</f>
        <v>210,0120</v>
      </c>
      <c r="N33" s="16" t="s">
        <v>761</v>
      </c>
    </row>
    <row r="34" spans="1:14" x14ac:dyDescent="0.2">
      <c r="A34" s="43">
        <v>1</v>
      </c>
      <c r="B34" s="16" t="s">
        <v>1096</v>
      </c>
      <c r="C34" s="16" t="s">
        <v>1103</v>
      </c>
      <c r="D34" s="16" t="s">
        <v>10</v>
      </c>
      <c r="E34" s="16" t="str">
        <f>"0,9736"</f>
        <v>0,9736</v>
      </c>
      <c r="F34" s="16" t="s">
        <v>4020</v>
      </c>
      <c r="G34" s="16" t="s">
        <v>796</v>
      </c>
      <c r="H34" s="36" t="s">
        <v>220</v>
      </c>
      <c r="I34" s="36" t="s">
        <v>208</v>
      </c>
      <c r="J34" s="36" t="s">
        <v>273</v>
      </c>
      <c r="K34" s="24"/>
      <c r="L34" s="30">
        <v>257.5</v>
      </c>
      <c r="M34" s="23" t="str">
        <f>"257,7216"</f>
        <v>257,7216</v>
      </c>
      <c r="N34" s="16" t="s">
        <v>744</v>
      </c>
    </row>
    <row r="35" spans="1:14" x14ac:dyDescent="0.2">
      <c r="A35" s="43">
        <v>2</v>
      </c>
      <c r="B35" s="16" t="s">
        <v>1201</v>
      </c>
      <c r="C35" s="16" t="s">
        <v>1104</v>
      </c>
      <c r="D35" s="16" t="s">
        <v>630</v>
      </c>
      <c r="E35" s="16" t="str">
        <f>"0,9786"</f>
        <v>0,9786</v>
      </c>
      <c r="F35" s="16" t="s">
        <v>4020</v>
      </c>
      <c r="G35" s="16" t="s">
        <v>3259</v>
      </c>
      <c r="H35" s="40" t="s">
        <v>188</v>
      </c>
      <c r="I35" s="40" t="s">
        <v>188</v>
      </c>
      <c r="J35" s="36" t="s">
        <v>188</v>
      </c>
      <c r="K35" s="24"/>
      <c r="L35" s="30">
        <v>232.5</v>
      </c>
      <c r="M35" s="23" t="str">
        <f>"230,7098"</f>
        <v>230,7098</v>
      </c>
      <c r="N35" s="16" t="s">
        <v>1185</v>
      </c>
    </row>
    <row r="36" spans="1:14" x14ac:dyDescent="0.2">
      <c r="A36" s="43">
        <v>3</v>
      </c>
      <c r="B36" s="16" t="s">
        <v>1202</v>
      </c>
      <c r="C36" s="16" t="s">
        <v>1105</v>
      </c>
      <c r="D36" s="16" t="s">
        <v>944</v>
      </c>
      <c r="E36" s="16" t="str">
        <f>"0,9768"</f>
        <v>0,9768</v>
      </c>
      <c r="F36" s="16" t="s">
        <v>4020</v>
      </c>
      <c r="G36" s="16" t="s">
        <v>880</v>
      </c>
      <c r="H36" s="40" t="s">
        <v>187</v>
      </c>
      <c r="I36" s="40" t="s">
        <v>187</v>
      </c>
      <c r="J36" s="36" t="s">
        <v>187</v>
      </c>
      <c r="K36" s="24"/>
      <c r="L36" s="30">
        <v>215</v>
      </c>
      <c r="M36" s="23" t="str">
        <f>"210,0120"</f>
        <v>210,0120</v>
      </c>
      <c r="N36" s="16" t="s">
        <v>761</v>
      </c>
    </row>
    <row r="37" spans="1:14" x14ac:dyDescent="0.2">
      <c r="A37" s="43">
        <v>1</v>
      </c>
      <c r="B37" s="17" t="s">
        <v>1178</v>
      </c>
      <c r="C37" s="17" t="s">
        <v>1106</v>
      </c>
      <c r="D37" s="17" t="s">
        <v>1107</v>
      </c>
      <c r="E37" s="17" t="str">
        <f>"0,9822"</f>
        <v>0,9822</v>
      </c>
      <c r="F37" s="17" t="s">
        <v>855</v>
      </c>
      <c r="G37" s="17" t="s">
        <v>802</v>
      </c>
      <c r="H37" s="37" t="s">
        <v>260</v>
      </c>
      <c r="I37" s="26"/>
      <c r="J37" s="26"/>
      <c r="K37" s="26"/>
      <c r="L37" s="31">
        <v>177.5</v>
      </c>
      <c r="M37" s="25" t="str">
        <f>"197,3535"</f>
        <v>197,3535</v>
      </c>
      <c r="N37" s="17" t="s">
        <v>3391</v>
      </c>
    </row>
    <row r="39" spans="1:14" ht="15" x14ac:dyDescent="0.2">
      <c r="B39" s="294" t="s">
        <v>4011</v>
      </c>
      <c r="C39" s="294"/>
      <c r="D39" s="294"/>
      <c r="E39" s="294"/>
      <c r="F39" s="294"/>
      <c r="G39" s="294"/>
      <c r="H39" s="294"/>
      <c r="I39" s="294"/>
      <c r="J39" s="294"/>
      <c r="K39" s="294"/>
      <c r="L39" s="294"/>
      <c r="M39" s="294"/>
    </row>
    <row r="40" spans="1:14" x14ac:dyDescent="0.2">
      <c r="A40" s="43">
        <v>1</v>
      </c>
      <c r="B40" s="15" t="s">
        <v>1108</v>
      </c>
      <c r="C40" s="15" t="s">
        <v>1109</v>
      </c>
      <c r="D40" s="15" t="s">
        <v>252</v>
      </c>
      <c r="E40" s="15" t="str">
        <f>"0,9242"</f>
        <v>0,9242</v>
      </c>
      <c r="F40" s="15" t="s">
        <v>4020</v>
      </c>
      <c r="G40" s="15" t="s">
        <v>3235</v>
      </c>
      <c r="H40" s="35" t="s">
        <v>1110</v>
      </c>
      <c r="I40" s="35" t="s">
        <v>1111</v>
      </c>
      <c r="J40" s="38" t="s">
        <v>1112</v>
      </c>
      <c r="K40" s="22"/>
      <c r="L40" s="29">
        <v>360</v>
      </c>
      <c r="M40" s="21" t="str">
        <f>"332,7120"</f>
        <v>332,7120</v>
      </c>
      <c r="N40" s="15" t="s">
        <v>1186</v>
      </c>
    </row>
    <row r="41" spans="1:14" x14ac:dyDescent="0.2">
      <c r="A41" s="43">
        <v>2</v>
      </c>
      <c r="B41" s="16" t="s">
        <v>1113</v>
      </c>
      <c r="C41" s="16" t="s">
        <v>1114</v>
      </c>
      <c r="D41" s="16" t="s">
        <v>979</v>
      </c>
      <c r="E41" s="16" t="str">
        <f>"0,9250"</f>
        <v>0,9250</v>
      </c>
      <c r="F41" s="16" t="s">
        <v>860</v>
      </c>
      <c r="G41" s="16" t="s">
        <v>796</v>
      </c>
      <c r="H41" s="36" t="s">
        <v>187</v>
      </c>
      <c r="I41" s="40" t="s">
        <v>246</v>
      </c>
      <c r="J41" s="40" t="s">
        <v>246</v>
      </c>
      <c r="K41" s="24"/>
      <c r="L41" s="30">
        <v>215</v>
      </c>
      <c r="M41" s="23" t="str">
        <f>"198,8750"</f>
        <v>198,8750</v>
      </c>
      <c r="N41" s="16" t="s">
        <v>729</v>
      </c>
    </row>
    <row r="42" spans="1:14" x14ac:dyDescent="0.2">
      <c r="A42" s="43">
        <v>1</v>
      </c>
      <c r="B42" s="16" t="s">
        <v>1108</v>
      </c>
      <c r="C42" s="16" t="s">
        <v>1115</v>
      </c>
      <c r="D42" s="16" t="s">
        <v>252</v>
      </c>
      <c r="E42" s="16" t="str">
        <f>"0,9242"</f>
        <v>0,9242</v>
      </c>
      <c r="F42" s="16" t="s">
        <v>4020</v>
      </c>
      <c r="G42" s="16" t="s">
        <v>3235</v>
      </c>
      <c r="H42" s="36" t="s">
        <v>1110</v>
      </c>
      <c r="I42" s="36" t="s">
        <v>1111</v>
      </c>
      <c r="J42" s="40" t="s">
        <v>1112</v>
      </c>
      <c r="K42" s="24"/>
      <c r="L42" s="30">
        <v>360</v>
      </c>
      <c r="M42" s="23" t="str">
        <f>"337,3700"</f>
        <v>337,3700</v>
      </c>
      <c r="N42" s="16" t="s">
        <v>1186</v>
      </c>
    </row>
    <row r="43" spans="1:14" x14ac:dyDescent="0.2">
      <c r="A43" s="43">
        <v>2</v>
      </c>
      <c r="B43" s="17" t="s">
        <v>1116</v>
      </c>
      <c r="C43" s="17" t="s">
        <v>1117</v>
      </c>
      <c r="D43" s="17" t="s">
        <v>643</v>
      </c>
      <c r="E43" s="17" t="str">
        <f>"0,9222"</f>
        <v>0,9222</v>
      </c>
      <c r="F43" s="17" t="s">
        <v>4020</v>
      </c>
      <c r="G43" s="17" t="s">
        <v>840</v>
      </c>
      <c r="H43" s="37" t="s">
        <v>253</v>
      </c>
      <c r="I43" s="37" t="s">
        <v>37</v>
      </c>
      <c r="J43" s="39" t="s">
        <v>17</v>
      </c>
      <c r="K43" s="26"/>
      <c r="L43" s="31">
        <v>250</v>
      </c>
      <c r="M43" s="25" t="str">
        <f>"231,7028"</f>
        <v>231,7028</v>
      </c>
      <c r="N43" s="17" t="s">
        <v>3391</v>
      </c>
    </row>
    <row r="45" spans="1:14" ht="15" x14ac:dyDescent="0.2">
      <c r="B45" s="294" t="s">
        <v>4012</v>
      </c>
      <c r="C45" s="294"/>
      <c r="D45" s="294"/>
      <c r="E45" s="294"/>
      <c r="F45" s="294"/>
      <c r="G45" s="294"/>
      <c r="H45" s="294"/>
      <c r="I45" s="294"/>
      <c r="J45" s="294"/>
      <c r="K45" s="294"/>
      <c r="L45" s="294"/>
      <c r="M45" s="294"/>
    </row>
    <row r="46" spans="1:14" x14ac:dyDescent="0.2">
      <c r="A46" s="43">
        <v>1</v>
      </c>
      <c r="B46" s="15" t="s">
        <v>1170</v>
      </c>
      <c r="C46" s="15" t="s">
        <v>1118</v>
      </c>
      <c r="D46" s="15" t="s">
        <v>265</v>
      </c>
      <c r="E46" s="15" t="str">
        <f>"0,8850"</f>
        <v>0,8850</v>
      </c>
      <c r="F46" s="15" t="s">
        <v>4020</v>
      </c>
      <c r="G46" s="15" t="s">
        <v>3235</v>
      </c>
      <c r="H46" s="38" t="s">
        <v>15</v>
      </c>
      <c r="I46" s="35" t="s">
        <v>15</v>
      </c>
      <c r="J46" s="35" t="s">
        <v>970</v>
      </c>
      <c r="K46" s="22"/>
      <c r="L46" s="29">
        <v>282.5</v>
      </c>
      <c r="M46" s="21" t="str">
        <f>"250,0125"</f>
        <v>250,0125</v>
      </c>
      <c r="N46" s="15" t="s">
        <v>3391</v>
      </c>
    </row>
    <row r="47" spans="1:14" x14ac:dyDescent="0.2">
      <c r="A47" s="43">
        <v>2</v>
      </c>
      <c r="B47" s="16" t="s">
        <v>1203</v>
      </c>
      <c r="C47" s="16" t="s">
        <v>1119</v>
      </c>
      <c r="D47" s="16" t="s">
        <v>983</v>
      </c>
      <c r="E47" s="16" t="str">
        <f>"0,9110"</f>
        <v>0,9110</v>
      </c>
      <c r="F47" s="16" t="s">
        <v>4020</v>
      </c>
      <c r="G47" s="16" t="s">
        <v>796</v>
      </c>
      <c r="H47" s="36" t="s">
        <v>37</v>
      </c>
      <c r="I47" s="36" t="s">
        <v>17</v>
      </c>
      <c r="J47" s="36" t="s">
        <v>35</v>
      </c>
      <c r="K47" s="24"/>
      <c r="L47" s="30">
        <v>270</v>
      </c>
      <c r="M47" s="23" t="str">
        <f>"245,9700"</f>
        <v>245,9700</v>
      </c>
      <c r="N47" s="16" t="s">
        <v>3391</v>
      </c>
    </row>
    <row r="48" spans="1:14" x14ac:dyDescent="0.2">
      <c r="A48" s="43">
        <v>3</v>
      </c>
      <c r="B48" s="16" t="s">
        <v>1120</v>
      </c>
      <c r="C48" s="16" t="s">
        <v>1121</v>
      </c>
      <c r="D48" s="16" t="s">
        <v>669</v>
      </c>
      <c r="E48" s="16" t="str">
        <f>"0,8978"</f>
        <v>0,8978</v>
      </c>
      <c r="F48" s="16" t="s">
        <v>4020</v>
      </c>
      <c r="G48" s="16" t="s">
        <v>889</v>
      </c>
      <c r="H48" s="36" t="s">
        <v>17</v>
      </c>
      <c r="I48" s="40" t="s">
        <v>26</v>
      </c>
      <c r="J48" s="40" t="s">
        <v>26</v>
      </c>
      <c r="K48" s="24"/>
      <c r="L48" s="30">
        <v>260</v>
      </c>
      <c r="M48" s="23" t="str">
        <f>"233,4280"</f>
        <v>233,4280</v>
      </c>
      <c r="N48" s="16" t="s">
        <v>3391</v>
      </c>
    </row>
    <row r="49" spans="1:14" x14ac:dyDescent="0.2">
      <c r="B49" s="16" t="s">
        <v>1122</v>
      </c>
      <c r="C49" s="16" t="s">
        <v>1123</v>
      </c>
      <c r="D49" s="16" t="s">
        <v>1124</v>
      </c>
      <c r="E49" s="16" t="str">
        <f>"0,9090"</f>
        <v>0,9090</v>
      </c>
      <c r="F49" s="16" t="s">
        <v>4020</v>
      </c>
      <c r="G49" s="16" t="s">
        <v>3235</v>
      </c>
      <c r="H49" s="40" t="s">
        <v>679</v>
      </c>
      <c r="I49" s="40" t="s">
        <v>679</v>
      </c>
      <c r="J49" s="40" t="s">
        <v>1007</v>
      </c>
      <c r="K49" s="24"/>
      <c r="L49" s="47">
        <v>0</v>
      </c>
      <c r="M49" s="23" t="s">
        <v>720</v>
      </c>
      <c r="N49" s="16" t="s">
        <v>3391</v>
      </c>
    </row>
    <row r="50" spans="1:14" x14ac:dyDescent="0.2">
      <c r="B50" s="16" t="s">
        <v>1125</v>
      </c>
      <c r="C50" s="16" t="s">
        <v>1126</v>
      </c>
      <c r="D50" s="16" t="s">
        <v>1127</v>
      </c>
      <c r="E50" s="16" t="str">
        <f>"0,8950"</f>
        <v>0,8950</v>
      </c>
      <c r="F50" s="16" t="s">
        <v>1076</v>
      </c>
      <c r="G50" s="16" t="s">
        <v>3265</v>
      </c>
      <c r="H50" s="40" t="s">
        <v>644</v>
      </c>
      <c r="I50" s="40" t="s">
        <v>644</v>
      </c>
      <c r="J50" s="40" t="s">
        <v>644</v>
      </c>
      <c r="K50" s="24"/>
      <c r="L50" s="47">
        <v>0</v>
      </c>
      <c r="M50" s="23" t="s">
        <v>720</v>
      </c>
      <c r="N50" s="16" t="s">
        <v>3391</v>
      </c>
    </row>
    <row r="51" spans="1:14" x14ac:dyDescent="0.2">
      <c r="B51" s="16" t="s">
        <v>1128</v>
      </c>
      <c r="C51" s="16" t="s">
        <v>1129</v>
      </c>
      <c r="D51" s="16" t="s">
        <v>1130</v>
      </c>
      <c r="E51" s="16" t="str">
        <f>"0,8870"</f>
        <v>0,8870</v>
      </c>
      <c r="F51" s="16" t="s">
        <v>4020</v>
      </c>
      <c r="G51" s="16" t="s">
        <v>3260</v>
      </c>
      <c r="H51" s="40" t="s">
        <v>15</v>
      </c>
      <c r="I51" s="40" t="s">
        <v>15</v>
      </c>
      <c r="J51" s="40" t="s">
        <v>15</v>
      </c>
      <c r="K51" s="24"/>
      <c r="L51" s="47">
        <v>0</v>
      </c>
      <c r="M51" s="23" t="s">
        <v>720</v>
      </c>
      <c r="N51" s="16" t="s">
        <v>3391</v>
      </c>
    </row>
    <row r="52" spans="1:14" x14ac:dyDescent="0.2">
      <c r="A52" s="43">
        <v>1</v>
      </c>
      <c r="B52" s="16" t="s">
        <v>1204</v>
      </c>
      <c r="C52" s="16" t="s">
        <v>1131</v>
      </c>
      <c r="D52" s="16" t="s">
        <v>1132</v>
      </c>
      <c r="E52" s="16" t="str">
        <f>"0,8980"</f>
        <v>0,8980</v>
      </c>
      <c r="F52" s="16" t="s">
        <v>1507</v>
      </c>
      <c r="G52" s="16" t="s">
        <v>3266</v>
      </c>
      <c r="H52" s="36" t="s">
        <v>253</v>
      </c>
      <c r="I52" s="36" t="s">
        <v>261</v>
      </c>
      <c r="J52" s="40" t="s">
        <v>655</v>
      </c>
      <c r="K52" s="24"/>
      <c r="L52" s="30">
        <v>255</v>
      </c>
      <c r="M52" s="23" t="str">
        <f>"228,9900"</f>
        <v>228,9900</v>
      </c>
      <c r="N52" s="16" t="s">
        <v>3391</v>
      </c>
    </row>
    <row r="53" spans="1:14" x14ac:dyDescent="0.2">
      <c r="A53" s="43">
        <v>1</v>
      </c>
      <c r="B53" s="16" t="s">
        <v>1205</v>
      </c>
      <c r="C53" s="16" t="s">
        <v>1133</v>
      </c>
      <c r="D53" s="16" t="s">
        <v>669</v>
      </c>
      <c r="E53" s="16" t="str">
        <f>"0,8978"</f>
        <v>0,8978</v>
      </c>
      <c r="F53" s="16" t="s">
        <v>4020</v>
      </c>
      <c r="G53" s="16" t="s">
        <v>889</v>
      </c>
      <c r="H53" s="36" t="s">
        <v>17</v>
      </c>
      <c r="I53" s="40" t="s">
        <v>26</v>
      </c>
      <c r="J53" s="40" t="s">
        <v>26</v>
      </c>
      <c r="K53" s="24"/>
      <c r="L53" s="30">
        <v>260</v>
      </c>
      <c r="M53" s="23" t="str">
        <f>"233,4280"</f>
        <v>233,4280</v>
      </c>
      <c r="N53" s="16" t="s">
        <v>3391</v>
      </c>
    </row>
    <row r="54" spans="1:14" x14ac:dyDescent="0.2">
      <c r="A54" s="43">
        <v>1</v>
      </c>
      <c r="B54" s="16" t="s">
        <v>1179</v>
      </c>
      <c r="C54" s="16" t="s">
        <v>1134</v>
      </c>
      <c r="D54" s="16" t="s">
        <v>663</v>
      </c>
      <c r="E54" s="16" t="str">
        <f>"0,8932"</f>
        <v>0,8932</v>
      </c>
      <c r="F54" s="16" t="s">
        <v>862</v>
      </c>
      <c r="G54" s="16" t="s">
        <v>3244</v>
      </c>
      <c r="H54" s="36" t="s">
        <v>141</v>
      </c>
      <c r="I54" s="24"/>
      <c r="J54" s="24"/>
      <c r="K54" s="24"/>
      <c r="L54" s="30">
        <v>165</v>
      </c>
      <c r="M54" s="23" t="str">
        <f>"172,1375"</f>
        <v>172,1375</v>
      </c>
      <c r="N54" s="16" t="s">
        <v>3391</v>
      </c>
    </row>
    <row r="55" spans="1:14" x14ac:dyDescent="0.2">
      <c r="B55" s="16" t="s">
        <v>1125</v>
      </c>
      <c r="C55" s="16" t="s">
        <v>1135</v>
      </c>
      <c r="D55" s="16" t="s">
        <v>1127</v>
      </c>
      <c r="E55" s="16" t="str">
        <f>"0,8950"</f>
        <v>0,8950</v>
      </c>
      <c r="F55" s="16" t="s">
        <v>1076</v>
      </c>
      <c r="G55" s="16" t="s">
        <v>3265</v>
      </c>
      <c r="H55" s="40" t="s">
        <v>644</v>
      </c>
      <c r="I55" s="40" t="s">
        <v>644</v>
      </c>
      <c r="J55" s="40" t="s">
        <v>644</v>
      </c>
      <c r="K55" s="24"/>
      <c r="L55" s="47">
        <v>0</v>
      </c>
      <c r="M55" s="23" t="s">
        <v>720</v>
      </c>
      <c r="N55" s="16" t="s">
        <v>3391</v>
      </c>
    </row>
    <row r="56" spans="1:14" x14ac:dyDescent="0.2">
      <c r="A56" s="43">
        <v>1</v>
      </c>
      <c r="B56" s="17" t="s">
        <v>1174</v>
      </c>
      <c r="C56" s="17" t="s">
        <v>1136</v>
      </c>
      <c r="D56" s="17" t="s">
        <v>1137</v>
      </c>
      <c r="E56" s="17" t="str">
        <f>"0,8882"</f>
        <v>0,8882</v>
      </c>
      <c r="F56" s="17" t="s">
        <v>857</v>
      </c>
      <c r="G56" s="17" t="s">
        <v>801</v>
      </c>
      <c r="H56" s="39" t="s">
        <v>24</v>
      </c>
      <c r="I56" s="37" t="s">
        <v>24</v>
      </c>
      <c r="J56" s="39" t="s">
        <v>188</v>
      </c>
      <c r="K56" s="26"/>
      <c r="L56" s="31">
        <v>220</v>
      </c>
      <c r="M56" s="25" t="str">
        <f>"275,5196"</f>
        <v>275,5196</v>
      </c>
      <c r="N56" s="17" t="s">
        <v>1187</v>
      </c>
    </row>
    <row r="58" spans="1:14" ht="15" x14ac:dyDescent="0.2">
      <c r="B58" s="294" t="s">
        <v>4013</v>
      </c>
      <c r="C58" s="294"/>
      <c r="D58" s="294"/>
      <c r="E58" s="294"/>
      <c r="F58" s="294"/>
      <c r="G58" s="294"/>
      <c r="H58" s="294"/>
      <c r="I58" s="294"/>
      <c r="J58" s="294"/>
      <c r="K58" s="294"/>
      <c r="L58" s="294"/>
      <c r="M58" s="294"/>
    </row>
    <row r="59" spans="1:14" x14ac:dyDescent="0.2">
      <c r="A59" s="43">
        <v>1</v>
      </c>
      <c r="B59" s="15" t="s">
        <v>1206</v>
      </c>
      <c r="C59" s="15" t="s">
        <v>1138</v>
      </c>
      <c r="D59" s="15" t="s">
        <v>1139</v>
      </c>
      <c r="E59" s="15" t="str">
        <f>"0,8752"</f>
        <v>0,8752</v>
      </c>
      <c r="F59" s="15" t="s">
        <v>4020</v>
      </c>
      <c r="G59" s="15" t="s">
        <v>796</v>
      </c>
      <c r="H59" s="35" t="s">
        <v>253</v>
      </c>
      <c r="I59" s="35" t="s">
        <v>37</v>
      </c>
      <c r="J59" s="38" t="s">
        <v>374</v>
      </c>
      <c r="K59" s="22"/>
      <c r="L59" s="29">
        <v>250</v>
      </c>
      <c r="M59" s="21" t="str">
        <f>"218,8000"</f>
        <v>218,8000</v>
      </c>
      <c r="N59" s="15" t="s">
        <v>1188</v>
      </c>
    </row>
    <row r="60" spans="1:14" x14ac:dyDescent="0.2">
      <c r="A60" s="43">
        <v>2</v>
      </c>
      <c r="B60" s="16" t="s">
        <v>1140</v>
      </c>
      <c r="C60" s="16" t="s">
        <v>1141</v>
      </c>
      <c r="D60" s="16" t="s">
        <v>990</v>
      </c>
      <c r="E60" s="16" t="str">
        <f>"0,8810"</f>
        <v>0,8810</v>
      </c>
      <c r="F60" s="16" t="s">
        <v>4020</v>
      </c>
      <c r="G60" s="16" t="s">
        <v>799</v>
      </c>
      <c r="H60" s="40" t="s">
        <v>253</v>
      </c>
      <c r="I60" s="36" t="s">
        <v>253</v>
      </c>
      <c r="J60" s="40" t="s">
        <v>221</v>
      </c>
      <c r="K60" s="24"/>
      <c r="L60" s="30">
        <v>240</v>
      </c>
      <c r="M60" s="23" t="str">
        <f>"211,4400"</f>
        <v>211,4400</v>
      </c>
      <c r="N60" s="16" t="s">
        <v>1189</v>
      </c>
    </row>
    <row r="61" spans="1:14" x14ac:dyDescent="0.2">
      <c r="A61" s="43">
        <v>1</v>
      </c>
      <c r="B61" s="16" t="s">
        <v>1207</v>
      </c>
      <c r="C61" s="16" t="s">
        <v>1142</v>
      </c>
      <c r="D61" s="16" t="s">
        <v>1139</v>
      </c>
      <c r="E61" s="16" t="str">
        <f>"0,8752"</f>
        <v>0,8752</v>
      </c>
      <c r="F61" s="16" t="s">
        <v>4020</v>
      </c>
      <c r="G61" s="16" t="s">
        <v>840</v>
      </c>
      <c r="H61" s="36" t="s">
        <v>253</v>
      </c>
      <c r="I61" s="36" t="s">
        <v>37</v>
      </c>
      <c r="J61" s="36" t="s">
        <v>17</v>
      </c>
      <c r="K61" s="24"/>
      <c r="L61" s="30">
        <v>260</v>
      </c>
      <c r="M61" s="23" t="str">
        <f>"237,5643"</f>
        <v>237,5643</v>
      </c>
      <c r="N61" s="16" t="s">
        <v>1190</v>
      </c>
    </row>
    <row r="62" spans="1:14" x14ac:dyDescent="0.2">
      <c r="A62" s="43">
        <v>2</v>
      </c>
      <c r="B62" s="16" t="s">
        <v>1208</v>
      </c>
      <c r="C62" s="16" t="s">
        <v>1143</v>
      </c>
      <c r="D62" s="16" t="s">
        <v>1144</v>
      </c>
      <c r="E62" s="16" t="str">
        <f>"0,8710"</f>
        <v>0,8710</v>
      </c>
      <c r="F62" s="16" t="s">
        <v>4020</v>
      </c>
      <c r="G62" s="16" t="s">
        <v>3261</v>
      </c>
      <c r="H62" s="36" t="s">
        <v>220</v>
      </c>
      <c r="I62" s="36" t="s">
        <v>208</v>
      </c>
      <c r="J62" s="40" t="s">
        <v>221</v>
      </c>
      <c r="K62" s="24"/>
      <c r="L62" s="30">
        <v>245</v>
      </c>
      <c r="M62" s="23" t="str">
        <f>"214,4620"</f>
        <v>214,4620</v>
      </c>
      <c r="N62" s="16" t="s">
        <v>1191</v>
      </c>
    </row>
    <row r="63" spans="1:14" x14ac:dyDescent="0.2">
      <c r="A63" s="43">
        <v>3</v>
      </c>
      <c r="B63" s="16" t="s">
        <v>1209</v>
      </c>
      <c r="C63" s="16" t="s">
        <v>1145</v>
      </c>
      <c r="D63" s="16" t="s">
        <v>990</v>
      </c>
      <c r="E63" s="16" t="str">
        <f>"0,8810"</f>
        <v>0,8810</v>
      </c>
      <c r="F63" s="16" t="s">
        <v>4020</v>
      </c>
      <c r="G63" s="16" t="s">
        <v>799</v>
      </c>
      <c r="H63" s="40" t="s">
        <v>253</v>
      </c>
      <c r="I63" s="36" t="s">
        <v>253</v>
      </c>
      <c r="J63" s="40" t="s">
        <v>221</v>
      </c>
      <c r="K63" s="24"/>
      <c r="L63" s="30">
        <v>240</v>
      </c>
      <c r="M63" s="23" t="str">
        <f>"212,4972"</f>
        <v>212,4972</v>
      </c>
      <c r="N63" s="16" t="s">
        <v>1189</v>
      </c>
    </row>
    <row r="64" spans="1:14" x14ac:dyDescent="0.2">
      <c r="B64" s="17" t="s">
        <v>1146</v>
      </c>
      <c r="C64" s="17" t="s">
        <v>1147</v>
      </c>
      <c r="D64" s="17" t="s">
        <v>1148</v>
      </c>
      <c r="E64" s="17" t="str">
        <f>"0,8722"</f>
        <v>0,8722</v>
      </c>
      <c r="F64" s="17" t="s">
        <v>4020</v>
      </c>
      <c r="G64" s="17" t="s">
        <v>3262</v>
      </c>
      <c r="H64" s="39" t="s">
        <v>107</v>
      </c>
      <c r="I64" s="39" t="s">
        <v>107</v>
      </c>
      <c r="J64" s="39" t="s">
        <v>107</v>
      </c>
      <c r="K64" s="26"/>
      <c r="L64" s="33">
        <v>0</v>
      </c>
      <c r="M64" s="25" t="s">
        <v>720</v>
      </c>
      <c r="N64" s="17" t="s">
        <v>1192</v>
      </c>
    </row>
    <row r="66" spans="1:14" ht="15" x14ac:dyDescent="0.2">
      <c r="B66" s="294" t="s">
        <v>4016</v>
      </c>
      <c r="C66" s="294"/>
      <c r="D66" s="294"/>
      <c r="E66" s="294"/>
      <c r="F66" s="294"/>
      <c r="G66" s="294"/>
      <c r="H66" s="294"/>
      <c r="I66" s="294"/>
      <c r="J66" s="294"/>
      <c r="K66" s="294"/>
      <c r="L66" s="294"/>
      <c r="M66" s="294"/>
    </row>
    <row r="67" spans="1:14" x14ac:dyDescent="0.2">
      <c r="A67" s="43">
        <v>1</v>
      </c>
      <c r="B67" s="15" t="s">
        <v>1210</v>
      </c>
      <c r="C67" s="15" t="s">
        <v>1149</v>
      </c>
      <c r="D67" s="15" t="s">
        <v>1150</v>
      </c>
      <c r="E67" s="15" t="str">
        <f>"0,8412"</f>
        <v>0,8412</v>
      </c>
      <c r="F67" s="15" t="s">
        <v>4020</v>
      </c>
      <c r="G67" s="15" t="s">
        <v>835</v>
      </c>
      <c r="H67" s="35" t="s">
        <v>275</v>
      </c>
      <c r="I67" s="35" t="s">
        <v>1151</v>
      </c>
      <c r="J67" s="35" t="s">
        <v>1110</v>
      </c>
      <c r="K67" s="22"/>
      <c r="L67" s="29">
        <v>330</v>
      </c>
      <c r="M67" s="21" t="str">
        <f>"277,5960"</f>
        <v>277,5960</v>
      </c>
      <c r="N67" s="15" t="s">
        <v>1152</v>
      </c>
    </row>
    <row r="68" spans="1:14" x14ac:dyDescent="0.2">
      <c r="A68" s="43">
        <v>2</v>
      </c>
      <c r="B68" s="16" t="s">
        <v>1211</v>
      </c>
      <c r="C68" s="16" t="s">
        <v>1153</v>
      </c>
      <c r="D68" s="16" t="s">
        <v>1154</v>
      </c>
      <c r="E68" s="16" t="str">
        <f>"0,8450"</f>
        <v>0,8450</v>
      </c>
      <c r="F68" s="16" t="s">
        <v>266</v>
      </c>
      <c r="G68" s="16" t="s">
        <v>3237</v>
      </c>
      <c r="H68" s="36" t="s">
        <v>274</v>
      </c>
      <c r="I68" s="36" t="s">
        <v>275</v>
      </c>
      <c r="J68" s="40" t="s">
        <v>1151</v>
      </c>
      <c r="K68" s="24"/>
      <c r="L68" s="30">
        <v>315</v>
      </c>
      <c r="M68" s="23" t="str">
        <f>"266,1750"</f>
        <v>266,1750</v>
      </c>
      <c r="N68" s="16" t="s">
        <v>1155</v>
      </c>
    </row>
    <row r="69" spans="1:14" x14ac:dyDescent="0.2">
      <c r="B69" s="16" t="s">
        <v>1157</v>
      </c>
      <c r="C69" s="16" t="s">
        <v>1158</v>
      </c>
      <c r="D69" s="16" t="s">
        <v>1159</v>
      </c>
      <c r="E69" s="16" t="str">
        <f>"0,8520"</f>
        <v>0,8520</v>
      </c>
      <c r="F69" s="16" t="s">
        <v>4020</v>
      </c>
      <c r="G69" s="16" t="s">
        <v>880</v>
      </c>
      <c r="H69" s="40" t="s">
        <v>26</v>
      </c>
      <c r="I69" s="40" t="s">
        <v>26</v>
      </c>
      <c r="J69" s="40" t="s">
        <v>26</v>
      </c>
      <c r="K69" s="24"/>
      <c r="L69" s="47">
        <v>0</v>
      </c>
      <c r="M69" s="23" t="s">
        <v>720</v>
      </c>
      <c r="N69" s="16" t="s">
        <v>3391</v>
      </c>
    </row>
    <row r="70" spans="1:14" x14ac:dyDescent="0.2">
      <c r="B70" s="17" t="s">
        <v>1157</v>
      </c>
      <c r="C70" s="17" t="s">
        <v>1160</v>
      </c>
      <c r="D70" s="17" t="s">
        <v>1159</v>
      </c>
      <c r="E70" s="17" t="str">
        <f>"0,8520"</f>
        <v>0,8520</v>
      </c>
      <c r="F70" s="17" t="s">
        <v>4020</v>
      </c>
      <c r="G70" s="17" t="s">
        <v>880</v>
      </c>
      <c r="H70" s="39" t="s">
        <v>26</v>
      </c>
      <c r="I70" s="39" t="s">
        <v>26</v>
      </c>
      <c r="J70" s="39" t="s">
        <v>26</v>
      </c>
      <c r="K70" s="26"/>
      <c r="L70" s="33">
        <v>0</v>
      </c>
      <c r="M70" s="25" t="s">
        <v>720</v>
      </c>
      <c r="N70" s="17" t="s">
        <v>3391</v>
      </c>
    </row>
    <row r="72" spans="1:14" ht="15" x14ac:dyDescent="0.2">
      <c r="B72" s="294" t="s">
        <v>4017</v>
      </c>
      <c r="C72" s="294"/>
      <c r="D72" s="294"/>
      <c r="E72" s="294"/>
      <c r="F72" s="294"/>
      <c r="G72" s="294"/>
      <c r="H72" s="294"/>
      <c r="I72" s="294"/>
      <c r="J72" s="294"/>
      <c r="K72" s="294"/>
      <c r="L72" s="294"/>
      <c r="M72" s="294"/>
      <c r="N72" s="50"/>
    </row>
    <row r="73" spans="1:14" x14ac:dyDescent="0.2">
      <c r="B73" s="15" t="s">
        <v>1161</v>
      </c>
      <c r="C73" s="15" t="s">
        <v>1162</v>
      </c>
      <c r="D73" s="114" t="s">
        <v>3315</v>
      </c>
      <c r="E73" s="15" t="s">
        <v>3316</v>
      </c>
      <c r="F73" s="146" t="s">
        <v>1163</v>
      </c>
      <c r="G73" s="15" t="s">
        <v>3264</v>
      </c>
      <c r="H73" s="38" t="s">
        <v>274</v>
      </c>
      <c r="I73" s="38" t="s">
        <v>274</v>
      </c>
      <c r="J73" s="22"/>
      <c r="K73" s="22"/>
      <c r="L73" s="56">
        <v>0</v>
      </c>
      <c r="M73" s="21" t="s">
        <v>720</v>
      </c>
      <c r="N73" s="16" t="s">
        <v>3391</v>
      </c>
    </row>
    <row r="74" spans="1:14" x14ac:dyDescent="0.2">
      <c r="B74" s="17" t="s">
        <v>1161</v>
      </c>
      <c r="C74" s="17" t="s">
        <v>1164</v>
      </c>
      <c r="D74" s="116" t="s">
        <v>3315</v>
      </c>
      <c r="E74" s="17" t="s">
        <v>3316</v>
      </c>
      <c r="F74" s="141" t="s">
        <v>1163</v>
      </c>
      <c r="G74" s="17" t="s">
        <v>3264</v>
      </c>
      <c r="H74" s="39" t="s">
        <v>274</v>
      </c>
      <c r="I74" s="39" t="s">
        <v>274</v>
      </c>
      <c r="J74" s="26"/>
      <c r="K74" s="26"/>
      <c r="L74" s="33">
        <v>0</v>
      </c>
      <c r="M74" s="25" t="s">
        <v>720</v>
      </c>
      <c r="N74" s="17" t="s">
        <v>3391</v>
      </c>
    </row>
    <row r="77" spans="1:14" ht="18" x14ac:dyDescent="0.25">
      <c r="B77" s="8" t="s">
        <v>4022</v>
      </c>
      <c r="C77" s="8"/>
    </row>
    <row r="78" spans="1:14" x14ac:dyDescent="0.2">
      <c r="B78" s="243" t="s">
        <v>3499</v>
      </c>
    </row>
    <row r="79" spans="1:14" ht="14.25" x14ac:dyDescent="0.2">
      <c r="B79" s="11"/>
      <c r="C79" s="12" t="s">
        <v>18</v>
      </c>
    </row>
    <row r="80" spans="1:14" ht="15" x14ac:dyDescent="0.2">
      <c r="B80" s="13" t="s">
        <v>0</v>
      </c>
      <c r="C80" s="13" t="s">
        <v>19</v>
      </c>
      <c r="D80" s="13" t="s">
        <v>20</v>
      </c>
      <c r="E80" s="13" t="s">
        <v>3593</v>
      </c>
      <c r="F80" s="13" t="s">
        <v>9</v>
      </c>
    </row>
    <row r="81" spans="1:6" x14ac:dyDescent="0.2">
      <c r="A81" s="43">
        <v>1</v>
      </c>
      <c r="B81" s="10" t="s">
        <v>1108</v>
      </c>
      <c r="C81" s="18" t="s">
        <v>18</v>
      </c>
      <c r="D81" s="27" t="s">
        <v>76</v>
      </c>
      <c r="E81" s="27" t="s">
        <v>1111</v>
      </c>
      <c r="F81" s="27" t="s">
        <v>1166</v>
      </c>
    </row>
    <row r="82" spans="1:6" x14ac:dyDescent="0.2">
      <c r="A82" s="43">
        <v>2</v>
      </c>
      <c r="B82" s="10" t="s">
        <v>1167</v>
      </c>
      <c r="C82" s="18" t="s">
        <v>18</v>
      </c>
      <c r="D82" s="27" t="s">
        <v>116</v>
      </c>
      <c r="E82" s="27" t="s">
        <v>1110</v>
      </c>
      <c r="F82" s="27" t="s">
        <v>1168</v>
      </c>
    </row>
    <row r="83" spans="1:6" x14ac:dyDescent="0.2">
      <c r="A83" s="43">
        <v>3</v>
      </c>
      <c r="B83" s="10" t="s">
        <v>1156</v>
      </c>
      <c r="C83" s="18" t="s">
        <v>18</v>
      </c>
      <c r="D83" s="27" t="s">
        <v>116</v>
      </c>
      <c r="E83" s="27" t="s">
        <v>275</v>
      </c>
      <c r="F83" s="27" t="s">
        <v>1169</v>
      </c>
    </row>
    <row r="84" spans="1:6" x14ac:dyDescent="0.2">
      <c r="B84" s="10"/>
      <c r="F84" s="14"/>
    </row>
    <row r="85" spans="1:6" ht="14.25" x14ac:dyDescent="0.2">
      <c r="B85" s="11"/>
      <c r="C85" s="12" t="s">
        <v>310</v>
      </c>
    </row>
    <row r="86" spans="1:6" ht="15" x14ac:dyDescent="0.2">
      <c r="B86" s="13" t="s">
        <v>0</v>
      </c>
      <c r="C86" s="13" t="s">
        <v>19</v>
      </c>
      <c r="D86" s="13" t="s">
        <v>20</v>
      </c>
      <c r="E86" s="13" t="s">
        <v>3593</v>
      </c>
      <c r="F86" s="13" t="s">
        <v>9</v>
      </c>
    </row>
    <row r="87" spans="1:6" x14ac:dyDescent="0.2">
      <c r="A87" s="43">
        <v>1</v>
      </c>
      <c r="B87" s="10" t="s">
        <v>1108</v>
      </c>
      <c r="C87" s="18" t="s">
        <v>312</v>
      </c>
      <c r="D87" s="27" t="s">
        <v>76</v>
      </c>
      <c r="E87" s="27" t="s">
        <v>1111</v>
      </c>
      <c r="F87" s="27" t="s">
        <v>1173</v>
      </c>
    </row>
    <row r="88" spans="1:6" x14ac:dyDescent="0.2">
      <c r="A88" s="43">
        <v>2</v>
      </c>
      <c r="B88" s="10" t="s">
        <v>1174</v>
      </c>
      <c r="C88" s="18" t="s">
        <v>1175</v>
      </c>
      <c r="D88" s="27" t="s">
        <v>69</v>
      </c>
      <c r="E88" s="27" t="s">
        <v>24</v>
      </c>
      <c r="F88" s="27" t="s">
        <v>1176</v>
      </c>
    </row>
    <row r="89" spans="1:6" x14ac:dyDescent="0.2">
      <c r="A89" s="43">
        <v>3</v>
      </c>
      <c r="B89" s="10" t="s">
        <v>1096</v>
      </c>
      <c r="C89" s="18" t="s">
        <v>312</v>
      </c>
      <c r="D89" s="27" t="s">
        <v>46</v>
      </c>
      <c r="E89" s="27" t="s">
        <v>273</v>
      </c>
      <c r="F89" s="27" t="s">
        <v>1177</v>
      </c>
    </row>
  </sheetData>
  <mergeCells count="25">
    <mergeCell ref="B45:M45"/>
    <mergeCell ref="B58:M58"/>
    <mergeCell ref="B66:M66"/>
    <mergeCell ref="B72:M72"/>
    <mergeCell ref="A1:N1"/>
    <mergeCell ref="A2:N2"/>
    <mergeCell ref="A3:N3"/>
    <mergeCell ref="A4:A5"/>
    <mergeCell ref="B28:M28"/>
    <mergeCell ref="N4:N5"/>
    <mergeCell ref="B6:M6"/>
    <mergeCell ref="B9:M9"/>
    <mergeCell ref="B13:M13"/>
    <mergeCell ref="B17:M17"/>
    <mergeCell ref="B23:M23"/>
    <mergeCell ref="B4:B5"/>
    <mergeCell ref="G4:G5"/>
    <mergeCell ref="H4:K4"/>
    <mergeCell ref="L4:L5"/>
    <mergeCell ref="M4:M5"/>
    <mergeCell ref="B39:M39"/>
    <mergeCell ref="C4:C5"/>
    <mergeCell ref="D4:D5"/>
    <mergeCell ref="E4:E5"/>
    <mergeCell ref="F4:F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tabSelected="1" topLeftCell="B1" workbookViewId="0">
      <selection sqref="A1:N1"/>
    </sheetView>
  </sheetViews>
  <sheetFormatPr defaultColWidth="8.7109375" defaultRowHeight="12.75" x14ac:dyDescent="0.2"/>
  <cols>
    <col min="1" max="1" width="6.85546875" style="43" bestFit="1" customWidth="1"/>
    <col min="2" max="2" width="23.140625" style="6" bestFit="1" customWidth="1"/>
    <col min="3" max="3" width="33.42578125" style="6" bestFit="1" customWidth="1"/>
    <col min="4" max="4" width="8.5703125" style="6" bestFit="1" customWidth="1"/>
    <col min="5" max="5" width="7.5703125" style="6" bestFit="1" customWidth="1"/>
    <col min="6" max="6" width="20" style="6" bestFit="1" customWidth="1"/>
    <col min="7" max="7" width="47" style="6" bestFit="1" customWidth="1"/>
    <col min="8" max="11" width="6.42578125" style="27" bestFit="1" customWidth="1"/>
    <col min="12" max="12" width="6.42578125" style="32" bestFit="1" customWidth="1"/>
    <col min="13" max="13" width="9.85546875" style="27" bestFit="1" customWidth="1"/>
    <col min="14" max="14" width="15.42578125" style="6" bestFit="1" customWidth="1"/>
    <col min="258" max="258" width="27" bestFit="1" customWidth="1"/>
    <col min="259" max="259" width="30.85546875" bestFit="1" customWidth="1"/>
    <col min="260" max="260" width="7.7109375" bestFit="1" customWidth="1"/>
    <col min="261" max="261" width="6.85546875" bestFit="1" customWidth="1"/>
    <col min="262" max="262" width="17.28515625" bestFit="1" customWidth="1"/>
    <col min="263" max="263" width="30.7109375" bestFit="1" customWidth="1"/>
    <col min="264" max="267" width="5.5703125" bestFit="1" customWidth="1"/>
    <col min="268" max="268" width="6.7109375" bestFit="1" customWidth="1"/>
    <col min="269" max="269" width="8.5703125" bestFit="1" customWidth="1"/>
    <col min="270" max="270" width="28.85546875" bestFit="1" customWidth="1"/>
    <col min="514" max="514" width="27" bestFit="1" customWidth="1"/>
    <col min="515" max="515" width="30.85546875" bestFit="1" customWidth="1"/>
    <col min="516" max="516" width="7.7109375" bestFit="1" customWidth="1"/>
    <col min="517" max="517" width="6.85546875" bestFit="1" customWidth="1"/>
    <col min="518" max="518" width="17.28515625" bestFit="1" customWidth="1"/>
    <col min="519" max="519" width="30.7109375" bestFit="1" customWidth="1"/>
    <col min="520" max="523" width="5.5703125" bestFit="1" customWidth="1"/>
    <col min="524" max="524" width="6.7109375" bestFit="1" customWidth="1"/>
    <col min="525" max="525" width="8.5703125" bestFit="1" customWidth="1"/>
    <col min="526" max="526" width="28.85546875" bestFit="1" customWidth="1"/>
    <col min="770" max="770" width="27" bestFit="1" customWidth="1"/>
    <col min="771" max="771" width="30.85546875" bestFit="1" customWidth="1"/>
    <col min="772" max="772" width="7.7109375" bestFit="1" customWidth="1"/>
    <col min="773" max="773" width="6.85546875" bestFit="1" customWidth="1"/>
    <col min="774" max="774" width="17.28515625" bestFit="1" customWidth="1"/>
    <col min="775" max="775" width="30.7109375" bestFit="1" customWidth="1"/>
    <col min="776" max="779" width="5.5703125" bestFit="1" customWidth="1"/>
    <col min="780" max="780" width="6.7109375" bestFit="1" customWidth="1"/>
    <col min="781" max="781" width="8.5703125" bestFit="1" customWidth="1"/>
    <col min="782" max="782" width="28.85546875" bestFit="1" customWidth="1"/>
    <col min="1026" max="1026" width="27" bestFit="1" customWidth="1"/>
    <col min="1027" max="1027" width="30.85546875" bestFit="1" customWidth="1"/>
    <col min="1028" max="1028" width="7.7109375" bestFit="1" customWidth="1"/>
    <col min="1029" max="1029" width="6.85546875" bestFit="1" customWidth="1"/>
    <col min="1030" max="1030" width="17.28515625" bestFit="1" customWidth="1"/>
    <col min="1031" max="1031" width="30.7109375" bestFit="1" customWidth="1"/>
    <col min="1032" max="1035" width="5.5703125" bestFit="1" customWidth="1"/>
    <col min="1036" max="1036" width="6.7109375" bestFit="1" customWidth="1"/>
    <col min="1037" max="1037" width="8.5703125" bestFit="1" customWidth="1"/>
    <col min="1038" max="1038" width="28.85546875" bestFit="1" customWidth="1"/>
    <col min="1282" max="1282" width="27" bestFit="1" customWidth="1"/>
    <col min="1283" max="1283" width="30.85546875" bestFit="1" customWidth="1"/>
    <col min="1284" max="1284" width="7.7109375" bestFit="1" customWidth="1"/>
    <col min="1285" max="1285" width="6.85546875" bestFit="1" customWidth="1"/>
    <col min="1286" max="1286" width="17.28515625" bestFit="1" customWidth="1"/>
    <col min="1287" max="1287" width="30.7109375" bestFit="1" customWidth="1"/>
    <col min="1288" max="1291" width="5.5703125" bestFit="1" customWidth="1"/>
    <col min="1292" max="1292" width="6.7109375" bestFit="1" customWidth="1"/>
    <col min="1293" max="1293" width="8.5703125" bestFit="1" customWidth="1"/>
    <col min="1294" max="1294" width="28.85546875" bestFit="1" customWidth="1"/>
    <col min="1538" max="1538" width="27" bestFit="1" customWidth="1"/>
    <col min="1539" max="1539" width="30.85546875" bestFit="1" customWidth="1"/>
    <col min="1540" max="1540" width="7.7109375" bestFit="1" customWidth="1"/>
    <col min="1541" max="1541" width="6.85546875" bestFit="1" customWidth="1"/>
    <col min="1542" max="1542" width="17.28515625" bestFit="1" customWidth="1"/>
    <col min="1543" max="1543" width="30.7109375" bestFit="1" customWidth="1"/>
    <col min="1544" max="1547" width="5.5703125" bestFit="1" customWidth="1"/>
    <col min="1548" max="1548" width="6.7109375" bestFit="1" customWidth="1"/>
    <col min="1549" max="1549" width="8.5703125" bestFit="1" customWidth="1"/>
    <col min="1550" max="1550" width="28.85546875" bestFit="1" customWidth="1"/>
    <col min="1794" max="1794" width="27" bestFit="1" customWidth="1"/>
    <col min="1795" max="1795" width="30.85546875" bestFit="1" customWidth="1"/>
    <col min="1796" max="1796" width="7.7109375" bestFit="1" customWidth="1"/>
    <col min="1797" max="1797" width="6.85546875" bestFit="1" customWidth="1"/>
    <col min="1798" max="1798" width="17.28515625" bestFit="1" customWidth="1"/>
    <col min="1799" max="1799" width="30.7109375" bestFit="1" customWidth="1"/>
    <col min="1800" max="1803" width="5.5703125" bestFit="1" customWidth="1"/>
    <col min="1804" max="1804" width="6.7109375" bestFit="1" customWidth="1"/>
    <col min="1805" max="1805" width="8.5703125" bestFit="1" customWidth="1"/>
    <col min="1806" max="1806" width="28.85546875" bestFit="1" customWidth="1"/>
    <col min="2050" max="2050" width="27" bestFit="1" customWidth="1"/>
    <col min="2051" max="2051" width="30.85546875" bestFit="1" customWidth="1"/>
    <col min="2052" max="2052" width="7.7109375" bestFit="1" customWidth="1"/>
    <col min="2053" max="2053" width="6.85546875" bestFit="1" customWidth="1"/>
    <col min="2054" max="2054" width="17.28515625" bestFit="1" customWidth="1"/>
    <col min="2055" max="2055" width="30.7109375" bestFit="1" customWidth="1"/>
    <col min="2056" max="2059" width="5.5703125" bestFit="1" customWidth="1"/>
    <col min="2060" max="2060" width="6.7109375" bestFit="1" customWidth="1"/>
    <col min="2061" max="2061" width="8.5703125" bestFit="1" customWidth="1"/>
    <col min="2062" max="2062" width="28.85546875" bestFit="1" customWidth="1"/>
    <col min="2306" max="2306" width="27" bestFit="1" customWidth="1"/>
    <col min="2307" max="2307" width="30.85546875" bestFit="1" customWidth="1"/>
    <col min="2308" max="2308" width="7.7109375" bestFit="1" customWidth="1"/>
    <col min="2309" max="2309" width="6.85546875" bestFit="1" customWidth="1"/>
    <col min="2310" max="2310" width="17.28515625" bestFit="1" customWidth="1"/>
    <col min="2311" max="2311" width="30.7109375" bestFit="1" customWidth="1"/>
    <col min="2312" max="2315" width="5.5703125" bestFit="1" customWidth="1"/>
    <col min="2316" max="2316" width="6.7109375" bestFit="1" customWidth="1"/>
    <col min="2317" max="2317" width="8.5703125" bestFit="1" customWidth="1"/>
    <col min="2318" max="2318" width="28.85546875" bestFit="1" customWidth="1"/>
    <col min="2562" max="2562" width="27" bestFit="1" customWidth="1"/>
    <col min="2563" max="2563" width="30.85546875" bestFit="1" customWidth="1"/>
    <col min="2564" max="2564" width="7.7109375" bestFit="1" customWidth="1"/>
    <col min="2565" max="2565" width="6.85546875" bestFit="1" customWidth="1"/>
    <col min="2566" max="2566" width="17.28515625" bestFit="1" customWidth="1"/>
    <col min="2567" max="2567" width="30.7109375" bestFit="1" customWidth="1"/>
    <col min="2568" max="2571" width="5.5703125" bestFit="1" customWidth="1"/>
    <col min="2572" max="2572" width="6.7109375" bestFit="1" customWidth="1"/>
    <col min="2573" max="2573" width="8.5703125" bestFit="1" customWidth="1"/>
    <col min="2574" max="2574" width="28.85546875" bestFit="1" customWidth="1"/>
    <col min="2818" max="2818" width="27" bestFit="1" customWidth="1"/>
    <col min="2819" max="2819" width="30.85546875" bestFit="1" customWidth="1"/>
    <col min="2820" max="2820" width="7.7109375" bestFit="1" customWidth="1"/>
    <col min="2821" max="2821" width="6.85546875" bestFit="1" customWidth="1"/>
    <col min="2822" max="2822" width="17.28515625" bestFit="1" customWidth="1"/>
    <col min="2823" max="2823" width="30.7109375" bestFit="1" customWidth="1"/>
    <col min="2824" max="2827" width="5.5703125" bestFit="1" customWidth="1"/>
    <col min="2828" max="2828" width="6.7109375" bestFit="1" customWidth="1"/>
    <col min="2829" max="2829" width="8.5703125" bestFit="1" customWidth="1"/>
    <col min="2830" max="2830" width="28.85546875" bestFit="1" customWidth="1"/>
    <col min="3074" max="3074" width="27" bestFit="1" customWidth="1"/>
    <col min="3075" max="3075" width="30.85546875" bestFit="1" customWidth="1"/>
    <col min="3076" max="3076" width="7.7109375" bestFit="1" customWidth="1"/>
    <col min="3077" max="3077" width="6.85546875" bestFit="1" customWidth="1"/>
    <col min="3078" max="3078" width="17.28515625" bestFit="1" customWidth="1"/>
    <col min="3079" max="3079" width="30.7109375" bestFit="1" customWidth="1"/>
    <col min="3080" max="3083" width="5.5703125" bestFit="1" customWidth="1"/>
    <col min="3084" max="3084" width="6.7109375" bestFit="1" customWidth="1"/>
    <col min="3085" max="3085" width="8.5703125" bestFit="1" customWidth="1"/>
    <col min="3086" max="3086" width="28.85546875" bestFit="1" customWidth="1"/>
    <col min="3330" max="3330" width="27" bestFit="1" customWidth="1"/>
    <col min="3331" max="3331" width="30.85546875" bestFit="1" customWidth="1"/>
    <col min="3332" max="3332" width="7.7109375" bestFit="1" customWidth="1"/>
    <col min="3333" max="3333" width="6.85546875" bestFit="1" customWidth="1"/>
    <col min="3334" max="3334" width="17.28515625" bestFit="1" customWidth="1"/>
    <col min="3335" max="3335" width="30.7109375" bestFit="1" customWidth="1"/>
    <col min="3336" max="3339" width="5.5703125" bestFit="1" customWidth="1"/>
    <col min="3340" max="3340" width="6.7109375" bestFit="1" customWidth="1"/>
    <col min="3341" max="3341" width="8.5703125" bestFit="1" customWidth="1"/>
    <col min="3342" max="3342" width="28.85546875" bestFit="1" customWidth="1"/>
    <col min="3586" max="3586" width="27" bestFit="1" customWidth="1"/>
    <col min="3587" max="3587" width="30.85546875" bestFit="1" customWidth="1"/>
    <col min="3588" max="3588" width="7.7109375" bestFit="1" customWidth="1"/>
    <col min="3589" max="3589" width="6.85546875" bestFit="1" customWidth="1"/>
    <col min="3590" max="3590" width="17.28515625" bestFit="1" customWidth="1"/>
    <col min="3591" max="3591" width="30.7109375" bestFit="1" customWidth="1"/>
    <col min="3592" max="3595" width="5.5703125" bestFit="1" customWidth="1"/>
    <col min="3596" max="3596" width="6.7109375" bestFit="1" customWidth="1"/>
    <col min="3597" max="3597" width="8.5703125" bestFit="1" customWidth="1"/>
    <col min="3598" max="3598" width="28.85546875" bestFit="1" customWidth="1"/>
    <col min="3842" max="3842" width="27" bestFit="1" customWidth="1"/>
    <col min="3843" max="3843" width="30.85546875" bestFit="1" customWidth="1"/>
    <col min="3844" max="3844" width="7.7109375" bestFit="1" customWidth="1"/>
    <col min="3845" max="3845" width="6.85546875" bestFit="1" customWidth="1"/>
    <col min="3846" max="3846" width="17.28515625" bestFit="1" customWidth="1"/>
    <col min="3847" max="3847" width="30.7109375" bestFit="1" customWidth="1"/>
    <col min="3848" max="3851" width="5.5703125" bestFit="1" customWidth="1"/>
    <col min="3852" max="3852" width="6.7109375" bestFit="1" customWidth="1"/>
    <col min="3853" max="3853" width="8.5703125" bestFit="1" customWidth="1"/>
    <col min="3854" max="3854" width="28.85546875" bestFit="1" customWidth="1"/>
    <col min="4098" max="4098" width="27" bestFit="1" customWidth="1"/>
    <col min="4099" max="4099" width="30.85546875" bestFit="1" customWidth="1"/>
    <col min="4100" max="4100" width="7.7109375" bestFit="1" customWidth="1"/>
    <col min="4101" max="4101" width="6.85546875" bestFit="1" customWidth="1"/>
    <col min="4102" max="4102" width="17.28515625" bestFit="1" customWidth="1"/>
    <col min="4103" max="4103" width="30.7109375" bestFit="1" customWidth="1"/>
    <col min="4104" max="4107" width="5.5703125" bestFit="1" customWidth="1"/>
    <col min="4108" max="4108" width="6.7109375" bestFit="1" customWidth="1"/>
    <col min="4109" max="4109" width="8.5703125" bestFit="1" customWidth="1"/>
    <col min="4110" max="4110" width="28.85546875" bestFit="1" customWidth="1"/>
    <col min="4354" max="4354" width="27" bestFit="1" customWidth="1"/>
    <col min="4355" max="4355" width="30.85546875" bestFit="1" customWidth="1"/>
    <col min="4356" max="4356" width="7.7109375" bestFit="1" customWidth="1"/>
    <col min="4357" max="4357" width="6.85546875" bestFit="1" customWidth="1"/>
    <col min="4358" max="4358" width="17.28515625" bestFit="1" customWidth="1"/>
    <col min="4359" max="4359" width="30.7109375" bestFit="1" customWidth="1"/>
    <col min="4360" max="4363" width="5.5703125" bestFit="1" customWidth="1"/>
    <col min="4364" max="4364" width="6.7109375" bestFit="1" customWidth="1"/>
    <col min="4365" max="4365" width="8.5703125" bestFit="1" customWidth="1"/>
    <col min="4366" max="4366" width="28.85546875" bestFit="1" customWidth="1"/>
    <col min="4610" max="4610" width="27" bestFit="1" customWidth="1"/>
    <col min="4611" max="4611" width="30.85546875" bestFit="1" customWidth="1"/>
    <col min="4612" max="4612" width="7.7109375" bestFit="1" customWidth="1"/>
    <col min="4613" max="4613" width="6.85546875" bestFit="1" customWidth="1"/>
    <col min="4614" max="4614" width="17.28515625" bestFit="1" customWidth="1"/>
    <col min="4615" max="4615" width="30.7109375" bestFit="1" customWidth="1"/>
    <col min="4616" max="4619" width="5.5703125" bestFit="1" customWidth="1"/>
    <col min="4620" max="4620" width="6.7109375" bestFit="1" customWidth="1"/>
    <col min="4621" max="4621" width="8.5703125" bestFit="1" customWidth="1"/>
    <col min="4622" max="4622" width="28.85546875" bestFit="1" customWidth="1"/>
    <col min="4866" max="4866" width="27" bestFit="1" customWidth="1"/>
    <col min="4867" max="4867" width="30.85546875" bestFit="1" customWidth="1"/>
    <col min="4868" max="4868" width="7.7109375" bestFit="1" customWidth="1"/>
    <col min="4869" max="4869" width="6.85546875" bestFit="1" customWidth="1"/>
    <col min="4870" max="4870" width="17.28515625" bestFit="1" customWidth="1"/>
    <col min="4871" max="4871" width="30.7109375" bestFit="1" customWidth="1"/>
    <col min="4872" max="4875" width="5.5703125" bestFit="1" customWidth="1"/>
    <col min="4876" max="4876" width="6.7109375" bestFit="1" customWidth="1"/>
    <col min="4877" max="4877" width="8.5703125" bestFit="1" customWidth="1"/>
    <col min="4878" max="4878" width="28.85546875" bestFit="1" customWidth="1"/>
    <col min="5122" max="5122" width="27" bestFit="1" customWidth="1"/>
    <col min="5123" max="5123" width="30.85546875" bestFit="1" customWidth="1"/>
    <col min="5124" max="5124" width="7.7109375" bestFit="1" customWidth="1"/>
    <col min="5125" max="5125" width="6.85546875" bestFit="1" customWidth="1"/>
    <col min="5126" max="5126" width="17.28515625" bestFit="1" customWidth="1"/>
    <col min="5127" max="5127" width="30.7109375" bestFit="1" customWidth="1"/>
    <col min="5128" max="5131" width="5.5703125" bestFit="1" customWidth="1"/>
    <col min="5132" max="5132" width="6.7109375" bestFit="1" customWidth="1"/>
    <col min="5133" max="5133" width="8.5703125" bestFit="1" customWidth="1"/>
    <col min="5134" max="5134" width="28.85546875" bestFit="1" customWidth="1"/>
    <col min="5378" max="5378" width="27" bestFit="1" customWidth="1"/>
    <col min="5379" max="5379" width="30.85546875" bestFit="1" customWidth="1"/>
    <col min="5380" max="5380" width="7.7109375" bestFit="1" customWidth="1"/>
    <col min="5381" max="5381" width="6.85546875" bestFit="1" customWidth="1"/>
    <col min="5382" max="5382" width="17.28515625" bestFit="1" customWidth="1"/>
    <col min="5383" max="5383" width="30.7109375" bestFit="1" customWidth="1"/>
    <col min="5384" max="5387" width="5.5703125" bestFit="1" customWidth="1"/>
    <col min="5388" max="5388" width="6.7109375" bestFit="1" customWidth="1"/>
    <col min="5389" max="5389" width="8.5703125" bestFit="1" customWidth="1"/>
    <col min="5390" max="5390" width="28.85546875" bestFit="1" customWidth="1"/>
    <col min="5634" max="5634" width="27" bestFit="1" customWidth="1"/>
    <col min="5635" max="5635" width="30.85546875" bestFit="1" customWidth="1"/>
    <col min="5636" max="5636" width="7.7109375" bestFit="1" customWidth="1"/>
    <col min="5637" max="5637" width="6.85546875" bestFit="1" customWidth="1"/>
    <col min="5638" max="5638" width="17.28515625" bestFit="1" customWidth="1"/>
    <col min="5639" max="5639" width="30.7109375" bestFit="1" customWidth="1"/>
    <col min="5640" max="5643" width="5.5703125" bestFit="1" customWidth="1"/>
    <col min="5644" max="5644" width="6.7109375" bestFit="1" customWidth="1"/>
    <col min="5645" max="5645" width="8.5703125" bestFit="1" customWidth="1"/>
    <col min="5646" max="5646" width="28.85546875" bestFit="1" customWidth="1"/>
    <col min="5890" max="5890" width="27" bestFit="1" customWidth="1"/>
    <col min="5891" max="5891" width="30.85546875" bestFit="1" customWidth="1"/>
    <col min="5892" max="5892" width="7.7109375" bestFit="1" customWidth="1"/>
    <col min="5893" max="5893" width="6.85546875" bestFit="1" customWidth="1"/>
    <col min="5894" max="5894" width="17.28515625" bestFit="1" customWidth="1"/>
    <col min="5895" max="5895" width="30.7109375" bestFit="1" customWidth="1"/>
    <col min="5896" max="5899" width="5.5703125" bestFit="1" customWidth="1"/>
    <col min="5900" max="5900" width="6.7109375" bestFit="1" customWidth="1"/>
    <col min="5901" max="5901" width="8.5703125" bestFit="1" customWidth="1"/>
    <col min="5902" max="5902" width="28.85546875" bestFit="1" customWidth="1"/>
    <col min="6146" max="6146" width="27" bestFit="1" customWidth="1"/>
    <col min="6147" max="6147" width="30.85546875" bestFit="1" customWidth="1"/>
    <col min="6148" max="6148" width="7.7109375" bestFit="1" customWidth="1"/>
    <col min="6149" max="6149" width="6.85546875" bestFit="1" customWidth="1"/>
    <col min="6150" max="6150" width="17.28515625" bestFit="1" customWidth="1"/>
    <col min="6151" max="6151" width="30.7109375" bestFit="1" customWidth="1"/>
    <col min="6152" max="6155" width="5.5703125" bestFit="1" customWidth="1"/>
    <col min="6156" max="6156" width="6.7109375" bestFit="1" customWidth="1"/>
    <col min="6157" max="6157" width="8.5703125" bestFit="1" customWidth="1"/>
    <col min="6158" max="6158" width="28.85546875" bestFit="1" customWidth="1"/>
    <col min="6402" max="6402" width="27" bestFit="1" customWidth="1"/>
    <col min="6403" max="6403" width="30.85546875" bestFit="1" customWidth="1"/>
    <col min="6404" max="6404" width="7.7109375" bestFit="1" customWidth="1"/>
    <col min="6405" max="6405" width="6.85546875" bestFit="1" customWidth="1"/>
    <col min="6406" max="6406" width="17.28515625" bestFit="1" customWidth="1"/>
    <col min="6407" max="6407" width="30.7109375" bestFit="1" customWidth="1"/>
    <col min="6408" max="6411" width="5.5703125" bestFit="1" customWidth="1"/>
    <col min="6412" max="6412" width="6.7109375" bestFit="1" customWidth="1"/>
    <col min="6413" max="6413" width="8.5703125" bestFit="1" customWidth="1"/>
    <col min="6414" max="6414" width="28.85546875" bestFit="1" customWidth="1"/>
    <col min="6658" max="6658" width="27" bestFit="1" customWidth="1"/>
    <col min="6659" max="6659" width="30.85546875" bestFit="1" customWidth="1"/>
    <col min="6660" max="6660" width="7.7109375" bestFit="1" customWidth="1"/>
    <col min="6661" max="6661" width="6.85546875" bestFit="1" customWidth="1"/>
    <col min="6662" max="6662" width="17.28515625" bestFit="1" customWidth="1"/>
    <col min="6663" max="6663" width="30.7109375" bestFit="1" customWidth="1"/>
    <col min="6664" max="6667" width="5.5703125" bestFit="1" customWidth="1"/>
    <col min="6668" max="6668" width="6.7109375" bestFit="1" customWidth="1"/>
    <col min="6669" max="6669" width="8.5703125" bestFit="1" customWidth="1"/>
    <col min="6670" max="6670" width="28.85546875" bestFit="1" customWidth="1"/>
    <col min="6914" max="6914" width="27" bestFit="1" customWidth="1"/>
    <col min="6915" max="6915" width="30.85546875" bestFit="1" customWidth="1"/>
    <col min="6916" max="6916" width="7.7109375" bestFit="1" customWidth="1"/>
    <col min="6917" max="6917" width="6.85546875" bestFit="1" customWidth="1"/>
    <col min="6918" max="6918" width="17.28515625" bestFit="1" customWidth="1"/>
    <col min="6919" max="6919" width="30.7109375" bestFit="1" customWidth="1"/>
    <col min="6920" max="6923" width="5.5703125" bestFit="1" customWidth="1"/>
    <col min="6924" max="6924" width="6.7109375" bestFit="1" customWidth="1"/>
    <col min="6925" max="6925" width="8.5703125" bestFit="1" customWidth="1"/>
    <col min="6926" max="6926" width="28.85546875" bestFit="1" customWidth="1"/>
    <col min="7170" max="7170" width="27" bestFit="1" customWidth="1"/>
    <col min="7171" max="7171" width="30.85546875" bestFit="1" customWidth="1"/>
    <col min="7172" max="7172" width="7.7109375" bestFit="1" customWidth="1"/>
    <col min="7173" max="7173" width="6.85546875" bestFit="1" customWidth="1"/>
    <col min="7174" max="7174" width="17.28515625" bestFit="1" customWidth="1"/>
    <col min="7175" max="7175" width="30.7109375" bestFit="1" customWidth="1"/>
    <col min="7176" max="7179" width="5.5703125" bestFit="1" customWidth="1"/>
    <col min="7180" max="7180" width="6.7109375" bestFit="1" customWidth="1"/>
    <col min="7181" max="7181" width="8.5703125" bestFit="1" customWidth="1"/>
    <col min="7182" max="7182" width="28.85546875" bestFit="1" customWidth="1"/>
    <col min="7426" max="7426" width="27" bestFit="1" customWidth="1"/>
    <col min="7427" max="7427" width="30.85546875" bestFit="1" customWidth="1"/>
    <col min="7428" max="7428" width="7.7109375" bestFit="1" customWidth="1"/>
    <col min="7429" max="7429" width="6.85546875" bestFit="1" customWidth="1"/>
    <col min="7430" max="7430" width="17.28515625" bestFit="1" customWidth="1"/>
    <col min="7431" max="7431" width="30.7109375" bestFit="1" customWidth="1"/>
    <col min="7432" max="7435" width="5.5703125" bestFit="1" customWidth="1"/>
    <col min="7436" max="7436" width="6.7109375" bestFit="1" customWidth="1"/>
    <col min="7437" max="7437" width="8.5703125" bestFit="1" customWidth="1"/>
    <col min="7438" max="7438" width="28.85546875" bestFit="1" customWidth="1"/>
    <col min="7682" max="7682" width="27" bestFit="1" customWidth="1"/>
    <col min="7683" max="7683" width="30.85546875" bestFit="1" customWidth="1"/>
    <col min="7684" max="7684" width="7.7109375" bestFit="1" customWidth="1"/>
    <col min="7685" max="7685" width="6.85546875" bestFit="1" customWidth="1"/>
    <col min="7686" max="7686" width="17.28515625" bestFit="1" customWidth="1"/>
    <col min="7687" max="7687" width="30.7109375" bestFit="1" customWidth="1"/>
    <col min="7688" max="7691" width="5.5703125" bestFit="1" customWidth="1"/>
    <col min="7692" max="7692" width="6.7109375" bestFit="1" customWidth="1"/>
    <col min="7693" max="7693" width="8.5703125" bestFit="1" customWidth="1"/>
    <col min="7694" max="7694" width="28.85546875" bestFit="1" customWidth="1"/>
    <col min="7938" max="7938" width="27" bestFit="1" customWidth="1"/>
    <col min="7939" max="7939" width="30.85546875" bestFit="1" customWidth="1"/>
    <col min="7940" max="7940" width="7.7109375" bestFit="1" customWidth="1"/>
    <col min="7941" max="7941" width="6.85546875" bestFit="1" customWidth="1"/>
    <col min="7942" max="7942" width="17.28515625" bestFit="1" customWidth="1"/>
    <col min="7943" max="7943" width="30.7109375" bestFit="1" customWidth="1"/>
    <col min="7944" max="7947" width="5.5703125" bestFit="1" customWidth="1"/>
    <col min="7948" max="7948" width="6.7109375" bestFit="1" customWidth="1"/>
    <col min="7949" max="7949" width="8.5703125" bestFit="1" customWidth="1"/>
    <col min="7950" max="7950" width="28.85546875" bestFit="1" customWidth="1"/>
    <col min="8194" max="8194" width="27" bestFit="1" customWidth="1"/>
    <col min="8195" max="8195" width="30.85546875" bestFit="1" customWidth="1"/>
    <col min="8196" max="8196" width="7.7109375" bestFit="1" customWidth="1"/>
    <col min="8197" max="8197" width="6.85546875" bestFit="1" customWidth="1"/>
    <col min="8198" max="8198" width="17.28515625" bestFit="1" customWidth="1"/>
    <col min="8199" max="8199" width="30.7109375" bestFit="1" customWidth="1"/>
    <col min="8200" max="8203" width="5.5703125" bestFit="1" customWidth="1"/>
    <col min="8204" max="8204" width="6.7109375" bestFit="1" customWidth="1"/>
    <col min="8205" max="8205" width="8.5703125" bestFit="1" customWidth="1"/>
    <col min="8206" max="8206" width="28.85546875" bestFit="1" customWidth="1"/>
    <col min="8450" max="8450" width="27" bestFit="1" customWidth="1"/>
    <col min="8451" max="8451" width="30.85546875" bestFit="1" customWidth="1"/>
    <col min="8452" max="8452" width="7.7109375" bestFit="1" customWidth="1"/>
    <col min="8453" max="8453" width="6.85546875" bestFit="1" customWidth="1"/>
    <col min="8454" max="8454" width="17.28515625" bestFit="1" customWidth="1"/>
    <col min="8455" max="8455" width="30.7109375" bestFit="1" customWidth="1"/>
    <col min="8456" max="8459" width="5.5703125" bestFit="1" customWidth="1"/>
    <col min="8460" max="8460" width="6.7109375" bestFit="1" customWidth="1"/>
    <col min="8461" max="8461" width="8.5703125" bestFit="1" customWidth="1"/>
    <col min="8462" max="8462" width="28.85546875" bestFit="1" customWidth="1"/>
    <col min="8706" max="8706" width="27" bestFit="1" customWidth="1"/>
    <col min="8707" max="8707" width="30.85546875" bestFit="1" customWidth="1"/>
    <col min="8708" max="8708" width="7.7109375" bestFit="1" customWidth="1"/>
    <col min="8709" max="8709" width="6.85546875" bestFit="1" customWidth="1"/>
    <col min="8710" max="8710" width="17.28515625" bestFit="1" customWidth="1"/>
    <col min="8711" max="8711" width="30.7109375" bestFit="1" customWidth="1"/>
    <col min="8712" max="8715" width="5.5703125" bestFit="1" customWidth="1"/>
    <col min="8716" max="8716" width="6.7109375" bestFit="1" customWidth="1"/>
    <col min="8717" max="8717" width="8.5703125" bestFit="1" customWidth="1"/>
    <col min="8718" max="8718" width="28.85546875" bestFit="1" customWidth="1"/>
    <col min="8962" max="8962" width="27" bestFit="1" customWidth="1"/>
    <col min="8963" max="8963" width="30.85546875" bestFit="1" customWidth="1"/>
    <col min="8964" max="8964" width="7.7109375" bestFit="1" customWidth="1"/>
    <col min="8965" max="8965" width="6.85546875" bestFit="1" customWidth="1"/>
    <col min="8966" max="8966" width="17.28515625" bestFit="1" customWidth="1"/>
    <col min="8967" max="8967" width="30.7109375" bestFit="1" customWidth="1"/>
    <col min="8968" max="8971" width="5.5703125" bestFit="1" customWidth="1"/>
    <col min="8972" max="8972" width="6.7109375" bestFit="1" customWidth="1"/>
    <col min="8973" max="8973" width="8.5703125" bestFit="1" customWidth="1"/>
    <col min="8974" max="8974" width="28.85546875" bestFit="1" customWidth="1"/>
    <col min="9218" max="9218" width="27" bestFit="1" customWidth="1"/>
    <col min="9219" max="9219" width="30.85546875" bestFit="1" customWidth="1"/>
    <col min="9220" max="9220" width="7.7109375" bestFit="1" customWidth="1"/>
    <col min="9221" max="9221" width="6.85546875" bestFit="1" customWidth="1"/>
    <col min="9222" max="9222" width="17.28515625" bestFit="1" customWidth="1"/>
    <col min="9223" max="9223" width="30.7109375" bestFit="1" customWidth="1"/>
    <col min="9224" max="9227" width="5.5703125" bestFit="1" customWidth="1"/>
    <col min="9228" max="9228" width="6.7109375" bestFit="1" customWidth="1"/>
    <col min="9229" max="9229" width="8.5703125" bestFit="1" customWidth="1"/>
    <col min="9230" max="9230" width="28.85546875" bestFit="1" customWidth="1"/>
    <col min="9474" max="9474" width="27" bestFit="1" customWidth="1"/>
    <col min="9475" max="9475" width="30.85546875" bestFit="1" customWidth="1"/>
    <col min="9476" max="9476" width="7.7109375" bestFit="1" customWidth="1"/>
    <col min="9477" max="9477" width="6.85546875" bestFit="1" customWidth="1"/>
    <col min="9478" max="9478" width="17.28515625" bestFit="1" customWidth="1"/>
    <col min="9479" max="9479" width="30.7109375" bestFit="1" customWidth="1"/>
    <col min="9480" max="9483" width="5.5703125" bestFit="1" customWidth="1"/>
    <col min="9484" max="9484" width="6.7109375" bestFit="1" customWidth="1"/>
    <col min="9485" max="9485" width="8.5703125" bestFit="1" customWidth="1"/>
    <col min="9486" max="9486" width="28.85546875" bestFit="1" customWidth="1"/>
    <col min="9730" max="9730" width="27" bestFit="1" customWidth="1"/>
    <col min="9731" max="9731" width="30.85546875" bestFit="1" customWidth="1"/>
    <col min="9732" max="9732" width="7.7109375" bestFit="1" customWidth="1"/>
    <col min="9733" max="9733" width="6.85546875" bestFit="1" customWidth="1"/>
    <col min="9734" max="9734" width="17.28515625" bestFit="1" customWidth="1"/>
    <col min="9735" max="9735" width="30.7109375" bestFit="1" customWidth="1"/>
    <col min="9736" max="9739" width="5.5703125" bestFit="1" customWidth="1"/>
    <col min="9740" max="9740" width="6.7109375" bestFit="1" customWidth="1"/>
    <col min="9741" max="9741" width="8.5703125" bestFit="1" customWidth="1"/>
    <col min="9742" max="9742" width="28.85546875" bestFit="1" customWidth="1"/>
    <col min="9986" max="9986" width="27" bestFit="1" customWidth="1"/>
    <col min="9987" max="9987" width="30.85546875" bestFit="1" customWidth="1"/>
    <col min="9988" max="9988" width="7.7109375" bestFit="1" customWidth="1"/>
    <col min="9989" max="9989" width="6.85546875" bestFit="1" customWidth="1"/>
    <col min="9990" max="9990" width="17.28515625" bestFit="1" customWidth="1"/>
    <col min="9991" max="9991" width="30.7109375" bestFit="1" customWidth="1"/>
    <col min="9992" max="9995" width="5.5703125" bestFit="1" customWidth="1"/>
    <col min="9996" max="9996" width="6.7109375" bestFit="1" customWidth="1"/>
    <col min="9997" max="9997" width="8.5703125" bestFit="1" customWidth="1"/>
    <col min="9998" max="9998" width="28.85546875" bestFit="1" customWidth="1"/>
    <col min="10242" max="10242" width="27" bestFit="1" customWidth="1"/>
    <col min="10243" max="10243" width="30.85546875" bestFit="1" customWidth="1"/>
    <col min="10244" max="10244" width="7.7109375" bestFit="1" customWidth="1"/>
    <col min="10245" max="10245" width="6.85546875" bestFit="1" customWidth="1"/>
    <col min="10246" max="10246" width="17.28515625" bestFit="1" customWidth="1"/>
    <col min="10247" max="10247" width="30.7109375" bestFit="1" customWidth="1"/>
    <col min="10248" max="10251" width="5.5703125" bestFit="1" customWidth="1"/>
    <col min="10252" max="10252" width="6.7109375" bestFit="1" customWidth="1"/>
    <col min="10253" max="10253" width="8.5703125" bestFit="1" customWidth="1"/>
    <col min="10254" max="10254" width="28.85546875" bestFit="1" customWidth="1"/>
    <col min="10498" max="10498" width="27" bestFit="1" customWidth="1"/>
    <col min="10499" max="10499" width="30.85546875" bestFit="1" customWidth="1"/>
    <col min="10500" max="10500" width="7.7109375" bestFit="1" customWidth="1"/>
    <col min="10501" max="10501" width="6.85546875" bestFit="1" customWidth="1"/>
    <col min="10502" max="10502" width="17.28515625" bestFit="1" customWidth="1"/>
    <col min="10503" max="10503" width="30.7109375" bestFit="1" customWidth="1"/>
    <col min="10504" max="10507" width="5.5703125" bestFit="1" customWidth="1"/>
    <col min="10508" max="10508" width="6.7109375" bestFit="1" customWidth="1"/>
    <col min="10509" max="10509" width="8.5703125" bestFit="1" customWidth="1"/>
    <col min="10510" max="10510" width="28.85546875" bestFit="1" customWidth="1"/>
    <col min="10754" max="10754" width="27" bestFit="1" customWidth="1"/>
    <col min="10755" max="10755" width="30.85546875" bestFit="1" customWidth="1"/>
    <col min="10756" max="10756" width="7.7109375" bestFit="1" customWidth="1"/>
    <col min="10757" max="10757" width="6.85546875" bestFit="1" customWidth="1"/>
    <col min="10758" max="10758" width="17.28515625" bestFit="1" customWidth="1"/>
    <col min="10759" max="10759" width="30.7109375" bestFit="1" customWidth="1"/>
    <col min="10760" max="10763" width="5.5703125" bestFit="1" customWidth="1"/>
    <col min="10764" max="10764" width="6.7109375" bestFit="1" customWidth="1"/>
    <col min="10765" max="10765" width="8.5703125" bestFit="1" customWidth="1"/>
    <col min="10766" max="10766" width="28.85546875" bestFit="1" customWidth="1"/>
    <col min="11010" max="11010" width="27" bestFit="1" customWidth="1"/>
    <col min="11011" max="11011" width="30.85546875" bestFit="1" customWidth="1"/>
    <col min="11012" max="11012" width="7.7109375" bestFit="1" customWidth="1"/>
    <col min="11013" max="11013" width="6.85546875" bestFit="1" customWidth="1"/>
    <col min="11014" max="11014" width="17.28515625" bestFit="1" customWidth="1"/>
    <col min="11015" max="11015" width="30.7109375" bestFit="1" customWidth="1"/>
    <col min="11016" max="11019" width="5.5703125" bestFit="1" customWidth="1"/>
    <col min="11020" max="11020" width="6.7109375" bestFit="1" customWidth="1"/>
    <col min="11021" max="11021" width="8.5703125" bestFit="1" customWidth="1"/>
    <col min="11022" max="11022" width="28.85546875" bestFit="1" customWidth="1"/>
    <col min="11266" max="11266" width="27" bestFit="1" customWidth="1"/>
    <col min="11267" max="11267" width="30.85546875" bestFit="1" customWidth="1"/>
    <col min="11268" max="11268" width="7.7109375" bestFit="1" customWidth="1"/>
    <col min="11269" max="11269" width="6.85546875" bestFit="1" customWidth="1"/>
    <col min="11270" max="11270" width="17.28515625" bestFit="1" customWidth="1"/>
    <col min="11271" max="11271" width="30.7109375" bestFit="1" customWidth="1"/>
    <col min="11272" max="11275" width="5.5703125" bestFit="1" customWidth="1"/>
    <col min="11276" max="11276" width="6.7109375" bestFit="1" customWidth="1"/>
    <col min="11277" max="11277" width="8.5703125" bestFit="1" customWidth="1"/>
    <col min="11278" max="11278" width="28.85546875" bestFit="1" customWidth="1"/>
    <col min="11522" max="11522" width="27" bestFit="1" customWidth="1"/>
    <col min="11523" max="11523" width="30.85546875" bestFit="1" customWidth="1"/>
    <col min="11524" max="11524" width="7.7109375" bestFit="1" customWidth="1"/>
    <col min="11525" max="11525" width="6.85546875" bestFit="1" customWidth="1"/>
    <col min="11526" max="11526" width="17.28515625" bestFit="1" customWidth="1"/>
    <col min="11527" max="11527" width="30.7109375" bestFit="1" customWidth="1"/>
    <col min="11528" max="11531" width="5.5703125" bestFit="1" customWidth="1"/>
    <col min="11532" max="11532" width="6.7109375" bestFit="1" customWidth="1"/>
    <col min="11533" max="11533" width="8.5703125" bestFit="1" customWidth="1"/>
    <col min="11534" max="11534" width="28.85546875" bestFit="1" customWidth="1"/>
    <col min="11778" max="11778" width="27" bestFit="1" customWidth="1"/>
    <col min="11779" max="11779" width="30.85546875" bestFit="1" customWidth="1"/>
    <col min="11780" max="11780" width="7.7109375" bestFit="1" customWidth="1"/>
    <col min="11781" max="11781" width="6.85546875" bestFit="1" customWidth="1"/>
    <col min="11782" max="11782" width="17.28515625" bestFit="1" customWidth="1"/>
    <col min="11783" max="11783" width="30.7109375" bestFit="1" customWidth="1"/>
    <col min="11784" max="11787" width="5.5703125" bestFit="1" customWidth="1"/>
    <col min="11788" max="11788" width="6.7109375" bestFit="1" customWidth="1"/>
    <col min="11789" max="11789" width="8.5703125" bestFit="1" customWidth="1"/>
    <col min="11790" max="11790" width="28.85546875" bestFit="1" customWidth="1"/>
    <col min="12034" max="12034" width="27" bestFit="1" customWidth="1"/>
    <col min="12035" max="12035" width="30.85546875" bestFit="1" customWidth="1"/>
    <col min="12036" max="12036" width="7.7109375" bestFit="1" customWidth="1"/>
    <col min="12037" max="12037" width="6.85546875" bestFit="1" customWidth="1"/>
    <col min="12038" max="12038" width="17.28515625" bestFit="1" customWidth="1"/>
    <col min="12039" max="12039" width="30.7109375" bestFit="1" customWidth="1"/>
    <col min="12040" max="12043" width="5.5703125" bestFit="1" customWidth="1"/>
    <col min="12044" max="12044" width="6.7109375" bestFit="1" customWidth="1"/>
    <col min="12045" max="12045" width="8.5703125" bestFit="1" customWidth="1"/>
    <col min="12046" max="12046" width="28.85546875" bestFit="1" customWidth="1"/>
    <col min="12290" max="12290" width="27" bestFit="1" customWidth="1"/>
    <col min="12291" max="12291" width="30.85546875" bestFit="1" customWidth="1"/>
    <col min="12292" max="12292" width="7.7109375" bestFit="1" customWidth="1"/>
    <col min="12293" max="12293" width="6.85546875" bestFit="1" customWidth="1"/>
    <col min="12294" max="12294" width="17.28515625" bestFit="1" customWidth="1"/>
    <col min="12295" max="12295" width="30.7109375" bestFit="1" customWidth="1"/>
    <col min="12296" max="12299" width="5.5703125" bestFit="1" customWidth="1"/>
    <col min="12300" max="12300" width="6.7109375" bestFit="1" customWidth="1"/>
    <col min="12301" max="12301" width="8.5703125" bestFit="1" customWidth="1"/>
    <col min="12302" max="12302" width="28.85546875" bestFit="1" customWidth="1"/>
    <col min="12546" max="12546" width="27" bestFit="1" customWidth="1"/>
    <col min="12547" max="12547" width="30.85546875" bestFit="1" customWidth="1"/>
    <col min="12548" max="12548" width="7.7109375" bestFit="1" customWidth="1"/>
    <col min="12549" max="12549" width="6.85546875" bestFit="1" customWidth="1"/>
    <col min="12550" max="12550" width="17.28515625" bestFit="1" customWidth="1"/>
    <col min="12551" max="12551" width="30.7109375" bestFit="1" customWidth="1"/>
    <col min="12552" max="12555" width="5.5703125" bestFit="1" customWidth="1"/>
    <col min="12556" max="12556" width="6.7109375" bestFit="1" customWidth="1"/>
    <col min="12557" max="12557" width="8.5703125" bestFit="1" customWidth="1"/>
    <col min="12558" max="12558" width="28.85546875" bestFit="1" customWidth="1"/>
    <col min="12802" max="12802" width="27" bestFit="1" customWidth="1"/>
    <col min="12803" max="12803" width="30.85546875" bestFit="1" customWidth="1"/>
    <col min="12804" max="12804" width="7.7109375" bestFit="1" customWidth="1"/>
    <col min="12805" max="12805" width="6.85546875" bestFit="1" customWidth="1"/>
    <col min="12806" max="12806" width="17.28515625" bestFit="1" customWidth="1"/>
    <col min="12807" max="12807" width="30.7109375" bestFit="1" customWidth="1"/>
    <col min="12808" max="12811" width="5.5703125" bestFit="1" customWidth="1"/>
    <col min="12812" max="12812" width="6.7109375" bestFit="1" customWidth="1"/>
    <col min="12813" max="12813" width="8.5703125" bestFit="1" customWidth="1"/>
    <col min="12814" max="12814" width="28.85546875" bestFit="1" customWidth="1"/>
    <col min="13058" max="13058" width="27" bestFit="1" customWidth="1"/>
    <col min="13059" max="13059" width="30.85546875" bestFit="1" customWidth="1"/>
    <col min="13060" max="13060" width="7.7109375" bestFit="1" customWidth="1"/>
    <col min="13061" max="13061" width="6.85546875" bestFit="1" customWidth="1"/>
    <col min="13062" max="13062" width="17.28515625" bestFit="1" customWidth="1"/>
    <col min="13063" max="13063" width="30.7109375" bestFit="1" customWidth="1"/>
    <col min="13064" max="13067" width="5.5703125" bestFit="1" customWidth="1"/>
    <col min="13068" max="13068" width="6.7109375" bestFit="1" customWidth="1"/>
    <col min="13069" max="13069" width="8.5703125" bestFit="1" customWidth="1"/>
    <col min="13070" max="13070" width="28.85546875" bestFit="1" customWidth="1"/>
    <col min="13314" max="13314" width="27" bestFit="1" customWidth="1"/>
    <col min="13315" max="13315" width="30.85546875" bestFit="1" customWidth="1"/>
    <col min="13316" max="13316" width="7.7109375" bestFit="1" customWidth="1"/>
    <col min="13317" max="13317" width="6.85546875" bestFit="1" customWidth="1"/>
    <col min="13318" max="13318" width="17.28515625" bestFit="1" customWidth="1"/>
    <col min="13319" max="13319" width="30.7109375" bestFit="1" customWidth="1"/>
    <col min="13320" max="13323" width="5.5703125" bestFit="1" customWidth="1"/>
    <col min="13324" max="13324" width="6.7109375" bestFit="1" customWidth="1"/>
    <col min="13325" max="13325" width="8.5703125" bestFit="1" customWidth="1"/>
    <col min="13326" max="13326" width="28.85546875" bestFit="1" customWidth="1"/>
    <col min="13570" max="13570" width="27" bestFit="1" customWidth="1"/>
    <col min="13571" max="13571" width="30.85546875" bestFit="1" customWidth="1"/>
    <col min="13572" max="13572" width="7.7109375" bestFit="1" customWidth="1"/>
    <col min="13573" max="13573" width="6.85546875" bestFit="1" customWidth="1"/>
    <col min="13574" max="13574" width="17.28515625" bestFit="1" customWidth="1"/>
    <col min="13575" max="13575" width="30.7109375" bestFit="1" customWidth="1"/>
    <col min="13576" max="13579" width="5.5703125" bestFit="1" customWidth="1"/>
    <col min="13580" max="13580" width="6.7109375" bestFit="1" customWidth="1"/>
    <col min="13581" max="13581" width="8.5703125" bestFit="1" customWidth="1"/>
    <col min="13582" max="13582" width="28.85546875" bestFit="1" customWidth="1"/>
    <col min="13826" max="13826" width="27" bestFit="1" customWidth="1"/>
    <col min="13827" max="13827" width="30.85546875" bestFit="1" customWidth="1"/>
    <col min="13828" max="13828" width="7.7109375" bestFit="1" customWidth="1"/>
    <col min="13829" max="13829" width="6.85546875" bestFit="1" customWidth="1"/>
    <col min="13830" max="13830" width="17.28515625" bestFit="1" customWidth="1"/>
    <col min="13831" max="13831" width="30.7109375" bestFit="1" customWidth="1"/>
    <col min="13832" max="13835" width="5.5703125" bestFit="1" customWidth="1"/>
    <col min="13836" max="13836" width="6.7109375" bestFit="1" customWidth="1"/>
    <col min="13837" max="13837" width="8.5703125" bestFit="1" customWidth="1"/>
    <col min="13838" max="13838" width="28.85546875" bestFit="1" customWidth="1"/>
    <col min="14082" max="14082" width="27" bestFit="1" customWidth="1"/>
    <col min="14083" max="14083" width="30.85546875" bestFit="1" customWidth="1"/>
    <col min="14084" max="14084" width="7.7109375" bestFit="1" customWidth="1"/>
    <col min="14085" max="14085" width="6.85546875" bestFit="1" customWidth="1"/>
    <col min="14086" max="14086" width="17.28515625" bestFit="1" customWidth="1"/>
    <col min="14087" max="14087" width="30.7109375" bestFit="1" customWidth="1"/>
    <col min="14088" max="14091" width="5.5703125" bestFit="1" customWidth="1"/>
    <col min="14092" max="14092" width="6.7109375" bestFit="1" customWidth="1"/>
    <col min="14093" max="14093" width="8.5703125" bestFit="1" customWidth="1"/>
    <col min="14094" max="14094" width="28.85546875" bestFit="1" customWidth="1"/>
    <col min="14338" max="14338" width="27" bestFit="1" customWidth="1"/>
    <col min="14339" max="14339" width="30.85546875" bestFit="1" customWidth="1"/>
    <col min="14340" max="14340" width="7.7109375" bestFit="1" customWidth="1"/>
    <col min="14341" max="14341" width="6.85546875" bestFit="1" customWidth="1"/>
    <col min="14342" max="14342" width="17.28515625" bestFit="1" customWidth="1"/>
    <col min="14343" max="14343" width="30.7109375" bestFit="1" customWidth="1"/>
    <col min="14344" max="14347" width="5.5703125" bestFit="1" customWidth="1"/>
    <col min="14348" max="14348" width="6.7109375" bestFit="1" customWidth="1"/>
    <col min="14349" max="14349" width="8.5703125" bestFit="1" customWidth="1"/>
    <col min="14350" max="14350" width="28.85546875" bestFit="1" customWidth="1"/>
    <col min="14594" max="14594" width="27" bestFit="1" customWidth="1"/>
    <col min="14595" max="14595" width="30.85546875" bestFit="1" customWidth="1"/>
    <col min="14596" max="14596" width="7.7109375" bestFit="1" customWidth="1"/>
    <col min="14597" max="14597" width="6.85546875" bestFit="1" customWidth="1"/>
    <col min="14598" max="14598" width="17.28515625" bestFit="1" customWidth="1"/>
    <col min="14599" max="14599" width="30.7109375" bestFit="1" customWidth="1"/>
    <col min="14600" max="14603" width="5.5703125" bestFit="1" customWidth="1"/>
    <col min="14604" max="14604" width="6.7109375" bestFit="1" customWidth="1"/>
    <col min="14605" max="14605" width="8.5703125" bestFit="1" customWidth="1"/>
    <col min="14606" max="14606" width="28.85546875" bestFit="1" customWidth="1"/>
    <col min="14850" max="14850" width="27" bestFit="1" customWidth="1"/>
    <col min="14851" max="14851" width="30.85546875" bestFit="1" customWidth="1"/>
    <col min="14852" max="14852" width="7.7109375" bestFit="1" customWidth="1"/>
    <col min="14853" max="14853" width="6.85546875" bestFit="1" customWidth="1"/>
    <col min="14854" max="14854" width="17.28515625" bestFit="1" customWidth="1"/>
    <col min="14855" max="14855" width="30.7109375" bestFit="1" customWidth="1"/>
    <col min="14856" max="14859" width="5.5703125" bestFit="1" customWidth="1"/>
    <col min="14860" max="14860" width="6.7109375" bestFit="1" customWidth="1"/>
    <col min="14861" max="14861" width="8.5703125" bestFit="1" customWidth="1"/>
    <col min="14862" max="14862" width="28.85546875" bestFit="1" customWidth="1"/>
    <col min="15106" max="15106" width="27" bestFit="1" customWidth="1"/>
    <col min="15107" max="15107" width="30.85546875" bestFit="1" customWidth="1"/>
    <col min="15108" max="15108" width="7.7109375" bestFit="1" customWidth="1"/>
    <col min="15109" max="15109" width="6.85546875" bestFit="1" customWidth="1"/>
    <col min="15110" max="15110" width="17.28515625" bestFit="1" customWidth="1"/>
    <col min="15111" max="15111" width="30.7109375" bestFit="1" customWidth="1"/>
    <col min="15112" max="15115" width="5.5703125" bestFit="1" customWidth="1"/>
    <col min="15116" max="15116" width="6.7109375" bestFit="1" customWidth="1"/>
    <col min="15117" max="15117" width="8.5703125" bestFit="1" customWidth="1"/>
    <col min="15118" max="15118" width="28.85546875" bestFit="1" customWidth="1"/>
    <col min="15362" max="15362" width="27" bestFit="1" customWidth="1"/>
    <col min="15363" max="15363" width="30.85546875" bestFit="1" customWidth="1"/>
    <col min="15364" max="15364" width="7.7109375" bestFit="1" customWidth="1"/>
    <col min="15365" max="15365" width="6.85546875" bestFit="1" customWidth="1"/>
    <col min="15366" max="15366" width="17.28515625" bestFit="1" customWidth="1"/>
    <col min="15367" max="15367" width="30.7109375" bestFit="1" customWidth="1"/>
    <col min="15368" max="15371" width="5.5703125" bestFit="1" customWidth="1"/>
    <col min="15372" max="15372" width="6.7109375" bestFit="1" customWidth="1"/>
    <col min="15373" max="15373" width="8.5703125" bestFit="1" customWidth="1"/>
    <col min="15374" max="15374" width="28.85546875" bestFit="1" customWidth="1"/>
    <col min="15618" max="15618" width="27" bestFit="1" customWidth="1"/>
    <col min="15619" max="15619" width="30.85546875" bestFit="1" customWidth="1"/>
    <col min="15620" max="15620" width="7.7109375" bestFit="1" customWidth="1"/>
    <col min="15621" max="15621" width="6.85546875" bestFit="1" customWidth="1"/>
    <col min="15622" max="15622" width="17.28515625" bestFit="1" customWidth="1"/>
    <col min="15623" max="15623" width="30.7109375" bestFit="1" customWidth="1"/>
    <col min="15624" max="15627" width="5.5703125" bestFit="1" customWidth="1"/>
    <col min="15628" max="15628" width="6.7109375" bestFit="1" customWidth="1"/>
    <col min="15629" max="15629" width="8.5703125" bestFit="1" customWidth="1"/>
    <col min="15630" max="15630" width="28.85546875" bestFit="1" customWidth="1"/>
    <col min="15874" max="15874" width="27" bestFit="1" customWidth="1"/>
    <col min="15875" max="15875" width="30.85546875" bestFit="1" customWidth="1"/>
    <col min="15876" max="15876" width="7.7109375" bestFit="1" customWidth="1"/>
    <col min="15877" max="15877" width="6.85546875" bestFit="1" customWidth="1"/>
    <col min="15878" max="15878" width="17.28515625" bestFit="1" customWidth="1"/>
    <col min="15879" max="15879" width="30.7109375" bestFit="1" customWidth="1"/>
    <col min="15880" max="15883" width="5.5703125" bestFit="1" customWidth="1"/>
    <col min="15884" max="15884" width="6.7109375" bestFit="1" customWidth="1"/>
    <col min="15885" max="15885" width="8.5703125" bestFit="1" customWidth="1"/>
    <col min="15886" max="15886" width="28.85546875" bestFit="1" customWidth="1"/>
    <col min="16130" max="16130" width="27" bestFit="1" customWidth="1"/>
    <col min="16131" max="16131" width="30.85546875" bestFit="1" customWidth="1"/>
    <col min="16132" max="16132" width="7.7109375" bestFit="1" customWidth="1"/>
    <col min="16133" max="16133" width="6.85546875" bestFit="1" customWidth="1"/>
    <col min="16134" max="16134" width="17.28515625" bestFit="1" customWidth="1"/>
    <col min="16135" max="16135" width="30.7109375" bestFit="1" customWidth="1"/>
    <col min="16136" max="16139" width="5.5703125" bestFit="1" customWidth="1"/>
    <col min="16140" max="16140" width="6.7109375" bestFit="1" customWidth="1"/>
    <col min="16141" max="16141" width="8.5703125" bestFit="1" customWidth="1"/>
    <col min="16142" max="16142" width="28.85546875" bestFit="1" customWidth="1"/>
  </cols>
  <sheetData>
    <row r="1" spans="1:18" s="1" customFormat="1" ht="30" customHeight="1" x14ac:dyDescent="0.2">
      <c r="A1" s="295" t="s">
        <v>4023</v>
      </c>
      <c r="B1" s="295"/>
      <c r="C1" s="295"/>
      <c r="D1" s="295"/>
      <c r="E1" s="295"/>
      <c r="F1" s="295"/>
      <c r="G1" s="295"/>
      <c r="H1" s="295"/>
      <c r="I1" s="295"/>
      <c r="J1" s="295"/>
      <c r="K1" s="295"/>
      <c r="L1" s="295"/>
      <c r="M1" s="295"/>
      <c r="N1" s="295"/>
      <c r="O1" s="241"/>
      <c r="P1" s="241"/>
      <c r="Q1" s="241"/>
      <c r="R1" s="241"/>
    </row>
    <row r="2" spans="1:18" s="1" customFormat="1" ht="30" customHeight="1" x14ac:dyDescent="0.2">
      <c r="A2" s="295" t="s">
        <v>4043</v>
      </c>
      <c r="B2" s="295"/>
      <c r="C2" s="295"/>
      <c r="D2" s="295"/>
      <c r="E2" s="295"/>
      <c r="F2" s="295"/>
      <c r="G2" s="295"/>
      <c r="H2" s="295"/>
      <c r="I2" s="295"/>
      <c r="J2" s="295"/>
      <c r="K2" s="295"/>
      <c r="L2" s="295"/>
      <c r="M2" s="295"/>
      <c r="N2" s="295"/>
      <c r="O2" s="241"/>
      <c r="P2" s="241"/>
      <c r="Q2" s="241"/>
      <c r="R2" s="241"/>
    </row>
    <row r="3" spans="1:18" s="1" customFormat="1" ht="30.75" customHeight="1" thickBot="1" x14ac:dyDescent="0.25">
      <c r="A3" s="295" t="s">
        <v>3381</v>
      </c>
      <c r="B3" s="295"/>
      <c r="C3" s="295"/>
      <c r="D3" s="295"/>
      <c r="E3" s="295"/>
      <c r="F3" s="295"/>
      <c r="G3" s="295"/>
      <c r="H3" s="295"/>
      <c r="I3" s="295"/>
      <c r="J3" s="295"/>
      <c r="K3" s="295"/>
      <c r="L3" s="295"/>
      <c r="M3" s="295"/>
      <c r="N3" s="295"/>
      <c r="O3" s="241"/>
      <c r="P3" s="241"/>
      <c r="Q3" s="241"/>
      <c r="R3" s="241"/>
    </row>
    <row r="4" spans="1:18" s="5" customFormat="1" ht="12.75" customHeight="1" x14ac:dyDescent="0.2">
      <c r="A4" s="297" t="s">
        <v>719</v>
      </c>
      <c r="B4" s="300" t="s">
        <v>0</v>
      </c>
      <c r="C4" s="302" t="s">
        <v>3382</v>
      </c>
      <c r="D4" s="302" t="s">
        <v>8</v>
      </c>
      <c r="E4" s="304" t="s">
        <v>2675</v>
      </c>
      <c r="F4" s="304" t="s">
        <v>1</v>
      </c>
      <c r="G4" s="305" t="s">
        <v>795</v>
      </c>
      <c r="H4" s="300" t="s">
        <v>3</v>
      </c>
      <c r="I4" s="304"/>
      <c r="J4" s="304"/>
      <c r="K4" s="307"/>
      <c r="L4" s="308" t="s">
        <v>3593</v>
      </c>
      <c r="M4" s="304" t="s">
        <v>6</v>
      </c>
      <c r="N4" s="307" t="s">
        <v>5</v>
      </c>
    </row>
    <row r="5" spans="1:18" s="5" customFormat="1" ht="23.25" customHeight="1" thickBot="1" x14ac:dyDescent="0.25">
      <c r="A5" s="298"/>
      <c r="B5" s="301"/>
      <c r="C5" s="303"/>
      <c r="D5" s="303"/>
      <c r="E5" s="303"/>
      <c r="F5" s="303"/>
      <c r="G5" s="306"/>
      <c r="H5" s="3">
        <v>1</v>
      </c>
      <c r="I5" s="2">
        <v>2</v>
      </c>
      <c r="J5" s="2">
        <v>3</v>
      </c>
      <c r="K5" s="4" t="s">
        <v>7</v>
      </c>
      <c r="L5" s="309"/>
      <c r="M5" s="303"/>
      <c r="N5" s="310"/>
    </row>
    <row r="6" spans="1:18" ht="15" x14ac:dyDescent="0.2">
      <c r="B6" s="299" t="s">
        <v>4014</v>
      </c>
      <c r="C6" s="299"/>
      <c r="D6" s="299"/>
      <c r="E6" s="299"/>
      <c r="F6" s="299"/>
      <c r="G6" s="299"/>
      <c r="H6" s="299"/>
      <c r="I6" s="299"/>
      <c r="J6" s="299"/>
      <c r="K6" s="299"/>
      <c r="L6" s="299"/>
      <c r="M6" s="299"/>
    </row>
    <row r="7" spans="1:18" x14ac:dyDescent="0.2">
      <c r="A7" s="43">
        <v>1</v>
      </c>
      <c r="B7" s="7" t="s">
        <v>1957</v>
      </c>
      <c r="C7" s="7" t="s">
        <v>1687</v>
      </c>
      <c r="D7" s="7" t="s">
        <v>2676</v>
      </c>
      <c r="E7" s="7" t="str">
        <f>"1,0701"</f>
        <v>1,0701</v>
      </c>
      <c r="F7" s="7" t="s">
        <v>4020</v>
      </c>
      <c r="G7" s="7" t="s">
        <v>799</v>
      </c>
      <c r="H7" s="34" t="s">
        <v>67</v>
      </c>
      <c r="I7" s="34" t="s">
        <v>68</v>
      </c>
      <c r="J7" s="34" t="s">
        <v>51</v>
      </c>
      <c r="K7" s="20"/>
      <c r="L7" s="28">
        <v>70</v>
      </c>
      <c r="M7" s="19" t="str">
        <f>"74,9070"</f>
        <v>74,9070</v>
      </c>
      <c r="N7" s="7" t="s">
        <v>2061</v>
      </c>
    </row>
    <row r="9" spans="1:18" ht="15" x14ac:dyDescent="0.2">
      <c r="B9" s="294" t="s">
        <v>4006</v>
      </c>
      <c r="C9" s="294"/>
      <c r="D9" s="294"/>
      <c r="E9" s="294"/>
      <c r="F9" s="294"/>
      <c r="G9" s="294"/>
      <c r="H9" s="294"/>
      <c r="I9" s="294"/>
      <c r="J9" s="294"/>
      <c r="K9" s="294"/>
      <c r="L9" s="294"/>
      <c r="M9" s="294"/>
    </row>
    <row r="10" spans="1:18" x14ac:dyDescent="0.2">
      <c r="A10" s="43">
        <v>1</v>
      </c>
      <c r="B10" s="7" t="s">
        <v>2677</v>
      </c>
      <c r="C10" s="7" t="s">
        <v>2678</v>
      </c>
      <c r="D10" s="7" t="s">
        <v>110</v>
      </c>
      <c r="E10" s="7" t="str">
        <f>"1,0177"</f>
        <v>1,0177</v>
      </c>
      <c r="F10" s="7" t="s">
        <v>868</v>
      </c>
      <c r="G10" s="7" t="s">
        <v>796</v>
      </c>
      <c r="H10" s="34" t="s">
        <v>86</v>
      </c>
      <c r="I10" s="34" t="s">
        <v>51</v>
      </c>
      <c r="J10" s="41" t="s">
        <v>55</v>
      </c>
      <c r="K10" s="20"/>
      <c r="L10" s="28">
        <v>70</v>
      </c>
      <c r="M10" s="19" t="str">
        <f>"71,2390"</f>
        <v>71,2390</v>
      </c>
      <c r="N10" s="7" t="s">
        <v>754</v>
      </c>
    </row>
    <row r="12" spans="1:18" ht="15" x14ac:dyDescent="0.2">
      <c r="B12" s="294" t="s">
        <v>4007</v>
      </c>
      <c r="C12" s="294"/>
      <c r="D12" s="294"/>
      <c r="E12" s="294"/>
      <c r="F12" s="294"/>
      <c r="G12" s="294"/>
      <c r="H12" s="294"/>
      <c r="I12" s="294"/>
      <c r="J12" s="294"/>
      <c r="K12" s="294"/>
      <c r="L12" s="294"/>
      <c r="M12" s="294"/>
    </row>
    <row r="13" spans="1:18" x14ac:dyDescent="0.2">
      <c r="A13" s="43">
        <v>1</v>
      </c>
      <c r="B13" s="7" t="s">
        <v>2679</v>
      </c>
      <c r="C13" s="7" t="s">
        <v>2680</v>
      </c>
      <c r="D13" s="7" t="s">
        <v>385</v>
      </c>
      <c r="E13" s="7" t="str">
        <f>"0,9007"</f>
        <v>0,9007</v>
      </c>
      <c r="F13" s="7" t="s">
        <v>868</v>
      </c>
      <c r="G13" s="7" t="s">
        <v>876</v>
      </c>
      <c r="H13" s="34" t="s">
        <v>76</v>
      </c>
      <c r="I13" s="41" t="s">
        <v>87</v>
      </c>
      <c r="J13" s="34" t="s">
        <v>87</v>
      </c>
      <c r="K13" s="20"/>
      <c r="L13" s="28">
        <v>112.5</v>
      </c>
      <c r="M13" s="19" t="str">
        <f>"101,3344"</f>
        <v>101,3344</v>
      </c>
      <c r="N13" s="7" t="s">
        <v>2662</v>
      </c>
    </row>
    <row r="15" spans="1:18" ht="15" x14ac:dyDescent="0.2">
      <c r="B15" s="294" t="s">
        <v>4019</v>
      </c>
      <c r="C15" s="294"/>
      <c r="D15" s="294"/>
      <c r="E15" s="294"/>
      <c r="F15" s="294"/>
      <c r="G15" s="294"/>
      <c r="H15" s="294"/>
      <c r="I15" s="294"/>
      <c r="J15" s="294"/>
      <c r="K15" s="294"/>
      <c r="L15" s="294"/>
      <c r="M15" s="294"/>
    </row>
    <row r="16" spans="1:18" x14ac:dyDescent="0.2">
      <c r="A16" s="43">
        <v>1</v>
      </c>
      <c r="B16" s="7" t="s">
        <v>2110</v>
      </c>
      <c r="C16" s="7" t="s">
        <v>2681</v>
      </c>
      <c r="D16" s="7" t="s">
        <v>2682</v>
      </c>
      <c r="E16" s="7" t="str">
        <f>"0,6766"</f>
        <v>0,6766</v>
      </c>
      <c r="F16" s="7" t="s">
        <v>857</v>
      </c>
      <c r="G16" s="7" t="s">
        <v>796</v>
      </c>
      <c r="H16" s="34" t="s">
        <v>66</v>
      </c>
      <c r="I16" s="34" t="s">
        <v>70</v>
      </c>
      <c r="J16" s="34" t="s">
        <v>112</v>
      </c>
      <c r="K16" s="20"/>
      <c r="L16" s="28">
        <v>125</v>
      </c>
      <c r="M16" s="19" t="str">
        <f>"84,5750"</f>
        <v>84,5750</v>
      </c>
      <c r="N16" s="7" t="s">
        <v>3391</v>
      </c>
    </row>
    <row r="18" spans="1:14" ht="15" x14ac:dyDescent="0.2">
      <c r="B18" s="294" t="s">
        <v>4008</v>
      </c>
      <c r="C18" s="294"/>
      <c r="D18" s="294"/>
      <c r="E18" s="294"/>
      <c r="F18" s="294"/>
      <c r="G18" s="294"/>
      <c r="H18" s="294"/>
      <c r="I18" s="294"/>
      <c r="J18" s="294"/>
      <c r="K18" s="294"/>
      <c r="L18" s="294"/>
      <c r="M18" s="294"/>
    </row>
    <row r="19" spans="1:14" x14ac:dyDescent="0.2">
      <c r="A19" s="43">
        <v>1</v>
      </c>
      <c r="B19" s="15" t="s">
        <v>2683</v>
      </c>
      <c r="C19" s="15" t="s">
        <v>2684</v>
      </c>
      <c r="D19" s="15" t="s">
        <v>403</v>
      </c>
      <c r="E19" s="15" t="str">
        <f>"0,6955"</f>
        <v>0,6955</v>
      </c>
      <c r="F19" s="15" t="s">
        <v>853</v>
      </c>
      <c r="G19" s="15" t="s">
        <v>796</v>
      </c>
      <c r="H19" s="35" t="s">
        <v>143</v>
      </c>
      <c r="I19" s="35" t="s">
        <v>24</v>
      </c>
      <c r="J19" s="35" t="s">
        <v>144</v>
      </c>
      <c r="K19" s="22"/>
      <c r="L19" s="29">
        <v>230</v>
      </c>
      <c r="M19" s="21" t="str">
        <f>"159,9535"</f>
        <v>159,9535</v>
      </c>
      <c r="N19" s="15" t="s">
        <v>3391</v>
      </c>
    </row>
    <row r="20" spans="1:14" x14ac:dyDescent="0.2">
      <c r="A20" s="43">
        <v>1</v>
      </c>
      <c r="B20" s="16" t="s">
        <v>2685</v>
      </c>
      <c r="C20" s="16" t="s">
        <v>2686</v>
      </c>
      <c r="D20" s="16" t="s">
        <v>2687</v>
      </c>
      <c r="E20" s="16" t="str">
        <f>"0,6998"</f>
        <v>0,6998</v>
      </c>
      <c r="F20" s="16" t="s">
        <v>2103</v>
      </c>
      <c r="G20" s="16" t="s">
        <v>3228</v>
      </c>
      <c r="H20" s="36" t="s">
        <v>156</v>
      </c>
      <c r="I20" s="36" t="s">
        <v>106</v>
      </c>
      <c r="J20" s="36" t="s">
        <v>166</v>
      </c>
      <c r="K20" s="40" t="s">
        <v>135</v>
      </c>
      <c r="L20" s="30">
        <v>195</v>
      </c>
      <c r="M20" s="23" t="str">
        <f>"147,6403"</f>
        <v>147,6403</v>
      </c>
      <c r="N20" s="16" t="s">
        <v>3391</v>
      </c>
    </row>
    <row r="21" spans="1:14" x14ac:dyDescent="0.2">
      <c r="A21" s="43">
        <v>2</v>
      </c>
      <c r="B21" s="17" t="s">
        <v>2028</v>
      </c>
      <c r="C21" s="17" t="s">
        <v>2688</v>
      </c>
      <c r="D21" s="17" t="s">
        <v>1755</v>
      </c>
      <c r="E21" s="17" t="str">
        <f>"0,6983"</f>
        <v>0,6983</v>
      </c>
      <c r="F21" s="17" t="s">
        <v>4020</v>
      </c>
      <c r="G21" s="17" t="s">
        <v>3258</v>
      </c>
      <c r="H21" s="37" t="s">
        <v>141</v>
      </c>
      <c r="I21" s="37" t="s">
        <v>156</v>
      </c>
      <c r="J21" s="37" t="s">
        <v>106</v>
      </c>
      <c r="K21" s="26"/>
      <c r="L21" s="31">
        <v>185</v>
      </c>
      <c r="M21" s="25" t="str">
        <f>"136,2907"</f>
        <v>136,2907</v>
      </c>
      <c r="N21" s="17" t="s">
        <v>1657</v>
      </c>
    </row>
    <row r="23" spans="1:14" ht="15" x14ac:dyDescent="0.2">
      <c r="B23" s="294" t="s">
        <v>4009</v>
      </c>
      <c r="C23" s="294"/>
      <c r="D23" s="294"/>
      <c r="E23" s="294"/>
      <c r="F23" s="294"/>
      <c r="G23" s="294"/>
      <c r="H23" s="294"/>
      <c r="I23" s="294"/>
      <c r="J23" s="294"/>
      <c r="K23" s="294"/>
      <c r="L23" s="294"/>
      <c r="M23" s="294"/>
    </row>
    <row r="24" spans="1:14" x14ac:dyDescent="0.2">
      <c r="A24" s="43">
        <v>1</v>
      </c>
      <c r="B24" s="15" t="s">
        <v>2689</v>
      </c>
      <c r="C24" s="15" t="s">
        <v>2690</v>
      </c>
      <c r="D24" s="15" t="s">
        <v>420</v>
      </c>
      <c r="E24" s="15" t="str">
        <f>"0,6482"</f>
        <v>0,6482</v>
      </c>
      <c r="F24" s="15" t="s">
        <v>4020</v>
      </c>
      <c r="G24" s="15" t="s">
        <v>796</v>
      </c>
      <c r="H24" s="35" t="s">
        <v>140</v>
      </c>
      <c r="I24" s="35" t="s">
        <v>143</v>
      </c>
      <c r="J24" s="38" t="s">
        <v>24</v>
      </c>
      <c r="K24" s="22"/>
      <c r="L24" s="29">
        <v>210</v>
      </c>
      <c r="M24" s="21" t="str">
        <f>"136,1220"</f>
        <v>136,1220</v>
      </c>
      <c r="N24" s="15" t="s">
        <v>2737</v>
      </c>
    </row>
    <row r="25" spans="1:14" x14ac:dyDescent="0.2">
      <c r="A25" s="43">
        <v>2</v>
      </c>
      <c r="B25" s="16" t="s">
        <v>1561</v>
      </c>
      <c r="C25" s="16" t="s">
        <v>1523</v>
      </c>
      <c r="D25" s="16" t="s">
        <v>1093</v>
      </c>
      <c r="E25" s="16" t="str">
        <f>"0,6641"</f>
        <v>0,6641</v>
      </c>
      <c r="F25" s="16" t="s">
        <v>4020</v>
      </c>
      <c r="G25" s="16" t="s">
        <v>848</v>
      </c>
      <c r="H25" s="36" t="s">
        <v>25</v>
      </c>
      <c r="I25" s="36" t="s">
        <v>141</v>
      </c>
      <c r="J25" s="36" t="s">
        <v>142</v>
      </c>
      <c r="K25" s="24"/>
      <c r="L25" s="30">
        <v>170</v>
      </c>
      <c r="M25" s="23" t="str">
        <f>"112,8970"</f>
        <v>112,8970</v>
      </c>
      <c r="N25" s="16" t="s">
        <v>1578</v>
      </c>
    </row>
    <row r="26" spans="1:14" x14ac:dyDescent="0.2">
      <c r="A26" s="43">
        <v>3</v>
      </c>
      <c r="B26" s="17" t="s">
        <v>2033</v>
      </c>
      <c r="C26" s="17" t="s">
        <v>1775</v>
      </c>
      <c r="D26" s="17" t="s">
        <v>420</v>
      </c>
      <c r="E26" s="17" t="str">
        <f>"0,6482"</f>
        <v>0,6482</v>
      </c>
      <c r="F26" s="17" t="s">
        <v>4020</v>
      </c>
      <c r="G26" s="17" t="s">
        <v>796</v>
      </c>
      <c r="H26" s="37" t="s">
        <v>141</v>
      </c>
      <c r="I26" s="39" t="s">
        <v>260</v>
      </c>
      <c r="J26" s="39" t="s">
        <v>260</v>
      </c>
      <c r="K26" s="26"/>
      <c r="L26" s="31">
        <v>165</v>
      </c>
      <c r="M26" s="25" t="str">
        <f>"106,9530"</f>
        <v>106,9530</v>
      </c>
      <c r="N26" s="17" t="s">
        <v>3391</v>
      </c>
    </row>
    <row r="28" spans="1:14" ht="15" x14ac:dyDescent="0.2">
      <c r="B28" s="294" t="s">
        <v>4010</v>
      </c>
      <c r="C28" s="294"/>
      <c r="D28" s="294"/>
      <c r="E28" s="294"/>
      <c r="F28" s="294"/>
      <c r="G28" s="294"/>
      <c r="H28" s="294"/>
      <c r="I28" s="294"/>
      <c r="J28" s="294"/>
      <c r="K28" s="294"/>
      <c r="L28" s="294"/>
      <c r="M28" s="294"/>
    </row>
    <row r="29" spans="1:14" x14ac:dyDescent="0.2">
      <c r="A29" s="43">
        <v>1</v>
      </c>
      <c r="B29" s="15" t="s">
        <v>1817</v>
      </c>
      <c r="C29" s="15" t="s">
        <v>1818</v>
      </c>
      <c r="D29" s="15" t="s">
        <v>1795</v>
      </c>
      <c r="E29" s="15" t="str">
        <f>"0,6133"</f>
        <v>0,6133</v>
      </c>
      <c r="F29" s="15" t="s">
        <v>2103</v>
      </c>
      <c r="G29" s="15" t="s">
        <v>3228</v>
      </c>
      <c r="H29" s="35" t="s">
        <v>187</v>
      </c>
      <c r="I29" s="38" t="s">
        <v>220</v>
      </c>
      <c r="J29" s="38" t="s">
        <v>220</v>
      </c>
      <c r="K29" s="22"/>
      <c r="L29" s="29">
        <v>215</v>
      </c>
      <c r="M29" s="21" t="str">
        <f>"131,8702"</f>
        <v>131,8702</v>
      </c>
      <c r="N29" s="15" t="s">
        <v>2088</v>
      </c>
    </row>
    <row r="30" spans="1:14" x14ac:dyDescent="0.2">
      <c r="A30" s="43">
        <v>1</v>
      </c>
      <c r="B30" s="16" t="s">
        <v>2691</v>
      </c>
      <c r="C30" s="16" t="s">
        <v>2692</v>
      </c>
      <c r="D30" s="16" t="s">
        <v>564</v>
      </c>
      <c r="E30" s="16" t="str">
        <f>"0,6130"</f>
        <v>0,6130</v>
      </c>
      <c r="F30" s="16" t="s">
        <v>4020</v>
      </c>
      <c r="G30" s="16" t="s">
        <v>3341</v>
      </c>
      <c r="H30" s="36" t="s">
        <v>135</v>
      </c>
      <c r="I30" s="40" t="s">
        <v>378</v>
      </c>
      <c r="J30" s="36" t="s">
        <v>187</v>
      </c>
      <c r="K30" s="24"/>
      <c r="L30" s="30">
        <v>215</v>
      </c>
      <c r="M30" s="23" t="str">
        <f>"134,4309"</f>
        <v>134,4309</v>
      </c>
      <c r="N30" s="16" t="s">
        <v>2738</v>
      </c>
    </row>
    <row r="31" spans="1:14" x14ac:dyDescent="0.2">
      <c r="A31" s="43">
        <v>2</v>
      </c>
      <c r="B31" s="17" t="s">
        <v>2693</v>
      </c>
      <c r="C31" s="17" t="s">
        <v>2694</v>
      </c>
      <c r="D31" s="17" t="s">
        <v>946</v>
      </c>
      <c r="E31" s="17" t="str">
        <f>"0,6149"</f>
        <v>0,6149</v>
      </c>
      <c r="F31" s="17" t="s">
        <v>4020</v>
      </c>
      <c r="G31" s="17" t="s">
        <v>840</v>
      </c>
      <c r="H31" s="37" t="s">
        <v>36</v>
      </c>
      <c r="I31" s="37" t="s">
        <v>127</v>
      </c>
      <c r="J31" s="39" t="s">
        <v>260</v>
      </c>
      <c r="K31" s="26"/>
      <c r="L31" s="31">
        <v>160</v>
      </c>
      <c r="M31" s="25" t="str">
        <f>"105,0741"</f>
        <v>105,0741</v>
      </c>
      <c r="N31" s="17" t="s">
        <v>3391</v>
      </c>
    </row>
    <row r="33" spans="1:14" ht="15" x14ac:dyDescent="0.2">
      <c r="B33" s="294" t="s">
        <v>4011</v>
      </c>
      <c r="C33" s="294"/>
      <c r="D33" s="294"/>
      <c r="E33" s="294"/>
      <c r="F33" s="294"/>
      <c r="G33" s="294"/>
      <c r="H33" s="294"/>
      <c r="I33" s="294"/>
      <c r="J33" s="294"/>
      <c r="K33" s="294"/>
      <c r="L33" s="294"/>
      <c r="M33" s="294"/>
    </row>
    <row r="34" spans="1:14" x14ac:dyDescent="0.2">
      <c r="A34" s="43">
        <v>1</v>
      </c>
      <c r="B34" s="15" t="s">
        <v>2695</v>
      </c>
      <c r="C34" s="15" t="s">
        <v>2696</v>
      </c>
      <c r="D34" s="15" t="s">
        <v>1497</v>
      </c>
      <c r="E34" s="15" t="str">
        <f>"0,5813"</f>
        <v>0,5813</v>
      </c>
      <c r="F34" s="15" t="s">
        <v>4020</v>
      </c>
      <c r="G34" s="15" t="s">
        <v>807</v>
      </c>
      <c r="H34" s="35" t="s">
        <v>156</v>
      </c>
      <c r="I34" s="35" t="s">
        <v>224</v>
      </c>
      <c r="J34" s="35" t="s">
        <v>140</v>
      </c>
      <c r="K34" s="38" t="s">
        <v>135</v>
      </c>
      <c r="L34" s="29">
        <v>200</v>
      </c>
      <c r="M34" s="21" t="str">
        <f>"116,2600"</f>
        <v>116,2600</v>
      </c>
      <c r="N34" s="15" t="s">
        <v>2739</v>
      </c>
    </row>
    <row r="35" spans="1:14" x14ac:dyDescent="0.2">
      <c r="A35" s="43">
        <v>1</v>
      </c>
      <c r="B35" s="16" t="s">
        <v>2697</v>
      </c>
      <c r="C35" s="16" t="s">
        <v>2698</v>
      </c>
      <c r="D35" s="16" t="s">
        <v>973</v>
      </c>
      <c r="E35" s="16" t="str">
        <f>"0,5870"</f>
        <v>0,5870</v>
      </c>
      <c r="F35" s="16" t="s">
        <v>2103</v>
      </c>
      <c r="G35" s="16" t="s">
        <v>3228</v>
      </c>
      <c r="H35" s="36" t="s">
        <v>208</v>
      </c>
      <c r="I35" s="36" t="s">
        <v>221</v>
      </c>
      <c r="J35" s="36" t="s">
        <v>273</v>
      </c>
      <c r="K35" s="24"/>
      <c r="L35" s="30">
        <v>257.5</v>
      </c>
      <c r="M35" s="23" t="str">
        <f>"151,1396"</f>
        <v>151,1396</v>
      </c>
      <c r="N35" s="16" t="s">
        <v>3391</v>
      </c>
    </row>
    <row r="36" spans="1:14" x14ac:dyDescent="0.2">
      <c r="A36" s="43">
        <v>2</v>
      </c>
      <c r="B36" s="16" t="s">
        <v>2699</v>
      </c>
      <c r="C36" s="16" t="s">
        <v>2700</v>
      </c>
      <c r="D36" s="16" t="s">
        <v>252</v>
      </c>
      <c r="E36" s="16" t="str">
        <f>"0,5871"</f>
        <v>0,5871</v>
      </c>
      <c r="F36" s="16" t="s">
        <v>4020</v>
      </c>
      <c r="G36" s="16" t="s">
        <v>3342</v>
      </c>
      <c r="H36" s="36" t="s">
        <v>253</v>
      </c>
      <c r="I36" s="40" t="s">
        <v>221</v>
      </c>
      <c r="J36" s="36" t="s">
        <v>221</v>
      </c>
      <c r="K36" s="24"/>
      <c r="L36" s="30">
        <v>252.5</v>
      </c>
      <c r="M36" s="23" t="str">
        <f>"148,2554"</f>
        <v>148,2554</v>
      </c>
      <c r="N36" s="16" t="s">
        <v>3391</v>
      </c>
    </row>
    <row r="37" spans="1:14" x14ac:dyDescent="0.2">
      <c r="A37" s="43">
        <v>3</v>
      </c>
      <c r="B37" s="16" t="s">
        <v>2701</v>
      </c>
      <c r="C37" s="16" t="s">
        <v>2702</v>
      </c>
      <c r="D37" s="16" t="s">
        <v>1272</v>
      </c>
      <c r="E37" s="16" t="str">
        <f>"0,5968"</f>
        <v>0,5968</v>
      </c>
      <c r="F37" s="16" t="s">
        <v>2103</v>
      </c>
      <c r="G37" s="16" t="s">
        <v>3201</v>
      </c>
      <c r="H37" s="36" t="s">
        <v>140</v>
      </c>
      <c r="I37" s="36" t="s">
        <v>143</v>
      </c>
      <c r="J37" s="36" t="s">
        <v>24</v>
      </c>
      <c r="K37" s="24"/>
      <c r="L37" s="30">
        <v>220</v>
      </c>
      <c r="M37" s="23" t="str">
        <f>"131,2850"</f>
        <v>131,2850</v>
      </c>
      <c r="N37" s="16" t="s">
        <v>3391</v>
      </c>
    </row>
    <row r="38" spans="1:14" x14ac:dyDescent="0.2">
      <c r="A38" s="43">
        <v>4</v>
      </c>
      <c r="B38" s="16" t="s">
        <v>2703</v>
      </c>
      <c r="C38" s="16" t="s">
        <v>2704</v>
      </c>
      <c r="D38" s="16" t="s">
        <v>249</v>
      </c>
      <c r="E38" s="16" t="str">
        <f>"0,5891"</f>
        <v>0,5891</v>
      </c>
      <c r="F38" s="16" t="s">
        <v>4020</v>
      </c>
      <c r="G38" s="16" t="s">
        <v>3188</v>
      </c>
      <c r="H38" s="40" t="s">
        <v>143</v>
      </c>
      <c r="I38" s="36" t="s">
        <v>143</v>
      </c>
      <c r="J38" s="36" t="s">
        <v>24</v>
      </c>
      <c r="K38" s="24"/>
      <c r="L38" s="30">
        <v>220</v>
      </c>
      <c r="M38" s="23" t="str">
        <f>"129,6020"</f>
        <v>129,6020</v>
      </c>
      <c r="N38" s="16" t="s">
        <v>3391</v>
      </c>
    </row>
    <row r="39" spans="1:14" x14ac:dyDescent="0.2">
      <c r="A39" s="43">
        <v>1</v>
      </c>
      <c r="B39" s="16" t="s">
        <v>2697</v>
      </c>
      <c r="C39" s="16" t="s">
        <v>2705</v>
      </c>
      <c r="D39" s="16" t="s">
        <v>973</v>
      </c>
      <c r="E39" s="16" t="str">
        <f>"0,5870"</f>
        <v>0,5870</v>
      </c>
      <c r="F39" s="16" t="s">
        <v>2103</v>
      </c>
      <c r="G39" s="16" t="s">
        <v>3228</v>
      </c>
      <c r="H39" s="36" t="s">
        <v>208</v>
      </c>
      <c r="I39" s="36" t="s">
        <v>221</v>
      </c>
      <c r="J39" s="36" t="s">
        <v>273</v>
      </c>
      <c r="K39" s="24"/>
      <c r="L39" s="30">
        <v>257.5</v>
      </c>
      <c r="M39" s="23" t="str">
        <f>"154,1624"</f>
        <v>154,1624</v>
      </c>
      <c r="N39" s="16" t="s">
        <v>3391</v>
      </c>
    </row>
    <row r="40" spans="1:14" x14ac:dyDescent="0.2">
      <c r="A40" s="43">
        <v>2</v>
      </c>
      <c r="B40" s="16" t="s">
        <v>2706</v>
      </c>
      <c r="C40" s="16" t="s">
        <v>2707</v>
      </c>
      <c r="D40" s="16" t="s">
        <v>1834</v>
      </c>
      <c r="E40" s="16" t="str">
        <f>"0,5952"</f>
        <v>0,5952</v>
      </c>
      <c r="F40" s="16" t="s">
        <v>4020</v>
      </c>
      <c r="G40" s="16" t="s">
        <v>3299</v>
      </c>
      <c r="H40" s="36" t="s">
        <v>156</v>
      </c>
      <c r="I40" s="36" t="s">
        <v>106</v>
      </c>
      <c r="J40" s="40" t="s">
        <v>381</v>
      </c>
      <c r="K40" s="24"/>
      <c r="L40" s="30">
        <v>185</v>
      </c>
      <c r="M40" s="23" t="str">
        <f>"112,3142"</f>
        <v>112,3142</v>
      </c>
      <c r="N40" s="16" t="s">
        <v>3391</v>
      </c>
    </row>
    <row r="41" spans="1:14" x14ac:dyDescent="0.2">
      <c r="A41" s="43">
        <v>1</v>
      </c>
      <c r="B41" s="17" t="s">
        <v>2708</v>
      </c>
      <c r="C41" s="17" t="s">
        <v>2709</v>
      </c>
      <c r="D41" s="17" t="s">
        <v>2216</v>
      </c>
      <c r="E41" s="17" t="str">
        <f>"0,5955"</f>
        <v>0,5955</v>
      </c>
      <c r="F41" s="17" t="s">
        <v>4020</v>
      </c>
      <c r="G41" s="17" t="s">
        <v>3343</v>
      </c>
      <c r="H41" s="37" t="s">
        <v>36</v>
      </c>
      <c r="I41" s="39" t="s">
        <v>25</v>
      </c>
      <c r="J41" s="37" t="s">
        <v>25</v>
      </c>
      <c r="K41" s="26"/>
      <c r="L41" s="31">
        <v>155</v>
      </c>
      <c r="M41" s="25" t="str">
        <f>"109,2862"</f>
        <v>109,2862</v>
      </c>
      <c r="N41" s="17" t="s">
        <v>3391</v>
      </c>
    </row>
    <row r="43" spans="1:14" ht="15" x14ac:dyDescent="0.2">
      <c r="B43" s="294" t="s">
        <v>4012</v>
      </c>
      <c r="C43" s="294"/>
      <c r="D43" s="294"/>
      <c r="E43" s="294"/>
      <c r="F43" s="294"/>
      <c r="G43" s="294"/>
      <c r="H43" s="294"/>
      <c r="I43" s="294"/>
      <c r="J43" s="294"/>
      <c r="K43" s="294"/>
      <c r="L43" s="294"/>
      <c r="M43" s="294"/>
    </row>
    <row r="44" spans="1:14" x14ac:dyDescent="0.2">
      <c r="A44" s="43">
        <v>1</v>
      </c>
      <c r="B44" s="15" t="s">
        <v>2710</v>
      </c>
      <c r="C44" s="15" t="s">
        <v>2711</v>
      </c>
      <c r="D44" s="15" t="s">
        <v>2315</v>
      </c>
      <c r="E44" s="15" t="str">
        <f>"0,5642"</f>
        <v>0,5642</v>
      </c>
      <c r="F44" s="15" t="s">
        <v>4020</v>
      </c>
      <c r="G44" s="15" t="s">
        <v>3344</v>
      </c>
      <c r="H44" s="38" t="s">
        <v>16</v>
      </c>
      <c r="I44" s="35" t="s">
        <v>16</v>
      </c>
      <c r="J44" s="38" t="s">
        <v>274</v>
      </c>
      <c r="K44" s="22"/>
      <c r="L44" s="29">
        <v>275</v>
      </c>
      <c r="M44" s="21" t="str">
        <f>"155,1687"</f>
        <v>155,1687</v>
      </c>
      <c r="N44" s="15" t="s">
        <v>1068</v>
      </c>
    </row>
    <row r="45" spans="1:14" x14ac:dyDescent="0.2">
      <c r="A45" s="43">
        <v>2</v>
      </c>
      <c r="B45" s="16" t="s">
        <v>2712</v>
      </c>
      <c r="C45" s="16" t="s">
        <v>354</v>
      </c>
      <c r="D45" s="16" t="s">
        <v>1546</v>
      </c>
      <c r="E45" s="16" t="str">
        <f>"0,5725"</f>
        <v>0,5725</v>
      </c>
      <c r="F45" s="16" t="s">
        <v>4020</v>
      </c>
      <c r="G45" s="16" t="s">
        <v>4029</v>
      </c>
      <c r="H45" s="36" t="s">
        <v>188</v>
      </c>
      <c r="I45" s="36" t="s">
        <v>253</v>
      </c>
      <c r="J45" s="36" t="s">
        <v>37</v>
      </c>
      <c r="K45" s="24"/>
      <c r="L45" s="30">
        <v>250</v>
      </c>
      <c r="M45" s="23" t="str">
        <f>"143,1375"</f>
        <v>143,1375</v>
      </c>
      <c r="N45" s="16" t="s">
        <v>1483</v>
      </c>
    </row>
    <row r="46" spans="1:14" x14ac:dyDescent="0.2">
      <c r="A46" s="43">
        <v>3</v>
      </c>
      <c r="B46" s="16" t="s">
        <v>2713</v>
      </c>
      <c r="C46" s="16" t="s">
        <v>2714</v>
      </c>
      <c r="D46" s="16" t="s">
        <v>2715</v>
      </c>
      <c r="E46" s="16" t="str">
        <f>"0,5724"</f>
        <v>0,5724</v>
      </c>
      <c r="F46" s="16" t="s">
        <v>860</v>
      </c>
      <c r="G46" s="16" t="s">
        <v>796</v>
      </c>
      <c r="H46" s="40" t="s">
        <v>143</v>
      </c>
      <c r="I46" s="36" t="s">
        <v>143</v>
      </c>
      <c r="J46" s="36" t="s">
        <v>24</v>
      </c>
      <c r="K46" s="24"/>
      <c r="L46" s="30">
        <v>220</v>
      </c>
      <c r="M46" s="23" t="str">
        <f>"125,9280"</f>
        <v>125,9280</v>
      </c>
      <c r="N46" s="16" t="s">
        <v>3391</v>
      </c>
    </row>
    <row r="47" spans="1:14" x14ac:dyDescent="0.2">
      <c r="A47" s="43">
        <v>4</v>
      </c>
      <c r="B47" s="16" t="s">
        <v>2716</v>
      </c>
      <c r="C47" s="16" t="s">
        <v>2717</v>
      </c>
      <c r="D47" s="16" t="s">
        <v>712</v>
      </c>
      <c r="E47" s="16" t="str">
        <f>"0,5769"</f>
        <v>0,5769</v>
      </c>
      <c r="F47" s="16" t="s">
        <v>4020</v>
      </c>
      <c r="G47" s="16" t="s">
        <v>796</v>
      </c>
      <c r="H47" s="36" t="s">
        <v>116</v>
      </c>
      <c r="I47" s="40" t="s">
        <v>574</v>
      </c>
      <c r="J47" s="36" t="s">
        <v>25</v>
      </c>
      <c r="K47" s="24"/>
      <c r="L47" s="30">
        <v>155</v>
      </c>
      <c r="M47" s="23" t="str">
        <f>"89,4195"</f>
        <v>89,4195</v>
      </c>
      <c r="N47" s="16" t="s">
        <v>3391</v>
      </c>
    </row>
    <row r="48" spans="1:14" x14ac:dyDescent="0.2">
      <c r="A48" s="43">
        <v>1</v>
      </c>
      <c r="B48" s="16" t="s">
        <v>2710</v>
      </c>
      <c r="C48" s="16" t="s">
        <v>2718</v>
      </c>
      <c r="D48" s="16" t="s">
        <v>2315</v>
      </c>
      <c r="E48" s="16" t="str">
        <f>"0,5642"</f>
        <v>0,5642</v>
      </c>
      <c r="F48" s="16" t="s">
        <v>4020</v>
      </c>
      <c r="G48" s="16" t="s">
        <v>3344</v>
      </c>
      <c r="H48" s="40" t="s">
        <v>16</v>
      </c>
      <c r="I48" s="36" t="s">
        <v>16</v>
      </c>
      <c r="J48" s="40" t="s">
        <v>274</v>
      </c>
      <c r="K48" s="24"/>
      <c r="L48" s="30">
        <v>275</v>
      </c>
      <c r="M48" s="23" t="str">
        <f>"155,1687"</f>
        <v>155,1687</v>
      </c>
      <c r="N48" s="16" t="s">
        <v>1068</v>
      </c>
    </row>
    <row r="49" spans="1:14" x14ac:dyDescent="0.2">
      <c r="A49" s="43">
        <v>2</v>
      </c>
      <c r="B49" s="16" t="s">
        <v>2719</v>
      </c>
      <c r="C49" s="16" t="s">
        <v>2720</v>
      </c>
      <c r="D49" s="16" t="s">
        <v>986</v>
      </c>
      <c r="E49" s="16" t="str">
        <f>"0,5632"</f>
        <v>0,5632</v>
      </c>
      <c r="F49" s="16" t="s">
        <v>4020</v>
      </c>
      <c r="G49" s="16" t="s">
        <v>796</v>
      </c>
      <c r="H49" s="36" t="s">
        <v>225</v>
      </c>
      <c r="I49" s="36" t="s">
        <v>378</v>
      </c>
      <c r="J49" s="36" t="s">
        <v>24</v>
      </c>
      <c r="K49" s="24"/>
      <c r="L49" s="30">
        <v>220</v>
      </c>
      <c r="M49" s="23" t="str">
        <f>"129,2319"</f>
        <v>129,2319</v>
      </c>
      <c r="N49" s="16" t="s">
        <v>2740</v>
      </c>
    </row>
    <row r="50" spans="1:14" x14ac:dyDescent="0.2">
      <c r="A50" s="43">
        <v>3</v>
      </c>
      <c r="B50" s="17" t="s">
        <v>2019</v>
      </c>
      <c r="C50" s="17" t="s">
        <v>2721</v>
      </c>
      <c r="D50" s="17" t="s">
        <v>1885</v>
      </c>
      <c r="E50" s="17" t="str">
        <f>"0,5645"</f>
        <v>0,5645</v>
      </c>
      <c r="F50" s="17" t="s">
        <v>4020</v>
      </c>
      <c r="G50" s="17" t="s">
        <v>3305</v>
      </c>
      <c r="H50" s="39" t="s">
        <v>166</v>
      </c>
      <c r="I50" s="39" t="s">
        <v>135</v>
      </c>
      <c r="J50" s="37" t="s">
        <v>135</v>
      </c>
      <c r="K50" s="26"/>
      <c r="L50" s="31">
        <v>205</v>
      </c>
      <c r="M50" s="25" t="str">
        <f>"125,2228"</f>
        <v>125,2228</v>
      </c>
      <c r="N50" s="17" t="s">
        <v>3391</v>
      </c>
    </row>
    <row r="52" spans="1:14" ht="15" x14ac:dyDescent="0.2">
      <c r="B52" s="294" t="s">
        <v>4013</v>
      </c>
      <c r="C52" s="294"/>
      <c r="D52" s="294"/>
      <c r="E52" s="294"/>
      <c r="F52" s="294"/>
      <c r="G52" s="294"/>
      <c r="H52" s="294"/>
      <c r="I52" s="294"/>
      <c r="J52" s="294"/>
      <c r="K52" s="294"/>
      <c r="L52" s="294"/>
      <c r="M52" s="294"/>
    </row>
    <row r="53" spans="1:14" x14ac:dyDescent="0.2">
      <c r="A53" s="43">
        <v>1</v>
      </c>
      <c r="B53" s="15" t="s">
        <v>1914</v>
      </c>
      <c r="C53" s="15" t="s">
        <v>1915</v>
      </c>
      <c r="D53" s="15" t="s">
        <v>1916</v>
      </c>
      <c r="E53" s="15" t="str">
        <f>"0,5607"</f>
        <v>0,5607</v>
      </c>
      <c r="F53" s="15" t="s">
        <v>4020</v>
      </c>
      <c r="G53" s="15" t="s">
        <v>838</v>
      </c>
      <c r="H53" s="35" t="s">
        <v>24</v>
      </c>
      <c r="I53" s="35" t="s">
        <v>253</v>
      </c>
      <c r="J53" s="35" t="s">
        <v>37</v>
      </c>
      <c r="K53" s="38" t="s">
        <v>221</v>
      </c>
      <c r="L53" s="29">
        <v>250</v>
      </c>
      <c r="M53" s="21" t="str">
        <f>"140,1750"</f>
        <v>140,1750</v>
      </c>
      <c r="N53" s="15" t="s">
        <v>3391</v>
      </c>
    </row>
    <row r="54" spans="1:14" x14ac:dyDescent="0.2">
      <c r="A54" s="43">
        <v>2</v>
      </c>
      <c r="B54" s="16" t="s">
        <v>2722</v>
      </c>
      <c r="C54" s="16" t="s">
        <v>2723</v>
      </c>
      <c r="D54" s="16" t="s">
        <v>2724</v>
      </c>
      <c r="E54" s="16" t="str">
        <f>"0,5511"</f>
        <v>0,5511</v>
      </c>
      <c r="F54" s="16" t="s">
        <v>4020</v>
      </c>
      <c r="G54" s="16" t="s">
        <v>796</v>
      </c>
      <c r="H54" s="40" t="s">
        <v>144</v>
      </c>
      <c r="I54" s="36" t="s">
        <v>144</v>
      </c>
      <c r="J54" s="40" t="s">
        <v>220</v>
      </c>
      <c r="K54" s="24"/>
      <c r="L54" s="30">
        <v>230</v>
      </c>
      <c r="M54" s="23" t="str">
        <f>"126,7415"</f>
        <v>126,7415</v>
      </c>
      <c r="N54" s="16" t="s">
        <v>2672</v>
      </c>
    </row>
    <row r="55" spans="1:14" x14ac:dyDescent="0.2">
      <c r="A55" s="43">
        <v>1</v>
      </c>
      <c r="B55" s="16" t="s">
        <v>1914</v>
      </c>
      <c r="C55" s="16" t="s">
        <v>2725</v>
      </c>
      <c r="D55" s="16" t="s">
        <v>1916</v>
      </c>
      <c r="E55" s="16" t="str">
        <f>"0,5607"</f>
        <v>0,5607</v>
      </c>
      <c r="F55" s="16" t="s">
        <v>4020</v>
      </c>
      <c r="G55" s="16" t="s">
        <v>838</v>
      </c>
      <c r="H55" s="36" t="s">
        <v>24</v>
      </c>
      <c r="I55" s="36" t="s">
        <v>253</v>
      </c>
      <c r="J55" s="36" t="s">
        <v>37</v>
      </c>
      <c r="K55" s="36" t="s">
        <v>221</v>
      </c>
      <c r="L55" s="30">
        <v>250</v>
      </c>
      <c r="M55" s="23" t="str">
        <f>"142,9785"</f>
        <v>142,9785</v>
      </c>
      <c r="N55" s="16" t="s">
        <v>3391</v>
      </c>
    </row>
    <row r="56" spans="1:14" x14ac:dyDescent="0.2">
      <c r="A56" s="43">
        <v>2</v>
      </c>
      <c r="B56" s="17" t="s">
        <v>2722</v>
      </c>
      <c r="C56" s="17" t="s">
        <v>2726</v>
      </c>
      <c r="D56" s="17" t="s">
        <v>2724</v>
      </c>
      <c r="E56" s="17" t="str">
        <f>"0,5511"</f>
        <v>0,5511</v>
      </c>
      <c r="F56" s="17" t="s">
        <v>4020</v>
      </c>
      <c r="G56" s="17" t="s">
        <v>796</v>
      </c>
      <c r="H56" s="39" t="s">
        <v>144</v>
      </c>
      <c r="I56" s="37" t="s">
        <v>144</v>
      </c>
      <c r="J56" s="39" t="s">
        <v>220</v>
      </c>
      <c r="K56" s="26"/>
      <c r="L56" s="31">
        <v>230</v>
      </c>
      <c r="M56" s="25" t="str">
        <f>"141,0633"</f>
        <v>141,0633</v>
      </c>
      <c r="N56" s="17" t="s">
        <v>2672</v>
      </c>
    </row>
    <row r="58" spans="1:14" ht="15" x14ac:dyDescent="0.2">
      <c r="B58" s="294" t="s">
        <v>4016</v>
      </c>
      <c r="C58" s="294"/>
      <c r="D58" s="294"/>
      <c r="E58" s="294"/>
      <c r="F58" s="294"/>
      <c r="G58" s="294"/>
      <c r="H58" s="294"/>
      <c r="I58" s="294"/>
      <c r="J58" s="294"/>
      <c r="K58" s="294"/>
      <c r="L58" s="294"/>
      <c r="M58" s="294"/>
    </row>
    <row r="59" spans="1:14" x14ac:dyDescent="0.2">
      <c r="A59" s="43">
        <v>1</v>
      </c>
      <c r="B59" s="15" t="s">
        <v>2727</v>
      </c>
      <c r="C59" s="15" t="s">
        <v>2728</v>
      </c>
      <c r="D59" s="15" t="s">
        <v>2729</v>
      </c>
      <c r="E59" s="15" t="str">
        <f>"0,5347"</f>
        <v>0,5347</v>
      </c>
      <c r="F59" s="15" t="s">
        <v>4020</v>
      </c>
      <c r="G59" s="15" t="s">
        <v>796</v>
      </c>
      <c r="H59" s="35" t="s">
        <v>253</v>
      </c>
      <c r="I59" s="35" t="s">
        <v>17</v>
      </c>
      <c r="J59" s="38" t="s">
        <v>16</v>
      </c>
      <c r="K59" s="22"/>
      <c r="L59" s="29">
        <v>260</v>
      </c>
      <c r="M59" s="21" t="str">
        <f>"139,0285"</f>
        <v>139,0285</v>
      </c>
      <c r="N59" s="15" t="s">
        <v>3391</v>
      </c>
    </row>
    <row r="60" spans="1:14" x14ac:dyDescent="0.2">
      <c r="A60" s="43">
        <v>1</v>
      </c>
      <c r="B60" s="17" t="s">
        <v>2727</v>
      </c>
      <c r="C60" s="17" t="s">
        <v>2730</v>
      </c>
      <c r="D60" s="17" t="s">
        <v>2729</v>
      </c>
      <c r="E60" s="17" t="str">
        <f>"0,5347"</f>
        <v>0,5347</v>
      </c>
      <c r="F60" s="17" t="s">
        <v>4020</v>
      </c>
      <c r="G60" s="17" t="s">
        <v>796</v>
      </c>
      <c r="H60" s="37" t="s">
        <v>253</v>
      </c>
      <c r="I60" s="37" t="s">
        <v>17</v>
      </c>
      <c r="J60" s="39" t="s">
        <v>16</v>
      </c>
      <c r="K60" s="26"/>
      <c r="L60" s="31">
        <v>260</v>
      </c>
      <c r="M60" s="25" t="str">
        <f>"139,0285"</f>
        <v>139,0285</v>
      </c>
      <c r="N60" s="17" t="s">
        <v>3391</v>
      </c>
    </row>
    <row r="63" spans="1:14" ht="18" x14ac:dyDescent="0.25">
      <c r="B63" s="8" t="s">
        <v>4022</v>
      </c>
      <c r="C63" s="8"/>
    </row>
    <row r="64" spans="1:14" ht="18.75" x14ac:dyDescent="0.3">
      <c r="B64" s="242" t="s">
        <v>3499</v>
      </c>
      <c r="C64" s="8"/>
    </row>
    <row r="65" spans="1:6" ht="14.25" x14ac:dyDescent="0.2">
      <c r="B65" s="11"/>
      <c r="C65" s="12" t="s">
        <v>18</v>
      </c>
    </row>
    <row r="66" spans="1:6" ht="15" x14ac:dyDescent="0.2">
      <c r="B66" s="13" t="s">
        <v>0</v>
      </c>
      <c r="C66" s="13" t="s">
        <v>19</v>
      </c>
      <c r="D66" s="13" t="s">
        <v>20</v>
      </c>
      <c r="E66" s="13" t="s">
        <v>3593</v>
      </c>
      <c r="F66" s="13" t="s">
        <v>2675</v>
      </c>
    </row>
    <row r="67" spans="1:6" x14ac:dyDescent="0.2">
      <c r="A67" s="43">
        <v>1</v>
      </c>
      <c r="B67" s="10" t="s">
        <v>2683</v>
      </c>
      <c r="C67" s="18" t="s">
        <v>18</v>
      </c>
      <c r="D67" s="27" t="s">
        <v>291</v>
      </c>
      <c r="E67" s="27" t="s">
        <v>144</v>
      </c>
      <c r="F67" s="27" t="s">
        <v>2731</v>
      </c>
    </row>
    <row r="68" spans="1:6" x14ac:dyDescent="0.2">
      <c r="A68" s="43">
        <v>2</v>
      </c>
      <c r="B68" s="10" t="s">
        <v>2710</v>
      </c>
      <c r="C68" s="18" t="s">
        <v>18</v>
      </c>
      <c r="D68" s="27" t="s">
        <v>306</v>
      </c>
      <c r="E68" s="27" t="s">
        <v>16</v>
      </c>
      <c r="F68" s="27" t="s">
        <v>2732</v>
      </c>
    </row>
    <row r="69" spans="1:6" x14ac:dyDescent="0.2">
      <c r="A69" s="43">
        <v>3</v>
      </c>
      <c r="B69" s="10" t="s">
        <v>2697</v>
      </c>
      <c r="C69" s="18" t="s">
        <v>18</v>
      </c>
      <c r="D69" s="27" t="s">
        <v>300</v>
      </c>
      <c r="E69" s="27" t="s">
        <v>273</v>
      </c>
      <c r="F69" s="27" t="s">
        <v>2733</v>
      </c>
    </row>
    <row r="71" spans="1:6" ht="14.25" x14ac:dyDescent="0.2">
      <c r="B71" s="11"/>
      <c r="C71" s="12" t="s">
        <v>310</v>
      </c>
    </row>
    <row r="72" spans="1:6" ht="15" x14ac:dyDescent="0.2">
      <c r="B72" s="13" t="s">
        <v>0</v>
      </c>
      <c r="C72" s="13" t="s">
        <v>19</v>
      </c>
      <c r="D72" s="13" t="s">
        <v>20</v>
      </c>
      <c r="E72" s="13" t="s">
        <v>3593</v>
      </c>
      <c r="F72" s="13" t="s">
        <v>2675</v>
      </c>
    </row>
    <row r="73" spans="1:6" x14ac:dyDescent="0.2">
      <c r="A73" s="43">
        <v>1</v>
      </c>
      <c r="B73" s="10" t="s">
        <v>2710</v>
      </c>
      <c r="C73" s="18" t="s">
        <v>2734</v>
      </c>
      <c r="D73" s="27" t="s">
        <v>306</v>
      </c>
      <c r="E73" s="27" t="s">
        <v>16</v>
      </c>
      <c r="F73" s="27" t="s">
        <v>2732</v>
      </c>
    </row>
    <row r="74" spans="1:6" x14ac:dyDescent="0.2">
      <c r="A74" s="43">
        <v>2</v>
      </c>
      <c r="B74" s="10" t="s">
        <v>2697</v>
      </c>
      <c r="C74" s="18" t="s">
        <v>2734</v>
      </c>
      <c r="D74" s="27" t="s">
        <v>300</v>
      </c>
      <c r="E74" s="27" t="s">
        <v>273</v>
      </c>
      <c r="F74" s="27" t="s">
        <v>2735</v>
      </c>
    </row>
    <row r="75" spans="1:6" x14ac:dyDescent="0.2">
      <c r="A75" s="43">
        <v>3</v>
      </c>
      <c r="B75" s="10" t="s">
        <v>2685</v>
      </c>
      <c r="C75" s="18" t="s">
        <v>2734</v>
      </c>
      <c r="D75" s="27" t="s">
        <v>291</v>
      </c>
      <c r="E75" s="27" t="s">
        <v>166</v>
      </c>
      <c r="F75" s="27" t="s">
        <v>2736</v>
      </c>
    </row>
    <row r="76" spans="1:6" x14ac:dyDescent="0.2">
      <c r="C76" s="18"/>
      <c r="D76" s="18"/>
      <c r="E76" s="18"/>
      <c r="F76" s="18"/>
    </row>
  </sheetData>
  <mergeCells count="25">
    <mergeCell ref="B33:M33"/>
    <mergeCell ref="B43:M43"/>
    <mergeCell ref="B52:M52"/>
    <mergeCell ref="B58:M58"/>
    <mergeCell ref="A1:N1"/>
    <mergeCell ref="A2:N2"/>
    <mergeCell ref="A3:N3"/>
    <mergeCell ref="A4:A5"/>
    <mergeCell ref="B23:M23"/>
    <mergeCell ref="N4:N5"/>
    <mergeCell ref="B6:M6"/>
    <mergeCell ref="B9:M9"/>
    <mergeCell ref="B12:M12"/>
    <mergeCell ref="B15:M15"/>
    <mergeCell ref="B18:M18"/>
    <mergeCell ref="B4:B5"/>
    <mergeCell ref="G4:G5"/>
    <mergeCell ref="H4:K4"/>
    <mergeCell ref="L4:L5"/>
    <mergeCell ref="M4:M5"/>
    <mergeCell ref="B28:M28"/>
    <mergeCell ref="C4:C5"/>
    <mergeCell ref="D4:D5"/>
    <mergeCell ref="E4:E5"/>
    <mergeCell ref="F4:F5"/>
  </mergeCells>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opLeftCell="A16" workbookViewId="0">
      <selection activeCell="F12" sqref="F12"/>
    </sheetView>
  </sheetViews>
  <sheetFormatPr defaultColWidth="8.7109375" defaultRowHeight="12.75" x14ac:dyDescent="0.2"/>
  <cols>
    <col min="1" max="1" width="6.85546875" style="42" bestFit="1" customWidth="1"/>
    <col min="2" max="2" width="20.140625" style="75" bestFit="1" customWidth="1"/>
    <col min="3" max="3" width="29.140625" style="65" bestFit="1" customWidth="1"/>
    <col min="4" max="4" width="8.5703125" style="65" bestFit="1" customWidth="1"/>
    <col min="5" max="5" width="7.5703125" style="65" bestFit="1" customWidth="1"/>
    <col min="6" max="6" width="19.140625" style="65" bestFit="1" customWidth="1"/>
    <col min="7" max="7" width="40.140625" style="65" bestFit="1" customWidth="1"/>
    <col min="8" max="10" width="6.42578125" style="86" bestFit="1" customWidth="1"/>
    <col min="11" max="11" width="4.85546875" style="86" bestFit="1" customWidth="1"/>
    <col min="12" max="12" width="6.42578125" style="96" bestFit="1" customWidth="1"/>
    <col min="13" max="13" width="9.85546875" style="86" bestFit="1" customWidth="1"/>
    <col min="14" max="14" width="14" style="65" bestFit="1" customWidth="1"/>
    <col min="15" max="257" width="8.7109375" style="1"/>
    <col min="258" max="258" width="30.28515625" style="1" bestFit="1" customWidth="1"/>
    <col min="259" max="259" width="26.85546875" style="1" bestFit="1" customWidth="1"/>
    <col min="260" max="260" width="7.7109375" style="1" bestFit="1" customWidth="1"/>
    <col min="261" max="261" width="6.85546875" style="1" bestFit="1" customWidth="1"/>
    <col min="262" max="262" width="17.28515625" style="1" bestFit="1" customWidth="1"/>
    <col min="263" max="263" width="31" style="1" bestFit="1" customWidth="1"/>
    <col min="264" max="266" width="5.5703125" style="1" bestFit="1" customWidth="1"/>
    <col min="267" max="267" width="4.85546875" style="1" bestFit="1" customWidth="1"/>
    <col min="268" max="268" width="6.7109375" style="1" bestFit="1" customWidth="1"/>
    <col min="269" max="269" width="8.5703125" style="1" bestFit="1" customWidth="1"/>
    <col min="270" max="270" width="21" style="1" bestFit="1" customWidth="1"/>
    <col min="271" max="513" width="8.7109375" style="1"/>
    <col min="514" max="514" width="30.28515625" style="1" bestFit="1" customWidth="1"/>
    <col min="515" max="515" width="26.85546875" style="1" bestFit="1" customWidth="1"/>
    <col min="516" max="516" width="7.7109375" style="1" bestFit="1" customWidth="1"/>
    <col min="517" max="517" width="6.85546875" style="1" bestFit="1" customWidth="1"/>
    <col min="518" max="518" width="17.28515625" style="1" bestFit="1" customWidth="1"/>
    <col min="519" max="519" width="31" style="1" bestFit="1" customWidth="1"/>
    <col min="520" max="522" width="5.5703125" style="1" bestFit="1" customWidth="1"/>
    <col min="523" max="523" width="4.85546875" style="1" bestFit="1" customWidth="1"/>
    <col min="524" max="524" width="6.7109375" style="1" bestFit="1" customWidth="1"/>
    <col min="525" max="525" width="8.5703125" style="1" bestFit="1" customWidth="1"/>
    <col min="526" max="526" width="21" style="1" bestFit="1" customWidth="1"/>
    <col min="527" max="769" width="8.7109375" style="1"/>
    <col min="770" max="770" width="30.28515625" style="1" bestFit="1" customWidth="1"/>
    <col min="771" max="771" width="26.85546875" style="1" bestFit="1" customWidth="1"/>
    <col min="772" max="772" width="7.7109375" style="1" bestFit="1" customWidth="1"/>
    <col min="773" max="773" width="6.85546875" style="1" bestFit="1" customWidth="1"/>
    <col min="774" max="774" width="17.28515625" style="1" bestFit="1" customWidth="1"/>
    <col min="775" max="775" width="31" style="1" bestFit="1" customWidth="1"/>
    <col min="776" max="778" width="5.5703125" style="1" bestFit="1" customWidth="1"/>
    <col min="779" max="779" width="4.85546875" style="1" bestFit="1" customWidth="1"/>
    <col min="780" max="780" width="6.7109375" style="1" bestFit="1" customWidth="1"/>
    <col min="781" max="781" width="8.5703125" style="1" bestFit="1" customWidth="1"/>
    <col min="782" max="782" width="21" style="1" bestFit="1" customWidth="1"/>
    <col min="783" max="1025" width="8.7109375" style="1"/>
    <col min="1026" max="1026" width="30.28515625" style="1" bestFit="1" customWidth="1"/>
    <col min="1027" max="1027" width="26.85546875" style="1" bestFit="1" customWidth="1"/>
    <col min="1028" max="1028" width="7.7109375" style="1" bestFit="1" customWidth="1"/>
    <col min="1029" max="1029" width="6.85546875" style="1" bestFit="1" customWidth="1"/>
    <col min="1030" max="1030" width="17.28515625" style="1" bestFit="1" customWidth="1"/>
    <col min="1031" max="1031" width="31" style="1" bestFit="1" customWidth="1"/>
    <col min="1032" max="1034" width="5.5703125" style="1" bestFit="1" customWidth="1"/>
    <col min="1035" max="1035" width="4.85546875" style="1" bestFit="1" customWidth="1"/>
    <col min="1036" max="1036" width="6.7109375" style="1" bestFit="1" customWidth="1"/>
    <col min="1037" max="1037" width="8.5703125" style="1" bestFit="1" customWidth="1"/>
    <col min="1038" max="1038" width="21" style="1" bestFit="1" customWidth="1"/>
    <col min="1039" max="1281" width="8.7109375" style="1"/>
    <col min="1282" max="1282" width="30.28515625" style="1" bestFit="1" customWidth="1"/>
    <col min="1283" max="1283" width="26.85546875" style="1" bestFit="1" customWidth="1"/>
    <col min="1284" max="1284" width="7.7109375" style="1" bestFit="1" customWidth="1"/>
    <col min="1285" max="1285" width="6.85546875" style="1" bestFit="1" customWidth="1"/>
    <col min="1286" max="1286" width="17.28515625" style="1" bestFit="1" customWidth="1"/>
    <col min="1287" max="1287" width="31" style="1" bestFit="1" customWidth="1"/>
    <col min="1288" max="1290" width="5.5703125" style="1" bestFit="1" customWidth="1"/>
    <col min="1291" max="1291" width="4.85546875" style="1" bestFit="1" customWidth="1"/>
    <col min="1292" max="1292" width="6.7109375" style="1" bestFit="1" customWidth="1"/>
    <col min="1293" max="1293" width="8.5703125" style="1" bestFit="1" customWidth="1"/>
    <col min="1294" max="1294" width="21" style="1" bestFit="1" customWidth="1"/>
    <col min="1295" max="1537" width="8.7109375" style="1"/>
    <col min="1538" max="1538" width="30.28515625" style="1" bestFit="1" customWidth="1"/>
    <col min="1539" max="1539" width="26.85546875" style="1" bestFit="1" customWidth="1"/>
    <col min="1540" max="1540" width="7.7109375" style="1" bestFit="1" customWidth="1"/>
    <col min="1541" max="1541" width="6.85546875" style="1" bestFit="1" customWidth="1"/>
    <col min="1542" max="1542" width="17.28515625" style="1" bestFit="1" customWidth="1"/>
    <col min="1543" max="1543" width="31" style="1" bestFit="1" customWidth="1"/>
    <col min="1544" max="1546" width="5.5703125" style="1" bestFit="1" customWidth="1"/>
    <col min="1547" max="1547" width="4.85546875" style="1" bestFit="1" customWidth="1"/>
    <col min="1548" max="1548" width="6.7109375" style="1" bestFit="1" customWidth="1"/>
    <col min="1549" max="1549" width="8.5703125" style="1" bestFit="1" customWidth="1"/>
    <col min="1550" max="1550" width="21" style="1" bestFit="1" customWidth="1"/>
    <col min="1551" max="1793" width="8.7109375" style="1"/>
    <col min="1794" max="1794" width="30.28515625" style="1" bestFit="1" customWidth="1"/>
    <col min="1795" max="1795" width="26.85546875" style="1" bestFit="1" customWidth="1"/>
    <col min="1796" max="1796" width="7.7109375" style="1" bestFit="1" customWidth="1"/>
    <col min="1797" max="1797" width="6.85546875" style="1" bestFit="1" customWidth="1"/>
    <col min="1798" max="1798" width="17.28515625" style="1" bestFit="1" customWidth="1"/>
    <col min="1799" max="1799" width="31" style="1" bestFit="1" customWidth="1"/>
    <col min="1800" max="1802" width="5.5703125" style="1" bestFit="1" customWidth="1"/>
    <col min="1803" max="1803" width="4.85546875" style="1" bestFit="1" customWidth="1"/>
    <col min="1804" max="1804" width="6.7109375" style="1" bestFit="1" customWidth="1"/>
    <col min="1805" max="1805" width="8.5703125" style="1" bestFit="1" customWidth="1"/>
    <col min="1806" max="1806" width="21" style="1" bestFit="1" customWidth="1"/>
    <col min="1807" max="2049" width="8.7109375" style="1"/>
    <col min="2050" max="2050" width="30.28515625" style="1" bestFit="1" customWidth="1"/>
    <col min="2051" max="2051" width="26.85546875" style="1" bestFit="1" customWidth="1"/>
    <col min="2052" max="2052" width="7.7109375" style="1" bestFit="1" customWidth="1"/>
    <col min="2053" max="2053" width="6.85546875" style="1" bestFit="1" customWidth="1"/>
    <col min="2054" max="2054" width="17.28515625" style="1" bestFit="1" customWidth="1"/>
    <col min="2055" max="2055" width="31" style="1" bestFit="1" customWidth="1"/>
    <col min="2056" max="2058" width="5.5703125" style="1" bestFit="1" customWidth="1"/>
    <col min="2059" max="2059" width="4.85546875" style="1" bestFit="1" customWidth="1"/>
    <col min="2060" max="2060" width="6.7109375" style="1" bestFit="1" customWidth="1"/>
    <col min="2061" max="2061" width="8.5703125" style="1" bestFit="1" customWidth="1"/>
    <col min="2062" max="2062" width="21" style="1" bestFit="1" customWidth="1"/>
    <col min="2063" max="2305" width="8.7109375" style="1"/>
    <col min="2306" max="2306" width="30.28515625" style="1" bestFit="1" customWidth="1"/>
    <col min="2307" max="2307" width="26.85546875" style="1" bestFit="1" customWidth="1"/>
    <col min="2308" max="2308" width="7.7109375" style="1" bestFit="1" customWidth="1"/>
    <col min="2309" max="2309" width="6.85546875" style="1" bestFit="1" customWidth="1"/>
    <col min="2310" max="2310" width="17.28515625" style="1" bestFit="1" customWidth="1"/>
    <col min="2311" max="2311" width="31" style="1" bestFit="1" customWidth="1"/>
    <col min="2312" max="2314" width="5.5703125" style="1" bestFit="1" customWidth="1"/>
    <col min="2315" max="2315" width="4.85546875" style="1" bestFit="1" customWidth="1"/>
    <col min="2316" max="2316" width="6.7109375" style="1" bestFit="1" customWidth="1"/>
    <col min="2317" max="2317" width="8.5703125" style="1" bestFit="1" customWidth="1"/>
    <col min="2318" max="2318" width="21" style="1" bestFit="1" customWidth="1"/>
    <col min="2319" max="2561" width="8.7109375" style="1"/>
    <col min="2562" max="2562" width="30.28515625" style="1" bestFit="1" customWidth="1"/>
    <col min="2563" max="2563" width="26.85546875" style="1" bestFit="1" customWidth="1"/>
    <col min="2564" max="2564" width="7.7109375" style="1" bestFit="1" customWidth="1"/>
    <col min="2565" max="2565" width="6.85546875" style="1" bestFit="1" customWidth="1"/>
    <col min="2566" max="2566" width="17.28515625" style="1" bestFit="1" customWidth="1"/>
    <col min="2567" max="2567" width="31" style="1" bestFit="1" customWidth="1"/>
    <col min="2568" max="2570" width="5.5703125" style="1" bestFit="1" customWidth="1"/>
    <col min="2571" max="2571" width="4.85546875" style="1" bestFit="1" customWidth="1"/>
    <col min="2572" max="2572" width="6.7109375" style="1" bestFit="1" customWidth="1"/>
    <col min="2573" max="2573" width="8.5703125" style="1" bestFit="1" customWidth="1"/>
    <col min="2574" max="2574" width="21" style="1" bestFit="1" customWidth="1"/>
    <col min="2575" max="2817" width="8.7109375" style="1"/>
    <col min="2818" max="2818" width="30.28515625" style="1" bestFit="1" customWidth="1"/>
    <col min="2819" max="2819" width="26.85546875" style="1" bestFit="1" customWidth="1"/>
    <col min="2820" max="2820" width="7.7109375" style="1" bestFit="1" customWidth="1"/>
    <col min="2821" max="2821" width="6.85546875" style="1" bestFit="1" customWidth="1"/>
    <col min="2822" max="2822" width="17.28515625" style="1" bestFit="1" customWidth="1"/>
    <col min="2823" max="2823" width="31" style="1" bestFit="1" customWidth="1"/>
    <col min="2824" max="2826" width="5.5703125" style="1" bestFit="1" customWidth="1"/>
    <col min="2827" max="2827" width="4.85546875" style="1" bestFit="1" customWidth="1"/>
    <col min="2828" max="2828" width="6.7109375" style="1" bestFit="1" customWidth="1"/>
    <col min="2829" max="2829" width="8.5703125" style="1" bestFit="1" customWidth="1"/>
    <col min="2830" max="2830" width="21" style="1" bestFit="1" customWidth="1"/>
    <col min="2831" max="3073" width="8.7109375" style="1"/>
    <col min="3074" max="3074" width="30.28515625" style="1" bestFit="1" customWidth="1"/>
    <col min="3075" max="3075" width="26.85546875" style="1" bestFit="1" customWidth="1"/>
    <col min="3076" max="3076" width="7.7109375" style="1" bestFit="1" customWidth="1"/>
    <col min="3077" max="3077" width="6.85546875" style="1" bestFit="1" customWidth="1"/>
    <col min="3078" max="3078" width="17.28515625" style="1" bestFit="1" customWidth="1"/>
    <col min="3079" max="3079" width="31" style="1" bestFit="1" customWidth="1"/>
    <col min="3080" max="3082" width="5.5703125" style="1" bestFit="1" customWidth="1"/>
    <col min="3083" max="3083" width="4.85546875" style="1" bestFit="1" customWidth="1"/>
    <col min="3084" max="3084" width="6.7109375" style="1" bestFit="1" customWidth="1"/>
    <col min="3085" max="3085" width="8.5703125" style="1" bestFit="1" customWidth="1"/>
    <col min="3086" max="3086" width="21" style="1" bestFit="1" customWidth="1"/>
    <col min="3087" max="3329" width="8.7109375" style="1"/>
    <col min="3330" max="3330" width="30.28515625" style="1" bestFit="1" customWidth="1"/>
    <col min="3331" max="3331" width="26.85546875" style="1" bestFit="1" customWidth="1"/>
    <col min="3332" max="3332" width="7.7109375" style="1" bestFit="1" customWidth="1"/>
    <col min="3333" max="3333" width="6.85546875" style="1" bestFit="1" customWidth="1"/>
    <col min="3334" max="3334" width="17.28515625" style="1" bestFit="1" customWidth="1"/>
    <col min="3335" max="3335" width="31" style="1" bestFit="1" customWidth="1"/>
    <col min="3336" max="3338" width="5.5703125" style="1" bestFit="1" customWidth="1"/>
    <col min="3339" max="3339" width="4.85546875" style="1" bestFit="1" customWidth="1"/>
    <col min="3340" max="3340" width="6.7109375" style="1" bestFit="1" customWidth="1"/>
    <col min="3341" max="3341" width="8.5703125" style="1" bestFit="1" customWidth="1"/>
    <col min="3342" max="3342" width="21" style="1" bestFit="1" customWidth="1"/>
    <col min="3343" max="3585" width="8.7109375" style="1"/>
    <col min="3586" max="3586" width="30.28515625" style="1" bestFit="1" customWidth="1"/>
    <col min="3587" max="3587" width="26.85546875" style="1" bestFit="1" customWidth="1"/>
    <col min="3588" max="3588" width="7.7109375" style="1" bestFit="1" customWidth="1"/>
    <col min="3589" max="3589" width="6.85546875" style="1" bestFit="1" customWidth="1"/>
    <col min="3590" max="3590" width="17.28515625" style="1" bestFit="1" customWidth="1"/>
    <col min="3591" max="3591" width="31" style="1" bestFit="1" customWidth="1"/>
    <col min="3592" max="3594" width="5.5703125" style="1" bestFit="1" customWidth="1"/>
    <col min="3595" max="3595" width="4.85546875" style="1" bestFit="1" customWidth="1"/>
    <col min="3596" max="3596" width="6.7109375" style="1" bestFit="1" customWidth="1"/>
    <col min="3597" max="3597" width="8.5703125" style="1" bestFit="1" customWidth="1"/>
    <col min="3598" max="3598" width="21" style="1" bestFit="1" customWidth="1"/>
    <col min="3599" max="3841" width="8.7109375" style="1"/>
    <col min="3842" max="3842" width="30.28515625" style="1" bestFit="1" customWidth="1"/>
    <col min="3843" max="3843" width="26.85546875" style="1" bestFit="1" customWidth="1"/>
    <col min="3844" max="3844" width="7.7109375" style="1" bestFit="1" customWidth="1"/>
    <col min="3845" max="3845" width="6.85546875" style="1" bestFit="1" customWidth="1"/>
    <col min="3846" max="3846" width="17.28515625" style="1" bestFit="1" customWidth="1"/>
    <col min="3847" max="3847" width="31" style="1" bestFit="1" customWidth="1"/>
    <col min="3848" max="3850" width="5.5703125" style="1" bestFit="1" customWidth="1"/>
    <col min="3851" max="3851" width="4.85546875" style="1" bestFit="1" customWidth="1"/>
    <col min="3852" max="3852" width="6.7109375" style="1" bestFit="1" customWidth="1"/>
    <col min="3853" max="3853" width="8.5703125" style="1" bestFit="1" customWidth="1"/>
    <col min="3854" max="3854" width="21" style="1" bestFit="1" customWidth="1"/>
    <col min="3855" max="4097" width="8.7109375" style="1"/>
    <col min="4098" max="4098" width="30.28515625" style="1" bestFit="1" customWidth="1"/>
    <col min="4099" max="4099" width="26.85546875" style="1" bestFit="1" customWidth="1"/>
    <col min="4100" max="4100" width="7.7109375" style="1" bestFit="1" customWidth="1"/>
    <col min="4101" max="4101" width="6.85546875" style="1" bestFit="1" customWidth="1"/>
    <col min="4102" max="4102" width="17.28515625" style="1" bestFit="1" customWidth="1"/>
    <col min="4103" max="4103" width="31" style="1" bestFit="1" customWidth="1"/>
    <col min="4104" max="4106" width="5.5703125" style="1" bestFit="1" customWidth="1"/>
    <col min="4107" max="4107" width="4.85546875" style="1" bestFit="1" customWidth="1"/>
    <col min="4108" max="4108" width="6.7109375" style="1" bestFit="1" customWidth="1"/>
    <col min="4109" max="4109" width="8.5703125" style="1" bestFit="1" customWidth="1"/>
    <col min="4110" max="4110" width="21" style="1" bestFit="1" customWidth="1"/>
    <col min="4111" max="4353" width="8.7109375" style="1"/>
    <col min="4354" max="4354" width="30.28515625" style="1" bestFit="1" customWidth="1"/>
    <col min="4355" max="4355" width="26.85546875" style="1" bestFit="1" customWidth="1"/>
    <col min="4356" max="4356" width="7.7109375" style="1" bestFit="1" customWidth="1"/>
    <col min="4357" max="4357" width="6.85546875" style="1" bestFit="1" customWidth="1"/>
    <col min="4358" max="4358" width="17.28515625" style="1" bestFit="1" customWidth="1"/>
    <col min="4359" max="4359" width="31" style="1" bestFit="1" customWidth="1"/>
    <col min="4360" max="4362" width="5.5703125" style="1" bestFit="1" customWidth="1"/>
    <col min="4363" max="4363" width="4.85546875" style="1" bestFit="1" customWidth="1"/>
    <col min="4364" max="4364" width="6.7109375" style="1" bestFit="1" customWidth="1"/>
    <col min="4365" max="4365" width="8.5703125" style="1" bestFit="1" customWidth="1"/>
    <col min="4366" max="4366" width="21" style="1" bestFit="1" customWidth="1"/>
    <col min="4367" max="4609" width="8.7109375" style="1"/>
    <col min="4610" max="4610" width="30.28515625" style="1" bestFit="1" customWidth="1"/>
    <col min="4611" max="4611" width="26.85546875" style="1" bestFit="1" customWidth="1"/>
    <col min="4612" max="4612" width="7.7109375" style="1" bestFit="1" customWidth="1"/>
    <col min="4613" max="4613" width="6.85546875" style="1" bestFit="1" customWidth="1"/>
    <col min="4614" max="4614" width="17.28515625" style="1" bestFit="1" customWidth="1"/>
    <col min="4615" max="4615" width="31" style="1" bestFit="1" customWidth="1"/>
    <col min="4616" max="4618" width="5.5703125" style="1" bestFit="1" customWidth="1"/>
    <col min="4619" max="4619" width="4.85546875" style="1" bestFit="1" customWidth="1"/>
    <col min="4620" max="4620" width="6.7109375" style="1" bestFit="1" customWidth="1"/>
    <col min="4621" max="4621" width="8.5703125" style="1" bestFit="1" customWidth="1"/>
    <col min="4622" max="4622" width="21" style="1" bestFit="1" customWidth="1"/>
    <col min="4623" max="4865" width="8.7109375" style="1"/>
    <col min="4866" max="4866" width="30.28515625" style="1" bestFit="1" customWidth="1"/>
    <col min="4867" max="4867" width="26.85546875" style="1" bestFit="1" customWidth="1"/>
    <col min="4868" max="4868" width="7.7109375" style="1" bestFit="1" customWidth="1"/>
    <col min="4869" max="4869" width="6.85546875" style="1" bestFit="1" customWidth="1"/>
    <col min="4870" max="4870" width="17.28515625" style="1" bestFit="1" customWidth="1"/>
    <col min="4871" max="4871" width="31" style="1" bestFit="1" customWidth="1"/>
    <col min="4872" max="4874" width="5.5703125" style="1" bestFit="1" customWidth="1"/>
    <col min="4875" max="4875" width="4.85546875" style="1" bestFit="1" customWidth="1"/>
    <col min="4876" max="4876" width="6.7109375" style="1" bestFit="1" customWidth="1"/>
    <col min="4877" max="4877" width="8.5703125" style="1" bestFit="1" customWidth="1"/>
    <col min="4878" max="4878" width="21" style="1" bestFit="1" customWidth="1"/>
    <col min="4879" max="5121" width="8.7109375" style="1"/>
    <col min="5122" max="5122" width="30.28515625" style="1" bestFit="1" customWidth="1"/>
    <col min="5123" max="5123" width="26.85546875" style="1" bestFit="1" customWidth="1"/>
    <col min="5124" max="5124" width="7.7109375" style="1" bestFit="1" customWidth="1"/>
    <col min="5125" max="5125" width="6.85546875" style="1" bestFit="1" customWidth="1"/>
    <col min="5126" max="5126" width="17.28515625" style="1" bestFit="1" customWidth="1"/>
    <col min="5127" max="5127" width="31" style="1" bestFit="1" customWidth="1"/>
    <col min="5128" max="5130" width="5.5703125" style="1" bestFit="1" customWidth="1"/>
    <col min="5131" max="5131" width="4.85546875" style="1" bestFit="1" customWidth="1"/>
    <col min="5132" max="5132" width="6.7109375" style="1" bestFit="1" customWidth="1"/>
    <col min="5133" max="5133" width="8.5703125" style="1" bestFit="1" customWidth="1"/>
    <col min="5134" max="5134" width="21" style="1" bestFit="1" customWidth="1"/>
    <col min="5135" max="5377" width="8.7109375" style="1"/>
    <col min="5378" max="5378" width="30.28515625" style="1" bestFit="1" customWidth="1"/>
    <col min="5379" max="5379" width="26.85546875" style="1" bestFit="1" customWidth="1"/>
    <col min="5380" max="5380" width="7.7109375" style="1" bestFit="1" customWidth="1"/>
    <col min="5381" max="5381" width="6.85546875" style="1" bestFit="1" customWidth="1"/>
    <col min="5382" max="5382" width="17.28515625" style="1" bestFit="1" customWidth="1"/>
    <col min="5383" max="5383" width="31" style="1" bestFit="1" customWidth="1"/>
    <col min="5384" max="5386" width="5.5703125" style="1" bestFit="1" customWidth="1"/>
    <col min="5387" max="5387" width="4.85546875" style="1" bestFit="1" customWidth="1"/>
    <col min="5388" max="5388" width="6.7109375" style="1" bestFit="1" customWidth="1"/>
    <col min="5389" max="5389" width="8.5703125" style="1" bestFit="1" customWidth="1"/>
    <col min="5390" max="5390" width="21" style="1" bestFit="1" customWidth="1"/>
    <col min="5391" max="5633" width="8.7109375" style="1"/>
    <col min="5634" max="5634" width="30.28515625" style="1" bestFit="1" customWidth="1"/>
    <col min="5635" max="5635" width="26.85546875" style="1" bestFit="1" customWidth="1"/>
    <col min="5636" max="5636" width="7.7109375" style="1" bestFit="1" customWidth="1"/>
    <col min="5637" max="5637" width="6.85546875" style="1" bestFit="1" customWidth="1"/>
    <col min="5638" max="5638" width="17.28515625" style="1" bestFit="1" customWidth="1"/>
    <col min="5639" max="5639" width="31" style="1" bestFit="1" customWidth="1"/>
    <col min="5640" max="5642" width="5.5703125" style="1" bestFit="1" customWidth="1"/>
    <col min="5643" max="5643" width="4.85546875" style="1" bestFit="1" customWidth="1"/>
    <col min="5644" max="5644" width="6.7109375" style="1" bestFit="1" customWidth="1"/>
    <col min="5645" max="5645" width="8.5703125" style="1" bestFit="1" customWidth="1"/>
    <col min="5646" max="5646" width="21" style="1" bestFit="1" customWidth="1"/>
    <col min="5647" max="5889" width="8.7109375" style="1"/>
    <col min="5890" max="5890" width="30.28515625" style="1" bestFit="1" customWidth="1"/>
    <col min="5891" max="5891" width="26.85546875" style="1" bestFit="1" customWidth="1"/>
    <col min="5892" max="5892" width="7.7109375" style="1" bestFit="1" customWidth="1"/>
    <col min="5893" max="5893" width="6.85546875" style="1" bestFit="1" customWidth="1"/>
    <col min="5894" max="5894" width="17.28515625" style="1" bestFit="1" customWidth="1"/>
    <col min="5895" max="5895" width="31" style="1" bestFit="1" customWidth="1"/>
    <col min="5896" max="5898" width="5.5703125" style="1" bestFit="1" customWidth="1"/>
    <col min="5899" max="5899" width="4.85546875" style="1" bestFit="1" customWidth="1"/>
    <col min="5900" max="5900" width="6.7109375" style="1" bestFit="1" customWidth="1"/>
    <col min="5901" max="5901" width="8.5703125" style="1" bestFit="1" customWidth="1"/>
    <col min="5902" max="5902" width="21" style="1" bestFit="1" customWidth="1"/>
    <col min="5903" max="6145" width="8.7109375" style="1"/>
    <col min="6146" max="6146" width="30.28515625" style="1" bestFit="1" customWidth="1"/>
    <col min="6147" max="6147" width="26.85546875" style="1" bestFit="1" customWidth="1"/>
    <col min="6148" max="6148" width="7.7109375" style="1" bestFit="1" customWidth="1"/>
    <col min="6149" max="6149" width="6.85546875" style="1" bestFit="1" customWidth="1"/>
    <col min="6150" max="6150" width="17.28515625" style="1" bestFit="1" customWidth="1"/>
    <col min="6151" max="6151" width="31" style="1" bestFit="1" customWidth="1"/>
    <col min="6152" max="6154" width="5.5703125" style="1" bestFit="1" customWidth="1"/>
    <col min="6155" max="6155" width="4.85546875" style="1" bestFit="1" customWidth="1"/>
    <col min="6156" max="6156" width="6.7109375" style="1" bestFit="1" customWidth="1"/>
    <col min="6157" max="6157" width="8.5703125" style="1" bestFit="1" customWidth="1"/>
    <col min="6158" max="6158" width="21" style="1" bestFit="1" customWidth="1"/>
    <col min="6159" max="6401" width="8.7109375" style="1"/>
    <col min="6402" max="6402" width="30.28515625" style="1" bestFit="1" customWidth="1"/>
    <col min="6403" max="6403" width="26.85546875" style="1" bestFit="1" customWidth="1"/>
    <col min="6404" max="6404" width="7.7109375" style="1" bestFit="1" customWidth="1"/>
    <col min="6405" max="6405" width="6.85546875" style="1" bestFit="1" customWidth="1"/>
    <col min="6406" max="6406" width="17.28515625" style="1" bestFit="1" customWidth="1"/>
    <col min="6407" max="6407" width="31" style="1" bestFit="1" customWidth="1"/>
    <col min="6408" max="6410" width="5.5703125" style="1" bestFit="1" customWidth="1"/>
    <col min="6411" max="6411" width="4.85546875" style="1" bestFit="1" customWidth="1"/>
    <col min="6412" max="6412" width="6.7109375" style="1" bestFit="1" customWidth="1"/>
    <col min="6413" max="6413" width="8.5703125" style="1" bestFit="1" customWidth="1"/>
    <col min="6414" max="6414" width="21" style="1" bestFit="1" customWidth="1"/>
    <col min="6415" max="6657" width="8.7109375" style="1"/>
    <col min="6658" max="6658" width="30.28515625" style="1" bestFit="1" customWidth="1"/>
    <col min="6659" max="6659" width="26.85546875" style="1" bestFit="1" customWidth="1"/>
    <col min="6660" max="6660" width="7.7109375" style="1" bestFit="1" customWidth="1"/>
    <col min="6661" max="6661" width="6.85546875" style="1" bestFit="1" customWidth="1"/>
    <col min="6662" max="6662" width="17.28515625" style="1" bestFit="1" customWidth="1"/>
    <col min="6663" max="6663" width="31" style="1" bestFit="1" customWidth="1"/>
    <col min="6664" max="6666" width="5.5703125" style="1" bestFit="1" customWidth="1"/>
    <col min="6667" max="6667" width="4.85546875" style="1" bestFit="1" customWidth="1"/>
    <col min="6668" max="6668" width="6.7109375" style="1" bestFit="1" customWidth="1"/>
    <col min="6669" max="6669" width="8.5703125" style="1" bestFit="1" customWidth="1"/>
    <col min="6670" max="6670" width="21" style="1" bestFit="1" customWidth="1"/>
    <col min="6671" max="6913" width="8.7109375" style="1"/>
    <col min="6914" max="6914" width="30.28515625" style="1" bestFit="1" customWidth="1"/>
    <col min="6915" max="6915" width="26.85546875" style="1" bestFit="1" customWidth="1"/>
    <col min="6916" max="6916" width="7.7109375" style="1" bestFit="1" customWidth="1"/>
    <col min="6917" max="6917" width="6.85546875" style="1" bestFit="1" customWidth="1"/>
    <col min="6918" max="6918" width="17.28515625" style="1" bestFit="1" customWidth="1"/>
    <col min="6919" max="6919" width="31" style="1" bestFit="1" customWidth="1"/>
    <col min="6920" max="6922" width="5.5703125" style="1" bestFit="1" customWidth="1"/>
    <col min="6923" max="6923" width="4.85546875" style="1" bestFit="1" customWidth="1"/>
    <col min="6924" max="6924" width="6.7109375" style="1" bestFit="1" customWidth="1"/>
    <col min="6925" max="6925" width="8.5703125" style="1" bestFit="1" customWidth="1"/>
    <col min="6926" max="6926" width="21" style="1" bestFit="1" customWidth="1"/>
    <col min="6927" max="7169" width="8.7109375" style="1"/>
    <col min="7170" max="7170" width="30.28515625" style="1" bestFit="1" customWidth="1"/>
    <col min="7171" max="7171" width="26.85546875" style="1" bestFit="1" customWidth="1"/>
    <col min="7172" max="7172" width="7.7109375" style="1" bestFit="1" customWidth="1"/>
    <col min="7173" max="7173" width="6.85546875" style="1" bestFit="1" customWidth="1"/>
    <col min="7174" max="7174" width="17.28515625" style="1" bestFit="1" customWidth="1"/>
    <col min="7175" max="7175" width="31" style="1" bestFit="1" customWidth="1"/>
    <col min="7176" max="7178" width="5.5703125" style="1" bestFit="1" customWidth="1"/>
    <col min="7179" max="7179" width="4.85546875" style="1" bestFit="1" customWidth="1"/>
    <col min="7180" max="7180" width="6.7109375" style="1" bestFit="1" customWidth="1"/>
    <col min="7181" max="7181" width="8.5703125" style="1" bestFit="1" customWidth="1"/>
    <col min="7182" max="7182" width="21" style="1" bestFit="1" customWidth="1"/>
    <col min="7183" max="7425" width="8.7109375" style="1"/>
    <col min="7426" max="7426" width="30.28515625" style="1" bestFit="1" customWidth="1"/>
    <col min="7427" max="7427" width="26.85546875" style="1" bestFit="1" customWidth="1"/>
    <col min="7428" max="7428" width="7.7109375" style="1" bestFit="1" customWidth="1"/>
    <col min="7429" max="7429" width="6.85546875" style="1" bestFit="1" customWidth="1"/>
    <col min="7430" max="7430" width="17.28515625" style="1" bestFit="1" customWidth="1"/>
    <col min="7431" max="7431" width="31" style="1" bestFit="1" customWidth="1"/>
    <col min="7432" max="7434" width="5.5703125" style="1" bestFit="1" customWidth="1"/>
    <col min="7435" max="7435" width="4.85546875" style="1" bestFit="1" customWidth="1"/>
    <col min="7436" max="7436" width="6.7109375" style="1" bestFit="1" customWidth="1"/>
    <col min="7437" max="7437" width="8.5703125" style="1" bestFit="1" customWidth="1"/>
    <col min="7438" max="7438" width="21" style="1" bestFit="1" customWidth="1"/>
    <col min="7439" max="7681" width="8.7109375" style="1"/>
    <col min="7682" max="7682" width="30.28515625" style="1" bestFit="1" customWidth="1"/>
    <col min="7683" max="7683" width="26.85546875" style="1" bestFit="1" customWidth="1"/>
    <col min="7684" max="7684" width="7.7109375" style="1" bestFit="1" customWidth="1"/>
    <col min="7685" max="7685" width="6.85546875" style="1" bestFit="1" customWidth="1"/>
    <col min="7686" max="7686" width="17.28515625" style="1" bestFit="1" customWidth="1"/>
    <col min="7687" max="7687" width="31" style="1" bestFit="1" customWidth="1"/>
    <col min="7688" max="7690" width="5.5703125" style="1" bestFit="1" customWidth="1"/>
    <col min="7691" max="7691" width="4.85546875" style="1" bestFit="1" customWidth="1"/>
    <col min="7692" max="7692" width="6.7109375" style="1" bestFit="1" customWidth="1"/>
    <col min="7693" max="7693" width="8.5703125" style="1" bestFit="1" customWidth="1"/>
    <col min="7694" max="7694" width="21" style="1" bestFit="1" customWidth="1"/>
    <col min="7695" max="7937" width="8.7109375" style="1"/>
    <col min="7938" max="7938" width="30.28515625" style="1" bestFit="1" customWidth="1"/>
    <col min="7939" max="7939" width="26.85546875" style="1" bestFit="1" customWidth="1"/>
    <col min="7940" max="7940" width="7.7109375" style="1" bestFit="1" customWidth="1"/>
    <col min="7941" max="7941" width="6.85546875" style="1" bestFit="1" customWidth="1"/>
    <col min="7942" max="7942" width="17.28515625" style="1" bestFit="1" customWidth="1"/>
    <col min="7943" max="7943" width="31" style="1" bestFit="1" customWidth="1"/>
    <col min="7944" max="7946" width="5.5703125" style="1" bestFit="1" customWidth="1"/>
    <col min="7947" max="7947" width="4.85546875" style="1" bestFit="1" customWidth="1"/>
    <col min="7948" max="7948" width="6.7109375" style="1" bestFit="1" customWidth="1"/>
    <col min="7949" max="7949" width="8.5703125" style="1" bestFit="1" customWidth="1"/>
    <col min="7950" max="7950" width="21" style="1" bestFit="1" customWidth="1"/>
    <col min="7951" max="8193" width="8.7109375" style="1"/>
    <col min="8194" max="8194" width="30.28515625" style="1" bestFit="1" customWidth="1"/>
    <col min="8195" max="8195" width="26.85546875" style="1" bestFit="1" customWidth="1"/>
    <col min="8196" max="8196" width="7.7109375" style="1" bestFit="1" customWidth="1"/>
    <col min="8197" max="8197" width="6.85546875" style="1" bestFit="1" customWidth="1"/>
    <col min="8198" max="8198" width="17.28515625" style="1" bestFit="1" customWidth="1"/>
    <col min="8199" max="8199" width="31" style="1" bestFit="1" customWidth="1"/>
    <col min="8200" max="8202" width="5.5703125" style="1" bestFit="1" customWidth="1"/>
    <col min="8203" max="8203" width="4.85546875" style="1" bestFit="1" customWidth="1"/>
    <col min="8204" max="8204" width="6.7109375" style="1" bestFit="1" customWidth="1"/>
    <col min="8205" max="8205" width="8.5703125" style="1" bestFit="1" customWidth="1"/>
    <col min="8206" max="8206" width="21" style="1" bestFit="1" customWidth="1"/>
    <col min="8207" max="8449" width="8.7109375" style="1"/>
    <col min="8450" max="8450" width="30.28515625" style="1" bestFit="1" customWidth="1"/>
    <col min="8451" max="8451" width="26.85546875" style="1" bestFit="1" customWidth="1"/>
    <col min="8452" max="8452" width="7.7109375" style="1" bestFit="1" customWidth="1"/>
    <col min="8453" max="8453" width="6.85546875" style="1" bestFit="1" customWidth="1"/>
    <col min="8454" max="8454" width="17.28515625" style="1" bestFit="1" customWidth="1"/>
    <col min="8455" max="8455" width="31" style="1" bestFit="1" customWidth="1"/>
    <col min="8456" max="8458" width="5.5703125" style="1" bestFit="1" customWidth="1"/>
    <col min="8459" max="8459" width="4.85546875" style="1" bestFit="1" customWidth="1"/>
    <col min="8460" max="8460" width="6.7109375" style="1" bestFit="1" customWidth="1"/>
    <col min="8461" max="8461" width="8.5703125" style="1" bestFit="1" customWidth="1"/>
    <col min="8462" max="8462" width="21" style="1" bestFit="1" customWidth="1"/>
    <col min="8463" max="8705" width="8.7109375" style="1"/>
    <col min="8706" max="8706" width="30.28515625" style="1" bestFit="1" customWidth="1"/>
    <col min="8707" max="8707" width="26.85546875" style="1" bestFit="1" customWidth="1"/>
    <col min="8708" max="8708" width="7.7109375" style="1" bestFit="1" customWidth="1"/>
    <col min="8709" max="8709" width="6.85546875" style="1" bestFit="1" customWidth="1"/>
    <col min="8710" max="8710" width="17.28515625" style="1" bestFit="1" customWidth="1"/>
    <col min="8711" max="8711" width="31" style="1" bestFit="1" customWidth="1"/>
    <col min="8712" max="8714" width="5.5703125" style="1" bestFit="1" customWidth="1"/>
    <col min="8715" max="8715" width="4.85546875" style="1" bestFit="1" customWidth="1"/>
    <col min="8716" max="8716" width="6.7109375" style="1" bestFit="1" customWidth="1"/>
    <col min="8717" max="8717" width="8.5703125" style="1" bestFit="1" customWidth="1"/>
    <col min="8718" max="8718" width="21" style="1" bestFit="1" customWidth="1"/>
    <col min="8719" max="8961" width="8.7109375" style="1"/>
    <col min="8962" max="8962" width="30.28515625" style="1" bestFit="1" customWidth="1"/>
    <col min="8963" max="8963" width="26.85546875" style="1" bestFit="1" customWidth="1"/>
    <col min="8964" max="8964" width="7.7109375" style="1" bestFit="1" customWidth="1"/>
    <col min="8965" max="8965" width="6.85546875" style="1" bestFit="1" customWidth="1"/>
    <col min="8966" max="8966" width="17.28515625" style="1" bestFit="1" customWidth="1"/>
    <col min="8967" max="8967" width="31" style="1" bestFit="1" customWidth="1"/>
    <col min="8968" max="8970" width="5.5703125" style="1" bestFit="1" customWidth="1"/>
    <col min="8971" max="8971" width="4.85546875" style="1" bestFit="1" customWidth="1"/>
    <col min="8972" max="8972" width="6.7109375" style="1" bestFit="1" customWidth="1"/>
    <col min="8973" max="8973" width="8.5703125" style="1" bestFit="1" customWidth="1"/>
    <col min="8974" max="8974" width="21" style="1" bestFit="1" customWidth="1"/>
    <col min="8975" max="9217" width="8.7109375" style="1"/>
    <col min="9218" max="9218" width="30.28515625" style="1" bestFit="1" customWidth="1"/>
    <col min="9219" max="9219" width="26.85546875" style="1" bestFit="1" customWidth="1"/>
    <col min="9220" max="9220" width="7.7109375" style="1" bestFit="1" customWidth="1"/>
    <col min="9221" max="9221" width="6.85546875" style="1" bestFit="1" customWidth="1"/>
    <col min="9222" max="9222" width="17.28515625" style="1" bestFit="1" customWidth="1"/>
    <col min="9223" max="9223" width="31" style="1" bestFit="1" customWidth="1"/>
    <col min="9224" max="9226" width="5.5703125" style="1" bestFit="1" customWidth="1"/>
    <col min="9227" max="9227" width="4.85546875" style="1" bestFit="1" customWidth="1"/>
    <col min="9228" max="9228" width="6.7109375" style="1" bestFit="1" customWidth="1"/>
    <col min="9229" max="9229" width="8.5703125" style="1" bestFit="1" customWidth="1"/>
    <col min="9230" max="9230" width="21" style="1" bestFit="1" customWidth="1"/>
    <col min="9231" max="9473" width="8.7109375" style="1"/>
    <col min="9474" max="9474" width="30.28515625" style="1" bestFit="1" customWidth="1"/>
    <col min="9475" max="9475" width="26.85546875" style="1" bestFit="1" customWidth="1"/>
    <col min="9476" max="9476" width="7.7109375" style="1" bestFit="1" customWidth="1"/>
    <col min="9477" max="9477" width="6.85546875" style="1" bestFit="1" customWidth="1"/>
    <col min="9478" max="9478" width="17.28515625" style="1" bestFit="1" customWidth="1"/>
    <col min="9479" max="9479" width="31" style="1" bestFit="1" customWidth="1"/>
    <col min="9480" max="9482" width="5.5703125" style="1" bestFit="1" customWidth="1"/>
    <col min="9483" max="9483" width="4.85546875" style="1" bestFit="1" customWidth="1"/>
    <col min="9484" max="9484" width="6.7109375" style="1" bestFit="1" customWidth="1"/>
    <col min="9485" max="9485" width="8.5703125" style="1" bestFit="1" customWidth="1"/>
    <col min="9486" max="9486" width="21" style="1" bestFit="1" customWidth="1"/>
    <col min="9487" max="9729" width="8.7109375" style="1"/>
    <col min="9730" max="9730" width="30.28515625" style="1" bestFit="1" customWidth="1"/>
    <col min="9731" max="9731" width="26.85546875" style="1" bestFit="1" customWidth="1"/>
    <col min="9732" max="9732" width="7.7109375" style="1" bestFit="1" customWidth="1"/>
    <col min="9733" max="9733" width="6.85546875" style="1" bestFit="1" customWidth="1"/>
    <col min="9734" max="9734" width="17.28515625" style="1" bestFit="1" customWidth="1"/>
    <col min="9735" max="9735" width="31" style="1" bestFit="1" customWidth="1"/>
    <col min="9736" max="9738" width="5.5703125" style="1" bestFit="1" customWidth="1"/>
    <col min="9739" max="9739" width="4.85546875" style="1" bestFit="1" customWidth="1"/>
    <col min="9740" max="9740" width="6.7109375" style="1" bestFit="1" customWidth="1"/>
    <col min="9741" max="9741" width="8.5703125" style="1" bestFit="1" customWidth="1"/>
    <col min="9742" max="9742" width="21" style="1" bestFit="1" customWidth="1"/>
    <col min="9743" max="9985" width="8.7109375" style="1"/>
    <col min="9986" max="9986" width="30.28515625" style="1" bestFit="1" customWidth="1"/>
    <col min="9987" max="9987" width="26.85546875" style="1" bestFit="1" customWidth="1"/>
    <col min="9988" max="9988" width="7.7109375" style="1" bestFit="1" customWidth="1"/>
    <col min="9989" max="9989" width="6.85546875" style="1" bestFit="1" customWidth="1"/>
    <col min="9990" max="9990" width="17.28515625" style="1" bestFit="1" customWidth="1"/>
    <col min="9991" max="9991" width="31" style="1" bestFit="1" customWidth="1"/>
    <col min="9992" max="9994" width="5.5703125" style="1" bestFit="1" customWidth="1"/>
    <col min="9995" max="9995" width="4.85546875" style="1" bestFit="1" customWidth="1"/>
    <col min="9996" max="9996" width="6.7109375" style="1" bestFit="1" customWidth="1"/>
    <col min="9997" max="9997" width="8.5703125" style="1" bestFit="1" customWidth="1"/>
    <col min="9998" max="9998" width="21" style="1" bestFit="1" customWidth="1"/>
    <col min="9999" max="10241" width="8.7109375" style="1"/>
    <col min="10242" max="10242" width="30.28515625" style="1" bestFit="1" customWidth="1"/>
    <col min="10243" max="10243" width="26.85546875" style="1" bestFit="1" customWidth="1"/>
    <col min="10244" max="10244" width="7.7109375" style="1" bestFit="1" customWidth="1"/>
    <col min="10245" max="10245" width="6.85546875" style="1" bestFit="1" customWidth="1"/>
    <col min="10246" max="10246" width="17.28515625" style="1" bestFit="1" customWidth="1"/>
    <col min="10247" max="10247" width="31" style="1" bestFit="1" customWidth="1"/>
    <col min="10248" max="10250" width="5.5703125" style="1" bestFit="1" customWidth="1"/>
    <col min="10251" max="10251" width="4.85546875" style="1" bestFit="1" customWidth="1"/>
    <col min="10252" max="10252" width="6.7109375" style="1" bestFit="1" customWidth="1"/>
    <col min="10253" max="10253" width="8.5703125" style="1" bestFit="1" customWidth="1"/>
    <col min="10254" max="10254" width="21" style="1" bestFit="1" customWidth="1"/>
    <col min="10255" max="10497" width="8.7109375" style="1"/>
    <col min="10498" max="10498" width="30.28515625" style="1" bestFit="1" customWidth="1"/>
    <col min="10499" max="10499" width="26.85546875" style="1" bestFit="1" customWidth="1"/>
    <col min="10500" max="10500" width="7.7109375" style="1" bestFit="1" customWidth="1"/>
    <col min="10501" max="10501" width="6.85546875" style="1" bestFit="1" customWidth="1"/>
    <col min="10502" max="10502" width="17.28515625" style="1" bestFit="1" customWidth="1"/>
    <col min="10503" max="10503" width="31" style="1" bestFit="1" customWidth="1"/>
    <col min="10504" max="10506" width="5.5703125" style="1" bestFit="1" customWidth="1"/>
    <col min="10507" max="10507" width="4.85546875" style="1" bestFit="1" customWidth="1"/>
    <col min="10508" max="10508" width="6.7109375" style="1" bestFit="1" customWidth="1"/>
    <col min="10509" max="10509" width="8.5703125" style="1" bestFit="1" customWidth="1"/>
    <col min="10510" max="10510" width="21" style="1" bestFit="1" customWidth="1"/>
    <col min="10511" max="10753" width="8.7109375" style="1"/>
    <col min="10754" max="10754" width="30.28515625" style="1" bestFit="1" customWidth="1"/>
    <col min="10755" max="10755" width="26.85546875" style="1" bestFit="1" customWidth="1"/>
    <col min="10756" max="10756" width="7.7109375" style="1" bestFit="1" customWidth="1"/>
    <col min="10757" max="10757" width="6.85546875" style="1" bestFit="1" customWidth="1"/>
    <col min="10758" max="10758" width="17.28515625" style="1" bestFit="1" customWidth="1"/>
    <col min="10759" max="10759" width="31" style="1" bestFit="1" customWidth="1"/>
    <col min="10760" max="10762" width="5.5703125" style="1" bestFit="1" customWidth="1"/>
    <col min="10763" max="10763" width="4.85546875" style="1" bestFit="1" customWidth="1"/>
    <col min="10764" max="10764" width="6.7109375" style="1" bestFit="1" customWidth="1"/>
    <col min="10765" max="10765" width="8.5703125" style="1" bestFit="1" customWidth="1"/>
    <col min="10766" max="10766" width="21" style="1" bestFit="1" customWidth="1"/>
    <col min="10767" max="11009" width="8.7109375" style="1"/>
    <col min="11010" max="11010" width="30.28515625" style="1" bestFit="1" customWidth="1"/>
    <col min="11011" max="11011" width="26.85546875" style="1" bestFit="1" customWidth="1"/>
    <col min="11012" max="11012" width="7.7109375" style="1" bestFit="1" customWidth="1"/>
    <col min="11013" max="11013" width="6.85546875" style="1" bestFit="1" customWidth="1"/>
    <col min="11014" max="11014" width="17.28515625" style="1" bestFit="1" customWidth="1"/>
    <col min="11015" max="11015" width="31" style="1" bestFit="1" customWidth="1"/>
    <col min="11016" max="11018" width="5.5703125" style="1" bestFit="1" customWidth="1"/>
    <col min="11019" max="11019" width="4.85546875" style="1" bestFit="1" customWidth="1"/>
    <col min="11020" max="11020" width="6.7109375" style="1" bestFit="1" customWidth="1"/>
    <col min="11021" max="11021" width="8.5703125" style="1" bestFit="1" customWidth="1"/>
    <col min="11022" max="11022" width="21" style="1" bestFit="1" customWidth="1"/>
    <col min="11023" max="11265" width="8.7109375" style="1"/>
    <col min="11266" max="11266" width="30.28515625" style="1" bestFit="1" customWidth="1"/>
    <col min="11267" max="11267" width="26.85546875" style="1" bestFit="1" customWidth="1"/>
    <col min="11268" max="11268" width="7.7109375" style="1" bestFit="1" customWidth="1"/>
    <col min="11269" max="11269" width="6.85546875" style="1" bestFit="1" customWidth="1"/>
    <col min="11270" max="11270" width="17.28515625" style="1" bestFit="1" customWidth="1"/>
    <col min="11271" max="11271" width="31" style="1" bestFit="1" customWidth="1"/>
    <col min="11272" max="11274" width="5.5703125" style="1" bestFit="1" customWidth="1"/>
    <col min="11275" max="11275" width="4.85546875" style="1" bestFit="1" customWidth="1"/>
    <col min="11276" max="11276" width="6.7109375" style="1" bestFit="1" customWidth="1"/>
    <col min="11277" max="11277" width="8.5703125" style="1" bestFit="1" customWidth="1"/>
    <col min="11278" max="11278" width="21" style="1" bestFit="1" customWidth="1"/>
    <col min="11279" max="11521" width="8.7109375" style="1"/>
    <col min="11522" max="11522" width="30.28515625" style="1" bestFit="1" customWidth="1"/>
    <col min="11523" max="11523" width="26.85546875" style="1" bestFit="1" customWidth="1"/>
    <col min="11524" max="11524" width="7.7109375" style="1" bestFit="1" customWidth="1"/>
    <col min="11525" max="11525" width="6.85546875" style="1" bestFit="1" customWidth="1"/>
    <col min="11526" max="11526" width="17.28515625" style="1" bestFit="1" customWidth="1"/>
    <col min="11527" max="11527" width="31" style="1" bestFit="1" customWidth="1"/>
    <col min="11528" max="11530" width="5.5703125" style="1" bestFit="1" customWidth="1"/>
    <col min="11531" max="11531" width="4.85546875" style="1" bestFit="1" customWidth="1"/>
    <col min="11532" max="11532" width="6.7109375" style="1" bestFit="1" customWidth="1"/>
    <col min="11533" max="11533" width="8.5703125" style="1" bestFit="1" customWidth="1"/>
    <col min="11534" max="11534" width="21" style="1" bestFit="1" customWidth="1"/>
    <col min="11535" max="11777" width="8.7109375" style="1"/>
    <col min="11778" max="11778" width="30.28515625" style="1" bestFit="1" customWidth="1"/>
    <col min="11779" max="11779" width="26.85546875" style="1" bestFit="1" customWidth="1"/>
    <col min="11780" max="11780" width="7.7109375" style="1" bestFit="1" customWidth="1"/>
    <col min="11781" max="11781" width="6.85546875" style="1" bestFit="1" customWidth="1"/>
    <col min="11782" max="11782" width="17.28515625" style="1" bestFit="1" customWidth="1"/>
    <col min="11783" max="11783" width="31" style="1" bestFit="1" customWidth="1"/>
    <col min="11784" max="11786" width="5.5703125" style="1" bestFit="1" customWidth="1"/>
    <col min="11787" max="11787" width="4.85546875" style="1" bestFit="1" customWidth="1"/>
    <col min="11788" max="11788" width="6.7109375" style="1" bestFit="1" customWidth="1"/>
    <col min="11789" max="11789" width="8.5703125" style="1" bestFit="1" customWidth="1"/>
    <col min="11790" max="11790" width="21" style="1" bestFit="1" customWidth="1"/>
    <col min="11791" max="12033" width="8.7109375" style="1"/>
    <col min="12034" max="12034" width="30.28515625" style="1" bestFit="1" customWidth="1"/>
    <col min="12035" max="12035" width="26.85546875" style="1" bestFit="1" customWidth="1"/>
    <col min="12036" max="12036" width="7.7109375" style="1" bestFit="1" customWidth="1"/>
    <col min="12037" max="12037" width="6.85546875" style="1" bestFit="1" customWidth="1"/>
    <col min="12038" max="12038" width="17.28515625" style="1" bestFit="1" customWidth="1"/>
    <col min="12039" max="12039" width="31" style="1" bestFit="1" customWidth="1"/>
    <col min="12040" max="12042" width="5.5703125" style="1" bestFit="1" customWidth="1"/>
    <col min="12043" max="12043" width="4.85546875" style="1" bestFit="1" customWidth="1"/>
    <col min="12044" max="12044" width="6.7109375" style="1" bestFit="1" customWidth="1"/>
    <col min="12045" max="12045" width="8.5703125" style="1" bestFit="1" customWidth="1"/>
    <col min="12046" max="12046" width="21" style="1" bestFit="1" customWidth="1"/>
    <col min="12047" max="12289" width="8.7109375" style="1"/>
    <col min="12290" max="12290" width="30.28515625" style="1" bestFit="1" customWidth="1"/>
    <col min="12291" max="12291" width="26.85546875" style="1" bestFit="1" customWidth="1"/>
    <col min="12292" max="12292" width="7.7109375" style="1" bestFit="1" customWidth="1"/>
    <col min="12293" max="12293" width="6.85546875" style="1" bestFit="1" customWidth="1"/>
    <col min="12294" max="12294" width="17.28515625" style="1" bestFit="1" customWidth="1"/>
    <col min="12295" max="12295" width="31" style="1" bestFit="1" customWidth="1"/>
    <col min="12296" max="12298" width="5.5703125" style="1" bestFit="1" customWidth="1"/>
    <col min="12299" max="12299" width="4.85546875" style="1" bestFit="1" customWidth="1"/>
    <col min="12300" max="12300" width="6.7109375" style="1" bestFit="1" customWidth="1"/>
    <col min="12301" max="12301" width="8.5703125" style="1" bestFit="1" customWidth="1"/>
    <col min="12302" max="12302" width="21" style="1" bestFit="1" customWidth="1"/>
    <col min="12303" max="12545" width="8.7109375" style="1"/>
    <col min="12546" max="12546" width="30.28515625" style="1" bestFit="1" customWidth="1"/>
    <col min="12547" max="12547" width="26.85546875" style="1" bestFit="1" customWidth="1"/>
    <col min="12548" max="12548" width="7.7109375" style="1" bestFit="1" customWidth="1"/>
    <col min="12549" max="12549" width="6.85546875" style="1" bestFit="1" customWidth="1"/>
    <col min="12550" max="12550" width="17.28515625" style="1" bestFit="1" customWidth="1"/>
    <col min="12551" max="12551" width="31" style="1" bestFit="1" customWidth="1"/>
    <col min="12552" max="12554" width="5.5703125" style="1" bestFit="1" customWidth="1"/>
    <col min="12555" max="12555" width="4.85546875" style="1" bestFit="1" customWidth="1"/>
    <col min="12556" max="12556" width="6.7109375" style="1" bestFit="1" customWidth="1"/>
    <col min="12557" max="12557" width="8.5703125" style="1" bestFit="1" customWidth="1"/>
    <col min="12558" max="12558" width="21" style="1" bestFit="1" customWidth="1"/>
    <col min="12559" max="12801" width="8.7109375" style="1"/>
    <col min="12802" max="12802" width="30.28515625" style="1" bestFit="1" customWidth="1"/>
    <col min="12803" max="12803" width="26.85546875" style="1" bestFit="1" customWidth="1"/>
    <col min="12804" max="12804" width="7.7109375" style="1" bestFit="1" customWidth="1"/>
    <col min="12805" max="12805" width="6.85546875" style="1" bestFit="1" customWidth="1"/>
    <col min="12806" max="12806" width="17.28515625" style="1" bestFit="1" customWidth="1"/>
    <col min="12807" max="12807" width="31" style="1" bestFit="1" customWidth="1"/>
    <col min="12808" max="12810" width="5.5703125" style="1" bestFit="1" customWidth="1"/>
    <col min="12811" max="12811" width="4.85546875" style="1" bestFit="1" customWidth="1"/>
    <col min="12812" max="12812" width="6.7109375" style="1" bestFit="1" customWidth="1"/>
    <col min="12813" max="12813" width="8.5703125" style="1" bestFit="1" customWidth="1"/>
    <col min="12814" max="12814" width="21" style="1" bestFit="1" customWidth="1"/>
    <col min="12815" max="13057" width="8.7109375" style="1"/>
    <col min="13058" max="13058" width="30.28515625" style="1" bestFit="1" customWidth="1"/>
    <col min="13059" max="13059" width="26.85546875" style="1" bestFit="1" customWidth="1"/>
    <col min="13060" max="13060" width="7.7109375" style="1" bestFit="1" customWidth="1"/>
    <col min="13061" max="13061" width="6.85546875" style="1" bestFit="1" customWidth="1"/>
    <col min="13062" max="13062" width="17.28515625" style="1" bestFit="1" customWidth="1"/>
    <col min="13063" max="13063" width="31" style="1" bestFit="1" customWidth="1"/>
    <col min="13064" max="13066" width="5.5703125" style="1" bestFit="1" customWidth="1"/>
    <col min="13067" max="13067" width="4.85546875" style="1" bestFit="1" customWidth="1"/>
    <col min="13068" max="13068" width="6.7109375" style="1" bestFit="1" customWidth="1"/>
    <col min="13069" max="13069" width="8.5703125" style="1" bestFit="1" customWidth="1"/>
    <col min="13070" max="13070" width="21" style="1" bestFit="1" customWidth="1"/>
    <col min="13071" max="13313" width="8.7109375" style="1"/>
    <col min="13314" max="13314" width="30.28515625" style="1" bestFit="1" customWidth="1"/>
    <col min="13315" max="13315" width="26.85546875" style="1" bestFit="1" customWidth="1"/>
    <col min="13316" max="13316" width="7.7109375" style="1" bestFit="1" customWidth="1"/>
    <col min="13317" max="13317" width="6.85546875" style="1" bestFit="1" customWidth="1"/>
    <col min="13318" max="13318" width="17.28515625" style="1" bestFit="1" customWidth="1"/>
    <col min="13319" max="13319" width="31" style="1" bestFit="1" customWidth="1"/>
    <col min="13320" max="13322" width="5.5703125" style="1" bestFit="1" customWidth="1"/>
    <col min="13323" max="13323" width="4.85546875" style="1" bestFit="1" customWidth="1"/>
    <col min="13324" max="13324" width="6.7109375" style="1" bestFit="1" customWidth="1"/>
    <col min="13325" max="13325" width="8.5703125" style="1" bestFit="1" customWidth="1"/>
    <col min="13326" max="13326" width="21" style="1" bestFit="1" customWidth="1"/>
    <col min="13327" max="13569" width="8.7109375" style="1"/>
    <col min="13570" max="13570" width="30.28515625" style="1" bestFit="1" customWidth="1"/>
    <col min="13571" max="13571" width="26.85546875" style="1" bestFit="1" customWidth="1"/>
    <col min="13572" max="13572" width="7.7109375" style="1" bestFit="1" customWidth="1"/>
    <col min="13573" max="13573" width="6.85546875" style="1" bestFit="1" customWidth="1"/>
    <col min="13574" max="13574" width="17.28515625" style="1" bestFit="1" customWidth="1"/>
    <col min="13575" max="13575" width="31" style="1" bestFit="1" customWidth="1"/>
    <col min="13576" max="13578" width="5.5703125" style="1" bestFit="1" customWidth="1"/>
    <col min="13579" max="13579" width="4.85546875" style="1" bestFit="1" customWidth="1"/>
    <col min="13580" max="13580" width="6.7109375" style="1" bestFit="1" customWidth="1"/>
    <col min="13581" max="13581" width="8.5703125" style="1" bestFit="1" customWidth="1"/>
    <col min="13582" max="13582" width="21" style="1" bestFit="1" customWidth="1"/>
    <col min="13583" max="13825" width="8.7109375" style="1"/>
    <col min="13826" max="13826" width="30.28515625" style="1" bestFit="1" customWidth="1"/>
    <col min="13827" max="13827" width="26.85546875" style="1" bestFit="1" customWidth="1"/>
    <col min="13828" max="13828" width="7.7109375" style="1" bestFit="1" customWidth="1"/>
    <col min="13829" max="13829" width="6.85546875" style="1" bestFit="1" customWidth="1"/>
    <col min="13830" max="13830" width="17.28515625" style="1" bestFit="1" customWidth="1"/>
    <col min="13831" max="13831" width="31" style="1" bestFit="1" customWidth="1"/>
    <col min="13832" max="13834" width="5.5703125" style="1" bestFit="1" customWidth="1"/>
    <col min="13835" max="13835" width="4.85546875" style="1" bestFit="1" customWidth="1"/>
    <col min="13836" max="13836" width="6.7109375" style="1" bestFit="1" customWidth="1"/>
    <col min="13837" max="13837" width="8.5703125" style="1" bestFit="1" customWidth="1"/>
    <col min="13838" max="13838" width="21" style="1" bestFit="1" customWidth="1"/>
    <col min="13839" max="14081" width="8.7109375" style="1"/>
    <col min="14082" max="14082" width="30.28515625" style="1" bestFit="1" customWidth="1"/>
    <col min="14083" max="14083" width="26.85546875" style="1" bestFit="1" customWidth="1"/>
    <col min="14084" max="14084" width="7.7109375" style="1" bestFit="1" customWidth="1"/>
    <col min="14085" max="14085" width="6.85546875" style="1" bestFit="1" customWidth="1"/>
    <col min="14086" max="14086" width="17.28515625" style="1" bestFit="1" customWidth="1"/>
    <col min="14087" max="14087" width="31" style="1" bestFit="1" customWidth="1"/>
    <col min="14088" max="14090" width="5.5703125" style="1" bestFit="1" customWidth="1"/>
    <col min="14091" max="14091" width="4.85546875" style="1" bestFit="1" customWidth="1"/>
    <col min="14092" max="14092" width="6.7109375" style="1" bestFit="1" customWidth="1"/>
    <col min="14093" max="14093" width="8.5703125" style="1" bestFit="1" customWidth="1"/>
    <col min="14094" max="14094" width="21" style="1" bestFit="1" customWidth="1"/>
    <col min="14095" max="14337" width="8.7109375" style="1"/>
    <col min="14338" max="14338" width="30.28515625" style="1" bestFit="1" customWidth="1"/>
    <col min="14339" max="14339" width="26.85546875" style="1" bestFit="1" customWidth="1"/>
    <col min="14340" max="14340" width="7.7109375" style="1" bestFit="1" customWidth="1"/>
    <col min="14341" max="14341" width="6.85546875" style="1" bestFit="1" customWidth="1"/>
    <col min="14342" max="14342" width="17.28515625" style="1" bestFit="1" customWidth="1"/>
    <col min="14343" max="14343" width="31" style="1" bestFit="1" customWidth="1"/>
    <col min="14344" max="14346" width="5.5703125" style="1" bestFit="1" customWidth="1"/>
    <col min="14347" max="14347" width="4.85546875" style="1" bestFit="1" customWidth="1"/>
    <col min="14348" max="14348" width="6.7109375" style="1" bestFit="1" customWidth="1"/>
    <col min="14349" max="14349" width="8.5703125" style="1" bestFit="1" customWidth="1"/>
    <col min="14350" max="14350" width="21" style="1" bestFit="1" customWidth="1"/>
    <col min="14351" max="14593" width="8.7109375" style="1"/>
    <col min="14594" max="14594" width="30.28515625" style="1" bestFit="1" customWidth="1"/>
    <col min="14595" max="14595" width="26.85546875" style="1" bestFit="1" customWidth="1"/>
    <col min="14596" max="14596" width="7.7109375" style="1" bestFit="1" customWidth="1"/>
    <col min="14597" max="14597" width="6.85546875" style="1" bestFit="1" customWidth="1"/>
    <col min="14598" max="14598" width="17.28515625" style="1" bestFit="1" customWidth="1"/>
    <col min="14599" max="14599" width="31" style="1" bestFit="1" customWidth="1"/>
    <col min="14600" max="14602" width="5.5703125" style="1" bestFit="1" customWidth="1"/>
    <col min="14603" max="14603" width="4.85546875" style="1" bestFit="1" customWidth="1"/>
    <col min="14604" max="14604" width="6.7109375" style="1" bestFit="1" customWidth="1"/>
    <col min="14605" max="14605" width="8.5703125" style="1" bestFit="1" customWidth="1"/>
    <col min="14606" max="14606" width="21" style="1" bestFit="1" customWidth="1"/>
    <col min="14607" max="14849" width="8.7109375" style="1"/>
    <col min="14850" max="14850" width="30.28515625" style="1" bestFit="1" customWidth="1"/>
    <col min="14851" max="14851" width="26.85546875" style="1" bestFit="1" customWidth="1"/>
    <col min="14852" max="14852" width="7.7109375" style="1" bestFit="1" customWidth="1"/>
    <col min="14853" max="14853" width="6.85546875" style="1" bestFit="1" customWidth="1"/>
    <col min="14854" max="14854" width="17.28515625" style="1" bestFit="1" customWidth="1"/>
    <col min="14855" max="14855" width="31" style="1" bestFit="1" customWidth="1"/>
    <col min="14856" max="14858" width="5.5703125" style="1" bestFit="1" customWidth="1"/>
    <col min="14859" max="14859" width="4.85546875" style="1" bestFit="1" customWidth="1"/>
    <col min="14860" max="14860" width="6.7109375" style="1" bestFit="1" customWidth="1"/>
    <col min="14861" max="14861" width="8.5703125" style="1" bestFit="1" customWidth="1"/>
    <col min="14862" max="14862" width="21" style="1" bestFit="1" customWidth="1"/>
    <col min="14863" max="15105" width="8.7109375" style="1"/>
    <col min="15106" max="15106" width="30.28515625" style="1" bestFit="1" customWidth="1"/>
    <col min="15107" max="15107" width="26.85546875" style="1" bestFit="1" customWidth="1"/>
    <col min="15108" max="15108" width="7.7109375" style="1" bestFit="1" customWidth="1"/>
    <col min="15109" max="15109" width="6.85546875" style="1" bestFit="1" customWidth="1"/>
    <col min="15110" max="15110" width="17.28515625" style="1" bestFit="1" customWidth="1"/>
    <col min="15111" max="15111" width="31" style="1" bestFit="1" customWidth="1"/>
    <col min="15112" max="15114" width="5.5703125" style="1" bestFit="1" customWidth="1"/>
    <col min="15115" max="15115" width="4.85546875" style="1" bestFit="1" customWidth="1"/>
    <col min="15116" max="15116" width="6.7109375" style="1" bestFit="1" customWidth="1"/>
    <col min="15117" max="15117" width="8.5703125" style="1" bestFit="1" customWidth="1"/>
    <col min="15118" max="15118" width="21" style="1" bestFit="1" customWidth="1"/>
    <col min="15119" max="15361" width="8.7109375" style="1"/>
    <col min="15362" max="15362" width="30.28515625" style="1" bestFit="1" customWidth="1"/>
    <col min="15363" max="15363" width="26.85546875" style="1" bestFit="1" customWidth="1"/>
    <col min="15364" max="15364" width="7.7109375" style="1" bestFit="1" customWidth="1"/>
    <col min="15365" max="15365" width="6.85546875" style="1" bestFit="1" customWidth="1"/>
    <col min="15366" max="15366" width="17.28515625" style="1" bestFit="1" customWidth="1"/>
    <col min="15367" max="15367" width="31" style="1" bestFit="1" customWidth="1"/>
    <col min="15368" max="15370" width="5.5703125" style="1" bestFit="1" customWidth="1"/>
    <col min="15371" max="15371" width="4.85546875" style="1" bestFit="1" customWidth="1"/>
    <col min="15372" max="15372" width="6.7109375" style="1" bestFit="1" customWidth="1"/>
    <col min="15373" max="15373" width="8.5703125" style="1" bestFit="1" customWidth="1"/>
    <col min="15374" max="15374" width="21" style="1" bestFit="1" customWidth="1"/>
    <col min="15375" max="15617" width="8.7109375" style="1"/>
    <col min="15618" max="15618" width="30.28515625" style="1" bestFit="1" customWidth="1"/>
    <col min="15619" max="15619" width="26.85546875" style="1" bestFit="1" customWidth="1"/>
    <col min="15620" max="15620" width="7.7109375" style="1" bestFit="1" customWidth="1"/>
    <col min="15621" max="15621" width="6.85546875" style="1" bestFit="1" customWidth="1"/>
    <col min="15622" max="15622" width="17.28515625" style="1" bestFit="1" customWidth="1"/>
    <col min="15623" max="15623" width="31" style="1" bestFit="1" customWidth="1"/>
    <col min="15624" max="15626" width="5.5703125" style="1" bestFit="1" customWidth="1"/>
    <col min="15627" max="15627" width="4.85546875" style="1" bestFit="1" customWidth="1"/>
    <col min="15628" max="15628" width="6.7109375" style="1" bestFit="1" customWidth="1"/>
    <col min="15629" max="15629" width="8.5703125" style="1" bestFit="1" customWidth="1"/>
    <col min="15630" max="15630" width="21" style="1" bestFit="1" customWidth="1"/>
    <col min="15631" max="15873" width="8.7109375" style="1"/>
    <col min="15874" max="15874" width="30.28515625" style="1" bestFit="1" customWidth="1"/>
    <col min="15875" max="15875" width="26.85546875" style="1" bestFit="1" customWidth="1"/>
    <col min="15876" max="15876" width="7.7109375" style="1" bestFit="1" customWidth="1"/>
    <col min="15877" max="15877" width="6.85546875" style="1" bestFit="1" customWidth="1"/>
    <col min="15878" max="15878" width="17.28515625" style="1" bestFit="1" customWidth="1"/>
    <col min="15879" max="15879" width="31" style="1" bestFit="1" customWidth="1"/>
    <col min="15880" max="15882" width="5.5703125" style="1" bestFit="1" customWidth="1"/>
    <col min="15883" max="15883" width="4.85546875" style="1" bestFit="1" customWidth="1"/>
    <col min="15884" max="15884" width="6.7109375" style="1" bestFit="1" customWidth="1"/>
    <col min="15885" max="15885" width="8.5703125" style="1" bestFit="1" customWidth="1"/>
    <col min="15886" max="15886" width="21" style="1" bestFit="1" customWidth="1"/>
    <col min="15887" max="16129" width="8.7109375" style="1"/>
    <col min="16130" max="16130" width="30.28515625" style="1" bestFit="1" customWidth="1"/>
    <col min="16131" max="16131" width="26.85546875" style="1" bestFit="1" customWidth="1"/>
    <col min="16132" max="16132" width="7.7109375" style="1" bestFit="1" customWidth="1"/>
    <col min="16133" max="16133" width="6.85546875" style="1" bestFit="1" customWidth="1"/>
    <col min="16134" max="16134" width="17.28515625" style="1" bestFit="1" customWidth="1"/>
    <col min="16135" max="16135" width="31" style="1" bestFit="1" customWidth="1"/>
    <col min="16136" max="16138" width="5.5703125" style="1" bestFit="1" customWidth="1"/>
    <col min="16139" max="16139" width="4.85546875" style="1" bestFit="1" customWidth="1"/>
    <col min="16140" max="16140" width="6.7109375" style="1" bestFit="1" customWidth="1"/>
    <col min="16141" max="16141" width="8.5703125" style="1" bestFit="1" customWidth="1"/>
    <col min="16142" max="16142" width="21" style="1" bestFit="1" customWidth="1"/>
    <col min="16143" max="16384" width="8.7109375" style="1"/>
  </cols>
  <sheetData>
    <row r="1" spans="1:18" ht="30" customHeight="1" x14ac:dyDescent="0.2">
      <c r="A1" s="295" t="s">
        <v>4023</v>
      </c>
      <c r="B1" s="295"/>
      <c r="C1" s="295"/>
      <c r="D1" s="295"/>
      <c r="E1" s="295"/>
      <c r="F1" s="295"/>
      <c r="G1" s="295"/>
      <c r="H1" s="295"/>
      <c r="I1" s="295"/>
      <c r="J1" s="295"/>
      <c r="K1" s="295"/>
      <c r="L1" s="295"/>
      <c r="M1" s="295"/>
      <c r="N1" s="295"/>
      <c r="O1" s="241"/>
      <c r="P1" s="241"/>
      <c r="Q1" s="241"/>
      <c r="R1" s="241"/>
    </row>
    <row r="2" spans="1:18" ht="30" customHeight="1" x14ac:dyDescent="0.2">
      <c r="A2" s="295" t="s">
        <v>4044</v>
      </c>
      <c r="B2" s="295"/>
      <c r="C2" s="295"/>
      <c r="D2" s="295"/>
      <c r="E2" s="295"/>
      <c r="F2" s="295"/>
      <c r="G2" s="295"/>
      <c r="H2" s="295"/>
      <c r="I2" s="295"/>
      <c r="J2" s="295"/>
      <c r="K2" s="295"/>
      <c r="L2" s="295"/>
      <c r="M2" s="295"/>
      <c r="N2" s="295"/>
      <c r="O2" s="241"/>
      <c r="P2" s="241"/>
      <c r="Q2" s="241"/>
      <c r="R2" s="241"/>
    </row>
    <row r="3" spans="1:18" ht="30.75" customHeight="1" thickBot="1" x14ac:dyDescent="0.25">
      <c r="A3" s="295" t="s">
        <v>3381</v>
      </c>
      <c r="B3" s="295"/>
      <c r="C3" s="295"/>
      <c r="D3" s="295"/>
      <c r="E3" s="295"/>
      <c r="F3" s="295"/>
      <c r="G3" s="295"/>
      <c r="H3" s="295"/>
      <c r="I3" s="295"/>
      <c r="J3" s="295"/>
      <c r="K3" s="295"/>
      <c r="L3" s="295"/>
      <c r="M3" s="295"/>
      <c r="N3" s="295"/>
      <c r="O3" s="241"/>
      <c r="P3" s="241"/>
      <c r="Q3" s="241"/>
      <c r="R3" s="241"/>
    </row>
    <row r="4" spans="1:18" s="5" customFormat="1" ht="12.75" customHeight="1" x14ac:dyDescent="0.2">
      <c r="A4" s="297" t="s">
        <v>719</v>
      </c>
      <c r="B4" s="300" t="s">
        <v>0</v>
      </c>
      <c r="C4" s="302" t="s">
        <v>3382</v>
      </c>
      <c r="D4" s="302" t="s">
        <v>8</v>
      </c>
      <c r="E4" s="304" t="s">
        <v>2675</v>
      </c>
      <c r="F4" s="304" t="s">
        <v>1</v>
      </c>
      <c r="G4" s="305" t="s">
        <v>795</v>
      </c>
      <c r="H4" s="300" t="s">
        <v>3</v>
      </c>
      <c r="I4" s="304"/>
      <c r="J4" s="304"/>
      <c r="K4" s="307"/>
      <c r="L4" s="308" t="s">
        <v>3593</v>
      </c>
      <c r="M4" s="304" t="s">
        <v>6</v>
      </c>
      <c r="N4" s="307" t="s">
        <v>5</v>
      </c>
    </row>
    <row r="5" spans="1:18" s="5" customFormat="1" ht="23.25" customHeight="1" thickBot="1" x14ac:dyDescent="0.25">
      <c r="A5" s="298"/>
      <c r="B5" s="301"/>
      <c r="C5" s="303"/>
      <c r="D5" s="303"/>
      <c r="E5" s="303"/>
      <c r="F5" s="303"/>
      <c r="G5" s="306"/>
      <c r="H5" s="3">
        <v>1</v>
      </c>
      <c r="I5" s="2">
        <v>2</v>
      </c>
      <c r="J5" s="2">
        <v>3</v>
      </c>
      <c r="K5" s="4" t="s">
        <v>7</v>
      </c>
      <c r="L5" s="309"/>
      <c r="M5" s="303"/>
      <c r="N5" s="310"/>
    </row>
    <row r="6" spans="1:18" s="66" customFormat="1" ht="15" x14ac:dyDescent="0.2">
      <c r="A6" s="86"/>
      <c r="B6" s="315" t="s">
        <v>4009</v>
      </c>
      <c r="C6" s="299"/>
      <c r="D6" s="299"/>
      <c r="E6" s="299"/>
      <c r="F6" s="299"/>
      <c r="G6" s="299"/>
      <c r="H6" s="299"/>
      <c r="I6" s="299"/>
      <c r="J6" s="299"/>
      <c r="K6" s="299"/>
      <c r="L6" s="299"/>
      <c r="M6" s="299"/>
      <c r="N6" s="65"/>
    </row>
    <row r="7" spans="1:18" s="66" customFormat="1" x14ac:dyDescent="0.2">
      <c r="A7" s="86" t="s">
        <v>892</v>
      </c>
      <c r="B7" s="76" t="s">
        <v>2279</v>
      </c>
      <c r="C7" s="70" t="s">
        <v>2741</v>
      </c>
      <c r="D7" s="70" t="s">
        <v>2446</v>
      </c>
      <c r="E7" s="70" t="str">
        <f>"0,6513"</f>
        <v>0,6513</v>
      </c>
      <c r="F7" s="70" t="s">
        <v>4020</v>
      </c>
      <c r="G7" s="70" t="s">
        <v>796</v>
      </c>
      <c r="H7" s="35" t="s">
        <v>142</v>
      </c>
      <c r="I7" s="35" t="s">
        <v>106</v>
      </c>
      <c r="J7" s="100" t="s">
        <v>224</v>
      </c>
      <c r="K7" s="92"/>
      <c r="L7" s="97">
        <v>185</v>
      </c>
      <c r="M7" s="88" t="str">
        <f>"120,4905"</f>
        <v>120,4905</v>
      </c>
      <c r="N7" s="70" t="s">
        <v>3391</v>
      </c>
    </row>
    <row r="8" spans="1:18" s="66" customFormat="1" x14ac:dyDescent="0.2">
      <c r="A8" s="86" t="s">
        <v>2778</v>
      </c>
      <c r="B8" s="78" t="s">
        <v>2742</v>
      </c>
      <c r="C8" s="72" t="s">
        <v>2743</v>
      </c>
      <c r="D8" s="72" t="s">
        <v>2744</v>
      </c>
      <c r="E8" s="72" t="str">
        <f>"0,6743"</f>
        <v>0,6743</v>
      </c>
      <c r="F8" s="72" t="s">
        <v>4020</v>
      </c>
      <c r="G8" s="72" t="s">
        <v>801</v>
      </c>
      <c r="H8" s="101" t="s">
        <v>71</v>
      </c>
      <c r="I8" s="37" t="s">
        <v>104</v>
      </c>
      <c r="J8" s="101" t="s">
        <v>36</v>
      </c>
      <c r="K8" s="94"/>
      <c r="L8" s="99">
        <v>130</v>
      </c>
      <c r="M8" s="90" t="str">
        <f>"87,6525"</f>
        <v>87,6525</v>
      </c>
      <c r="N8" s="72" t="s">
        <v>3391</v>
      </c>
    </row>
    <row r="10" spans="1:18" ht="15" x14ac:dyDescent="0.2">
      <c r="B10" s="316" t="s">
        <v>4011</v>
      </c>
      <c r="C10" s="316"/>
      <c r="D10" s="316"/>
      <c r="E10" s="316"/>
      <c r="F10" s="316"/>
      <c r="G10" s="316"/>
      <c r="H10" s="316"/>
      <c r="I10" s="316"/>
      <c r="J10" s="316"/>
      <c r="K10" s="316"/>
      <c r="L10" s="316"/>
      <c r="M10" s="316"/>
    </row>
    <row r="11" spans="1:18" x14ac:dyDescent="0.2">
      <c r="A11" s="42">
        <v>1</v>
      </c>
      <c r="B11" s="76" t="s">
        <v>2745</v>
      </c>
      <c r="C11" s="70" t="s">
        <v>2746</v>
      </c>
      <c r="D11" s="70" t="s">
        <v>2747</v>
      </c>
      <c r="E11" s="70" t="str">
        <f>"0,5900"</f>
        <v>0,5900</v>
      </c>
      <c r="F11" s="70" t="s">
        <v>2653</v>
      </c>
      <c r="G11" s="70" t="s">
        <v>3286</v>
      </c>
      <c r="H11" s="35" t="s">
        <v>140</v>
      </c>
      <c r="I11" s="35" t="s">
        <v>143</v>
      </c>
      <c r="J11" s="35" t="s">
        <v>24</v>
      </c>
      <c r="K11" s="92"/>
      <c r="L11" s="97">
        <v>220</v>
      </c>
      <c r="M11" s="88" t="str">
        <f>"129,7890"</f>
        <v>129,7890</v>
      </c>
      <c r="N11" s="70" t="s">
        <v>3391</v>
      </c>
    </row>
    <row r="12" spans="1:18" x14ac:dyDescent="0.2">
      <c r="A12" s="42">
        <v>2</v>
      </c>
      <c r="B12" s="77" t="s">
        <v>2748</v>
      </c>
      <c r="C12" s="71" t="s">
        <v>2749</v>
      </c>
      <c r="D12" s="71" t="s">
        <v>482</v>
      </c>
      <c r="E12" s="71" t="str">
        <f>"0,5864"</f>
        <v>0,5864</v>
      </c>
      <c r="F12" s="71" t="s">
        <v>4020</v>
      </c>
      <c r="G12" s="71" t="s">
        <v>3258</v>
      </c>
      <c r="H12" s="103" t="s">
        <v>187</v>
      </c>
      <c r="I12" s="103" t="s">
        <v>187</v>
      </c>
      <c r="J12" s="36" t="s">
        <v>187</v>
      </c>
      <c r="K12" s="93"/>
      <c r="L12" s="98">
        <v>215</v>
      </c>
      <c r="M12" s="89" t="str">
        <f>"126,0653"</f>
        <v>126,0653</v>
      </c>
      <c r="N12" s="71" t="s">
        <v>1657</v>
      </c>
    </row>
    <row r="13" spans="1:18" x14ac:dyDescent="0.2">
      <c r="B13" s="77" t="s">
        <v>2750</v>
      </c>
      <c r="C13" s="71" t="s">
        <v>2751</v>
      </c>
      <c r="D13" s="71" t="s">
        <v>957</v>
      </c>
      <c r="E13" s="71" t="str">
        <f>"0,5846"</f>
        <v>0,5846</v>
      </c>
      <c r="F13" s="71" t="s">
        <v>4020</v>
      </c>
      <c r="G13" s="71" t="s">
        <v>796</v>
      </c>
      <c r="H13" s="103" t="s">
        <v>135</v>
      </c>
      <c r="I13" s="93"/>
      <c r="J13" s="93"/>
      <c r="K13" s="93"/>
      <c r="L13" s="104">
        <v>0</v>
      </c>
      <c r="M13" s="89" t="s">
        <v>720</v>
      </c>
      <c r="N13" s="71" t="s">
        <v>2752</v>
      </c>
    </row>
    <row r="14" spans="1:18" x14ac:dyDescent="0.2">
      <c r="A14" s="42">
        <v>1</v>
      </c>
      <c r="B14" s="77" t="s">
        <v>2753</v>
      </c>
      <c r="C14" s="71" t="s">
        <v>2754</v>
      </c>
      <c r="D14" s="71" t="s">
        <v>1497</v>
      </c>
      <c r="E14" s="71" t="str">
        <f>"0,5813"</f>
        <v>0,5813</v>
      </c>
      <c r="F14" s="71" t="s">
        <v>2103</v>
      </c>
      <c r="G14" s="71" t="s">
        <v>3345</v>
      </c>
      <c r="H14" s="36" t="s">
        <v>1329</v>
      </c>
      <c r="I14" s="93"/>
      <c r="J14" s="93"/>
      <c r="K14" s="93"/>
      <c r="L14" s="98">
        <v>287.5</v>
      </c>
      <c r="M14" s="89" t="str">
        <f>"168,7950"</f>
        <v>168,7950</v>
      </c>
      <c r="N14" s="71" t="s">
        <v>2779</v>
      </c>
    </row>
    <row r="15" spans="1:18" x14ac:dyDescent="0.2">
      <c r="B15" s="78" t="s">
        <v>2750</v>
      </c>
      <c r="C15" s="72" t="s">
        <v>2755</v>
      </c>
      <c r="D15" s="72" t="s">
        <v>957</v>
      </c>
      <c r="E15" s="72" t="str">
        <f>"0,5846"</f>
        <v>0,5846</v>
      </c>
      <c r="F15" s="72" t="s">
        <v>4020</v>
      </c>
      <c r="G15" s="72" t="s">
        <v>796</v>
      </c>
      <c r="H15" s="101" t="s">
        <v>135</v>
      </c>
      <c r="I15" s="94"/>
      <c r="J15" s="94"/>
      <c r="K15" s="94"/>
      <c r="L15" s="105">
        <v>0</v>
      </c>
      <c r="M15" s="90" t="s">
        <v>720</v>
      </c>
      <c r="N15" s="72" t="s">
        <v>2752</v>
      </c>
    </row>
    <row r="17" spans="1:14" ht="15" x14ac:dyDescent="0.2">
      <c r="B17" s="316" t="s">
        <v>4012</v>
      </c>
      <c r="C17" s="316"/>
      <c r="D17" s="316"/>
      <c r="E17" s="316"/>
      <c r="F17" s="316"/>
      <c r="G17" s="316"/>
      <c r="H17" s="316"/>
      <c r="I17" s="316"/>
      <c r="J17" s="316"/>
      <c r="K17" s="316"/>
      <c r="L17" s="316"/>
      <c r="M17" s="316"/>
    </row>
    <row r="18" spans="1:14" x14ac:dyDescent="0.2">
      <c r="A18" s="42">
        <v>1</v>
      </c>
      <c r="B18" s="76" t="s">
        <v>2756</v>
      </c>
      <c r="C18" s="70" t="s">
        <v>2757</v>
      </c>
      <c r="D18" s="70" t="s">
        <v>2758</v>
      </c>
      <c r="E18" s="70" t="str">
        <f>"0,5699"</f>
        <v>0,5699</v>
      </c>
      <c r="F18" s="70" t="s">
        <v>4020</v>
      </c>
      <c r="G18" s="70" t="s">
        <v>3346</v>
      </c>
      <c r="H18" s="100" t="s">
        <v>140</v>
      </c>
      <c r="I18" s="100" t="s">
        <v>140</v>
      </c>
      <c r="J18" s="100" t="s">
        <v>389</v>
      </c>
      <c r="K18" s="92"/>
      <c r="L18" s="107">
        <v>0</v>
      </c>
      <c r="M18" s="88" t="s">
        <v>720</v>
      </c>
      <c r="N18" s="70" t="s">
        <v>3391</v>
      </c>
    </row>
    <row r="19" spans="1:14" x14ac:dyDescent="0.2">
      <c r="A19" s="42">
        <v>1</v>
      </c>
      <c r="B19" s="77" t="s">
        <v>2577</v>
      </c>
      <c r="C19" s="71" t="s">
        <v>2515</v>
      </c>
      <c r="D19" s="71" t="s">
        <v>1398</v>
      </c>
      <c r="E19" s="71" t="str">
        <f>"0,5710"</f>
        <v>0,5710</v>
      </c>
      <c r="F19" s="71" t="s">
        <v>4020</v>
      </c>
      <c r="G19" s="71" t="s">
        <v>3294</v>
      </c>
      <c r="H19" s="36" t="s">
        <v>1007</v>
      </c>
      <c r="I19" s="93"/>
      <c r="J19" s="93"/>
      <c r="K19" s="93"/>
      <c r="L19" s="98">
        <v>320</v>
      </c>
      <c r="M19" s="89" t="str">
        <f>"182,7360"</f>
        <v>182,7360</v>
      </c>
      <c r="N19" s="71" t="s">
        <v>3391</v>
      </c>
    </row>
    <row r="20" spans="1:14" x14ac:dyDescent="0.2">
      <c r="A20" s="42">
        <v>2</v>
      </c>
      <c r="B20" s="78" t="s">
        <v>1282</v>
      </c>
      <c r="C20" s="72" t="s">
        <v>1274</v>
      </c>
      <c r="D20" s="72" t="s">
        <v>910</v>
      </c>
      <c r="E20" s="72" t="str">
        <f>"0,5718"</f>
        <v>0,5718</v>
      </c>
      <c r="F20" s="72" t="s">
        <v>4020</v>
      </c>
      <c r="G20" s="72" t="s">
        <v>796</v>
      </c>
      <c r="H20" s="37" t="s">
        <v>140</v>
      </c>
      <c r="I20" s="37" t="s">
        <v>24</v>
      </c>
      <c r="J20" s="101" t="s">
        <v>189</v>
      </c>
      <c r="K20" s="94"/>
      <c r="L20" s="99">
        <v>220</v>
      </c>
      <c r="M20" s="90" t="str">
        <f>"125,7960"</f>
        <v>125,7960</v>
      </c>
      <c r="N20" s="72" t="s">
        <v>1286</v>
      </c>
    </row>
    <row r="22" spans="1:14" ht="15" x14ac:dyDescent="0.2">
      <c r="B22" s="316" t="s">
        <v>4013</v>
      </c>
      <c r="C22" s="316"/>
      <c r="D22" s="316"/>
      <c r="E22" s="316"/>
      <c r="F22" s="316"/>
      <c r="G22" s="316"/>
      <c r="H22" s="316"/>
      <c r="I22" s="316"/>
      <c r="J22" s="316"/>
      <c r="K22" s="316"/>
      <c r="L22" s="316"/>
      <c r="M22" s="316"/>
    </row>
    <row r="23" spans="1:14" x14ac:dyDescent="0.2">
      <c r="A23" s="42">
        <v>1</v>
      </c>
      <c r="B23" s="76" t="s">
        <v>2344</v>
      </c>
      <c r="C23" s="70" t="s">
        <v>2759</v>
      </c>
      <c r="D23" s="70" t="s">
        <v>2324</v>
      </c>
      <c r="E23" s="70" t="str">
        <f>"0,5580"</f>
        <v>0,5580</v>
      </c>
      <c r="F23" s="70" t="s">
        <v>862</v>
      </c>
      <c r="G23" s="70" t="s">
        <v>801</v>
      </c>
      <c r="H23" s="35" t="s">
        <v>140</v>
      </c>
      <c r="I23" s="100" t="s">
        <v>24</v>
      </c>
      <c r="J23" s="35" t="s">
        <v>24</v>
      </c>
      <c r="K23" s="92"/>
      <c r="L23" s="97">
        <v>220</v>
      </c>
      <c r="M23" s="88" t="str">
        <f>"122,7490"</f>
        <v>122,7490</v>
      </c>
      <c r="N23" s="70" t="s">
        <v>3391</v>
      </c>
    </row>
    <row r="24" spans="1:14" x14ac:dyDescent="0.2">
      <c r="A24" s="42">
        <v>1</v>
      </c>
      <c r="B24" s="77" t="s">
        <v>2582</v>
      </c>
      <c r="C24" s="71" t="s">
        <v>2760</v>
      </c>
      <c r="D24" s="71" t="s">
        <v>2546</v>
      </c>
      <c r="E24" s="71" t="str">
        <f>"0,5581"</f>
        <v>0,5581</v>
      </c>
      <c r="F24" s="71" t="s">
        <v>862</v>
      </c>
      <c r="G24" s="71" t="s">
        <v>891</v>
      </c>
      <c r="H24" s="36" t="s">
        <v>679</v>
      </c>
      <c r="I24" s="93"/>
      <c r="J24" s="93"/>
      <c r="K24" s="93"/>
      <c r="L24" s="98">
        <v>310</v>
      </c>
      <c r="M24" s="89" t="str">
        <f>"173,0265"</f>
        <v>173,0265</v>
      </c>
      <c r="N24" s="71" t="s">
        <v>2078</v>
      </c>
    </row>
    <row r="25" spans="1:14" x14ac:dyDescent="0.2">
      <c r="A25" s="42">
        <v>2</v>
      </c>
      <c r="B25" s="77" t="s">
        <v>2761</v>
      </c>
      <c r="C25" s="71" t="s">
        <v>2762</v>
      </c>
      <c r="D25" s="71" t="s">
        <v>2763</v>
      </c>
      <c r="E25" s="71" t="str">
        <f>"0,5527"</f>
        <v>0,5527</v>
      </c>
      <c r="F25" s="71" t="s">
        <v>4020</v>
      </c>
      <c r="G25" s="71" t="s">
        <v>796</v>
      </c>
      <c r="H25" s="36" t="s">
        <v>35</v>
      </c>
      <c r="I25" s="103" t="s">
        <v>926</v>
      </c>
      <c r="J25" s="103" t="s">
        <v>926</v>
      </c>
      <c r="K25" s="93"/>
      <c r="L25" s="98">
        <v>270</v>
      </c>
      <c r="M25" s="89" t="str">
        <f>"149,2290"</f>
        <v>149,2290</v>
      </c>
      <c r="N25" s="71" t="s">
        <v>2068</v>
      </c>
    </row>
    <row r="26" spans="1:14" x14ac:dyDescent="0.2">
      <c r="A26" s="42">
        <v>3</v>
      </c>
      <c r="B26" s="77" t="s">
        <v>2764</v>
      </c>
      <c r="C26" s="71" t="s">
        <v>2765</v>
      </c>
      <c r="D26" s="71" t="s">
        <v>2724</v>
      </c>
      <c r="E26" s="71" t="str">
        <f>"0,5511"</f>
        <v>0,5511</v>
      </c>
      <c r="F26" s="71" t="s">
        <v>4020</v>
      </c>
      <c r="G26" s="71" t="s">
        <v>3286</v>
      </c>
      <c r="H26" s="36" t="s">
        <v>144</v>
      </c>
      <c r="I26" s="36" t="s">
        <v>37</v>
      </c>
      <c r="J26" s="36" t="s">
        <v>15</v>
      </c>
      <c r="K26" s="93"/>
      <c r="L26" s="98">
        <v>265</v>
      </c>
      <c r="M26" s="89" t="str">
        <f>"146,0283"</f>
        <v>146,0283</v>
      </c>
      <c r="N26" s="71" t="s">
        <v>3391</v>
      </c>
    </row>
    <row r="27" spans="1:14" x14ac:dyDescent="0.2">
      <c r="A27" s="42">
        <v>4</v>
      </c>
      <c r="B27" s="77" t="s">
        <v>2766</v>
      </c>
      <c r="C27" s="71" t="s">
        <v>2767</v>
      </c>
      <c r="D27" s="71" t="s">
        <v>2768</v>
      </c>
      <c r="E27" s="71" t="str">
        <f>"0,5479"</f>
        <v>0,5479</v>
      </c>
      <c r="F27" s="71" t="s">
        <v>4020</v>
      </c>
      <c r="G27" s="71" t="s">
        <v>844</v>
      </c>
      <c r="H27" s="36" t="s">
        <v>24</v>
      </c>
      <c r="I27" s="103" t="s">
        <v>37</v>
      </c>
      <c r="J27" s="36" t="s">
        <v>37</v>
      </c>
      <c r="K27" s="93"/>
      <c r="L27" s="98">
        <v>250</v>
      </c>
      <c r="M27" s="89" t="str">
        <f>"136,9750"</f>
        <v>136,9750</v>
      </c>
      <c r="N27" s="71" t="s">
        <v>2780</v>
      </c>
    </row>
    <row r="28" spans="1:14" x14ac:dyDescent="0.2">
      <c r="A28" s="42">
        <v>5</v>
      </c>
      <c r="B28" s="77" t="s">
        <v>2344</v>
      </c>
      <c r="C28" s="71" t="s">
        <v>2769</v>
      </c>
      <c r="D28" s="71" t="s">
        <v>2324</v>
      </c>
      <c r="E28" s="71" t="str">
        <f>"0,5580"</f>
        <v>0,5580</v>
      </c>
      <c r="F28" s="71" t="s">
        <v>862</v>
      </c>
      <c r="G28" s="71" t="s">
        <v>801</v>
      </c>
      <c r="H28" s="36" t="s">
        <v>140</v>
      </c>
      <c r="I28" s="103" t="s">
        <v>24</v>
      </c>
      <c r="J28" s="36" t="s">
        <v>24</v>
      </c>
      <c r="K28" s="93"/>
      <c r="L28" s="98">
        <v>220</v>
      </c>
      <c r="M28" s="89" t="str">
        <f>"122,7490"</f>
        <v>122,7490</v>
      </c>
      <c r="N28" s="71" t="s">
        <v>3391</v>
      </c>
    </row>
    <row r="29" spans="1:14" x14ac:dyDescent="0.2">
      <c r="A29" s="42">
        <v>1</v>
      </c>
      <c r="B29" s="77" t="s">
        <v>2582</v>
      </c>
      <c r="C29" s="71" t="s">
        <v>2770</v>
      </c>
      <c r="D29" s="71" t="s">
        <v>2546</v>
      </c>
      <c r="E29" s="71" t="str">
        <f>"0,5581"</f>
        <v>0,5581</v>
      </c>
      <c r="F29" s="71" t="s">
        <v>862</v>
      </c>
      <c r="G29" s="71" t="s">
        <v>891</v>
      </c>
      <c r="H29" s="36" t="s">
        <v>679</v>
      </c>
      <c r="I29" s="93"/>
      <c r="J29" s="93"/>
      <c r="K29" s="93"/>
      <c r="L29" s="98">
        <v>310</v>
      </c>
      <c r="M29" s="89" t="str">
        <f>"178,3903"</f>
        <v>178,3903</v>
      </c>
      <c r="N29" s="71" t="s">
        <v>2078</v>
      </c>
    </row>
    <row r="30" spans="1:14" x14ac:dyDescent="0.2">
      <c r="A30" s="42">
        <v>2</v>
      </c>
      <c r="B30" s="78" t="s">
        <v>2766</v>
      </c>
      <c r="C30" s="72" t="s">
        <v>2771</v>
      </c>
      <c r="D30" s="72" t="s">
        <v>2768</v>
      </c>
      <c r="E30" s="72" t="str">
        <f>"0,5479"</f>
        <v>0,5479</v>
      </c>
      <c r="F30" s="72" t="s">
        <v>4020</v>
      </c>
      <c r="G30" s="72" t="s">
        <v>844</v>
      </c>
      <c r="H30" s="37" t="s">
        <v>24</v>
      </c>
      <c r="I30" s="101" t="s">
        <v>37</v>
      </c>
      <c r="J30" s="37" t="s">
        <v>37</v>
      </c>
      <c r="K30" s="94"/>
      <c r="L30" s="99">
        <v>250</v>
      </c>
      <c r="M30" s="90" t="str">
        <f>"142,8649"</f>
        <v>142,8649</v>
      </c>
      <c r="N30" s="72" t="s">
        <v>2780</v>
      </c>
    </row>
    <row r="32" spans="1:14" ht="15" x14ac:dyDescent="0.2">
      <c r="B32" s="316" t="s">
        <v>4016</v>
      </c>
      <c r="C32" s="316"/>
      <c r="D32" s="316"/>
      <c r="E32" s="316"/>
      <c r="F32" s="316"/>
      <c r="G32" s="316"/>
      <c r="H32" s="316"/>
      <c r="I32" s="316"/>
      <c r="J32" s="316"/>
      <c r="K32" s="316"/>
      <c r="L32" s="316"/>
      <c r="M32" s="316"/>
    </row>
    <row r="33" spans="1:14" x14ac:dyDescent="0.2">
      <c r="A33" s="42">
        <v>1</v>
      </c>
      <c r="B33" s="74" t="s">
        <v>1756</v>
      </c>
      <c r="C33" s="68" t="s">
        <v>2772</v>
      </c>
      <c r="D33" s="68" t="s">
        <v>1159</v>
      </c>
      <c r="E33" s="68" t="str">
        <f>"0,5410"</f>
        <v>0,5410</v>
      </c>
      <c r="F33" s="68" t="s">
        <v>862</v>
      </c>
      <c r="G33" s="68" t="s">
        <v>891</v>
      </c>
      <c r="H33" s="34" t="s">
        <v>275</v>
      </c>
      <c r="I33" s="91"/>
      <c r="J33" s="91"/>
      <c r="K33" s="91"/>
      <c r="L33" s="95">
        <v>315</v>
      </c>
      <c r="M33" s="87" t="str">
        <f>"170,4118"</f>
        <v>170,4118</v>
      </c>
      <c r="N33" s="68" t="s">
        <v>3391</v>
      </c>
    </row>
    <row r="35" spans="1:14" ht="15" x14ac:dyDescent="0.2">
      <c r="B35" s="316" t="s">
        <v>4017</v>
      </c>
      <c r="C35" s="316"/>
      <c r="D35" s="316"/>
      <c r="E35" s="316"/>
      <c r="F35" s="316"/>
      <c r="G35" s="316"/>
      <c r="H35" s="316"/>
      <c r="I35" s="316"/>
      <c r="J35" s="316"/>
      <c r="K35" s="316"/>
      <c r="L35" s="316"/>
      <c r="M35" s="316"/>
    </row>
    <row r="36" spans="1:14" x14ac:dyDescent="0.2">
      <c r="A36" s="42">
        <v>1</v>
      </c>
      <c r="B36" s="74" t="s">
        <v>2053</v>
      </c>
      <c r="C36" s="68" t="s">
        <v>2773</v>
      </c>
      <c r="D36" s="68" t="s">
        <v>2774</v>
      </c>
      <c r="E36" s="68" t="str">
        <f>"0,5248"</f>
        <v>0,5248</v>
      </c>
      <c r="F36" s="68" t="s">
        <v>4020</v>
      </c>
      <c r="G36" s="68" t="s">
        <v>3307</v>
      </c>
      <c r="H36" s="34" t="s">
        <v>11</v>
      </c>
      <c r="I36" s="34" t="s">
        <v>166</v>
      </c>
      <c r="J36" s="102" t="s">
        <v>135</v>
      </c>
      <c r="K36" s="91"/>
      <c r="L36" s="95">
        <v>195</v>
      </c>
      <c r="M36" s="87" t="str">
        <f>"127,5046"</f>
        <v>127,5046</v>
      </c>
      <c r="N36" s="68" t="s">
        <v>2102</v>
      </c>
    </row>
    <row r="38" spans="1:14" ht="18" x14ac:dyDescent="0.25">
      <c r="B38" s="79" t="s">
        <v>4022</v>
      </c>
      <c r="C38" s="79"/>
    </row>
    <row r="39" spans="1:14" ht="18.75" x14ac:dyDescent="0.3">
      <c r="B39" s="244" t="s">
        <v>3499</v>
      </c>
      <c r="C39" s="79"/>
    </row>
    <row r="40" spans="1:14" ht="14.25" x14ac:dyDescent="0.2">
      <c r="B40" s="81"/>
      <c r="C40" s="84" t="s">
        <v>18</v>
      </c>
    </row>
    <row r="41" spans="1:14" ht="15" x14ac:dyDescent="0.2">
      <c r="B41" s="82" t="s">
        <v>0</v>
      </c>
      <c r="C41" s="85" t="s">
        <v>19</v>
      </c>
      <c r="D41" s="85" t="s">
        <v>20</v>
      </c>
      <c r="E41" s="85" t="s">
        <v>3593</v>
      </c>
      <c r="F41" s="73" t="s">
        <v>2675</v>
      </c>
    </row>
    <row r="42" spans="1:14" x14ac:dyDescent="0.2">
      <c r="A42" s="42">
        <v>1</v>
      </c>
      <c r="B42" s="83" t="s">
        <v>2577</v>
      </c>
      <c r="C42" s="66" t="s">
        <v>18</v>
      </c>
      <c r="D42" s="86" t="s">
        <v>306</v>
      </c>
      <c r="E42" s="86" t="s">
        <v>1007</v>
      </c>
      <c r="F42" s="86" t="s">
        <v>2775</v>
      </c>
    </row>
    <row r="43" spans="1:14" x14ac:dyDescent="0.2">
      <c r="A43" s="42">
        <v>2</v>
      </c>
      <c r="B43" s="83" t="s">
        <v>2582</v>
      </c>
      <c r="C43" s="66" t="s">
        <v>18</v>
      </c>
      <c r="D43" s="86" t="s">
        <v>303</v>
      </c>
      <c r="E43" s="86" t="s">
        <v>679</v>
      </c>
      <c r="F43" s="86" t="s">
        <v>2776</v>
      </c>
    </row>
    <row r="44" spans="1:14" x14ac:dyDescent="0.2">
      <c r="A44" s="42">
        <v>3</v>
      </c>
      <c r="B44" s="83" t="s">
        <v>1756</v>
      </c>
      <c r="C44" s="66" t="s">
        <v>18</v>
      </c>
      <c r="D44" s="86" t="s">
        <v>692</v>
      </c>
      <c r="E44" s="86" t="s">
        <v>275</v>
      </c>
      <c r="F44" s="86" t="s">
        <v>2777</v>
      </c>
    </row>
  </sheetData>
  <mergeCells count="20">
    <mergeCell ref="B35:M35"/>
    <mergeCell ref="A4:A5"/>
    <mergeCell ref="N4:N5"/>
    <mergeCell ref="B6:M6"/>
    <mergeCell ref="B10:M10"/>
    <mergeCell ref="B17:M17"/>
    <mergeCell ref="B22:M22"/>
    <mergeCell ref="B32:M32"/>
    <mergeCell ref="B4:B5"/>
    <mergeCell ref="C4:C5"/>
    <mergeCell ref="D4:D5"/>
    <mergeCell ref="E4:E5"/>
    <mergeCell ref="F4:F5"/>
    <mergeCell ref="G4:G5"/>
    <mergeCell ref="H4:K4"/>
    <mergeCell ref="L4:L5"/>
    <mergeCell ref="M4:M5"/>
    <mergeCell ref="A1:N1"/>
    <mergeCell ref="A2:N2"/>
    <mergeCell ref="A3:N3"/>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
  <sheetViews>
    <sheetView topLeftCell="A25" workbookViewId="0">
      <selection activeCell="A55" sqref="A55"/>
    </sheetView>
  </sheetViews>
  <sheetFormatPr defaultColWidth="8.7109375" defaultRowHeight="12.75" x14ac:dyDescent="0.2"/>
  <cols>
    <col min="1" max="1" width="8.7109375" style="43"/>
    <col min="2" max="2" width="28.28515625" style="6" bestFit="1" customWidth="1"/>
    <col min="3" max="3" width="29.140625" style="239" bestFit="1" customWidth="1"/>
    <col min="4" max="4" width="8.5703125" style="6" customWidth="1"/>
    <col min="5" max="5" width="7.5703125" style="6" bestFit="1" customWidth="1"/>
    <col min="6" max="6" width="20.85546875" style="6" customWidth="1"/>
    <col min="7" max="7" width="40.42578125" style="6" customWidth="1"/>
    <col min="8" max="10" width="5.5703125" style="27" bestFit="1" customWidth="1"/>
    <col min="11" max="11" width="4.85546875" style="27" bestFit="1" customWidth="1"/>
    <col min="12" max="19" width="5.5703125" style="27" bestFit="1" customWidth="1"/>
    <col min="20" max="20" width="6.7109375" style="32" bestFit="1" customWidth="1"/>
    <col min="21" max="21" width="9.5703125" style="27" bestFit="1" customWidth="1"/>
    <col min="22" max="22" width="16.7109375" style="6" customWidth="1"/>
    <col min="258" max="258" width="28.28515625" bestFit="1" customWidth="1"/>
    <col min="259" max="259" width="26.85546875" bestFit="1" customWidth="1"/>
    <col min="260" max="260" width="7.7109375" bestFit="1" customWidth="1"/>
    <col min="261" max="261" width="6.7109375" bestFit="1" customWidth="1"/>
    <col min="262" max="262" width="17.28515625" bestFit="1" customWidth="1"/>
    <col min="263" max="263" width="33.140625" bestFit="1" customWidth="1"/>
    <col min="264" max="266" width="5.5703125" bestFit="1" customWidth="1"/>
    <col min="267" max="267" width="4.85546875" bestFit="1" customWidth="1"/>
    <col min="268" max="275" width="5.5703125" bestFit="1" customWidth="1"/>
    <col min="276" max="276" width="6.7109375" bestFit="1" customWidth="1"/>
    <col min="277" max="277" width="9.5703125" bestFit="1" customWidth="1"/>
    <col min="278" max="278" width="27.7109375" bestFit="1" customWidth="1"/>
    <col min="514" max="514" width="28.28515625" bestFit="1" customWidth="1"/>
    <col min="515" max="515" width="26.85546875" bestFit="1" customWidth="1"/>
    <col min="516" max="516" width="7.7109375" bestFit="1" customWidth="1"/>
    <col min="517" max="517" width="6.7109375" bestFit="1" customWidth="1"/>
    <col min="518" max="518" width="17.28515625" bestFit="1" customWidth="1"/>
    <col min="519" max="519" width="33.140625" bestFit="1" customWidth="1"/>
    <col min="520" max="522" width="5.5703125" bestFit="1" customWidth="1"/>
    <col min="523" max="523" width="4.85546875" bestFit="1" customWidth="1"/>
    <col min="524" max="531" width="5.5703125" bestFit="1" customWidth="1"/>
    <col min="532" max="532" width="6.7109375" bestFit="1" customWidth="1"/>
    <col min="533" max="533" width="9.5703125" bestFit="1" customWidth="1"/>
    <col min="534" max="534" width="27.7109375" bestFit="1" customWidth="1"/>
    <col min="770" max="770" width="28.28515625" bestFit="1" customWidth="1"/>
    <col min="771" max="771" width="26.85546875" bestFit="1" customWidth="1"/>
    <col min="772" max="772" width="7.7109375" bestFit="1" customWidth="1"/>
    <col min="773" max="773" width="6.7109375" bestFit="1" customWidth="1"/>
    <col min="774" max="774" width="17.28515625" bestFit="1" customWidth="1"/>
    <col min="775" max="775" width="33.140625" bestFit="1" customWidth="1"/>
    <col min="776" max="778" width="5.5703125" bestFit="1" customWidth="1"/>
    <col min="779" max="779" width="4.85546875" bestFit="1" customWidth="1"/>
    <col min="780" max="787" width="5.5703125" bestFit="1" customWidth="1"/>
    <col min="788" max="788" width="6.7109375" bestFit="1" customWidth="1"/>
    <col min="789" max="789" width="9.5703125" bestFit="1" customWidth="1"/>
    <col min="790" max="790" width="27.7109375" bestFit="1" customWidth="1"/>
    <col min="1026" max="1026" width="28.28515625" bestFit="1" customWidth="1"/>
    <col min="1027" max="1027" width="26.85546875" bestFit="1" customWidth="1"/>
    <col min="1028" max="1028" width="7.7109375" bestFit="1" customWidth="1"/>
    <col min="1029" max="1029" width="6.7109375" bestFit="1" customWidth="1"/>
    <col min="1030" max="1030" width="17.28515625" bestFit="1" customWidth="1"/>
    <col min="1031" max="1031" width="33.140625" bestFit="1" customWidth="1"/>
    <col min="1032" max="1034" width="5.5703125" bestFit="1" customWidth="1"/>
    <col min="1035" max="1035" width="4.85546875" bestFit="1" customWidth="1"/>
    <col min="1036" max="1043" width="5.5703125" bestFit="1" customWidth="1"/>
    <col min="1044" max="1044" width="6.7109375" bestFit="1" customWidth="1"/>
    <col min="1045" max="1045" width="9.5703125" bestFit="1" customWidth="1"/>
    <col min="1046" max="1046" width="27.7109375" bestFit="1" customWidth="1"/>
    <col min="1282" max="1282" width="28.28515625" bestFit="1" customWidth="1"/>
    <col min="1283" max="1283" width="26.85546875" bestFit="1" customWidth="1"/>
    <col min="1284" max="1284" width="7.7109375" bestFit="1" customWidth="1"/>
    <col min="1285" max="1285" width="6.7109375" bestFit="1" customWidth="1"/>
    <col min="1286" max="1286" width="17.28515625" bestFit="1" customWidth="1"/>
    <col min="1287" max="1287" width="33.140625" bestFit="1" customWidth="1"/>
    <col min="1288" max="1290" width="5.5703125" bestFit="1" customWidth="1"/>
    <col min="1291" max="1291" width="4.85546875" bestFit="1" customWidth="1"/>
    <col min="1292" max="1299" width="5.5703125" bestFit="1" customWidth="1"/>
    <col min="1300" max="1300" width="6.7109375" bestFit="1" customWidth="1"/>
    <col min="1301" max="1301" width="9.5703125" bestFit="1" customWidth="1"/>
    <col min="1302" max="1302" width="27.7109375" bestFit="1" customWidth="1"/>
    <col min="1538" max="1538" width="28.28515625" bestFit="1" customWidth="1"/>
    <col min="1539" max="1539" width="26.85546875" bestFit="1" customWidth="1"/>
    <col min="1540" max="1540" width="7.7109375" bestFit="1" customWidth="1"/>
    <col min="1541" max="1541" width="6.7109375" bestFit="1" customWidth="1"/>
    <col min="1542" max="1542" width="17.28515625" bestFit="1" customWidth="1"/>
    <col min="1543" max="1543" width="33.140625" bestFit="1" customWidth="1"/>
    <col min="1544" max="1546" width="5.5703125" bestFit="1" customWidth="1"/>
    <col min="1547" max="1547" width="4.85546875" bestFit="1" customWidth="1"/>
    <col min="1548" max="1555" width="5.5703125" bestFit="1" customWidth="1"/>
    <col min="1556" max="1556" width="6.7109375" bestFit="1" customWidth="1"/>
    <col min="1557" max="1557" width="9.5703125" bestFit="1" customWidth="1"/>
    <col min="1558" max="1558" width="27.7109375" bestFit="1" customWidth="1"/>
    <col min="1794" max="1794" width="28.28515625" bestFit="1" customWidth="1"/>
    <col min="1795" max="1795" width="26.85546875" bestFit="1" customWidth="1"/>
    <col min="1796" max="1796" width="7.7109375" bestFit="1" customWidth="1"/>
    <col min="1797" max="1797" width="6.7109375" bestFit="1" customWidth="1"/>
    <col min="1798" max="1798" width="17.28515625" bestFit="1" customWidth="1"/>
    <col min="1799" max="1799" width="33.140625" bestFit="1" customWidth="1"/>
    <col min="1800" max="1802" width="5.5703125" bestFit="1" customWidth="1"/>
    <col min="1803" max="1803" width="4.85546875" bestFit="1" customWidth="1"/>
    <col min="1804" max="1811" width="5.5703125" bestFit="1" customWidth="1"/>
    <col min="1812" max="1812" width="6.7109375" bestFit="1" customWidth="1"/>
    <col min="1813" max="1813" width="9.5703125" bestFit="1" customWidth="1"/>
    <col min="1814" max="1814" width="27.7109375" bestFit="1" customWidth="1"/>
    <col min="2050" max="2050" width="28.28515625" bestFit="1" customWidth="1"/>
    <col min="2051" max="2051" width="26.85546875" bestFit="1" customWidth="1"/>
    <col min="2052" max="2052" width="7.7109375" bestFit="1" customWidth="1"/>
    <col min="2053" max="2053" width="6.7109375" bestFit="1" customWidth="1"/>
    <col min="2054" max="2054" width="17.28515625" bestFit="1" customWidth="1"/>
    <col min="2055" max="2055" width="33.140625" bestFit="1" customWidth="1"/>
    <col min="2056" max="2058" width="5.5703125" bestFit="1" customWidth="1"/>
    <col min="2059" max="2059" width="4.85546875" bestFit="1" customWidth="1"/>
    <col min="2060" max="2067" width="5.5703125" bestFit="1" customWidth="1"/>
    <col min="2068" max="2068" width="6.7109375" bestFit="1" customWidth="1"/>
    <col min="2069" max="2069" width="9.5703125" bestFit="1" customWidth="1"/>
    <col min="2070" max="2070" width="27.7109375" bestFit="1" customWidth="1"/>
    <col min="2306" max="2306" width="28.28515625" bestFit="1" customWidth="1"/>
    <col min="2307" max="2307" width="26.85546875" bestFit="1" customWidth="1"/>
    <col min="2308" max="2308" width="7.7109375" bestFit="1" customWidth="1"/>
    <col min="2309" max="2309" width="6.7109375" bestFit="1" customWidth="1"/>
    <col min="2310" max="2310" width="17.28515625" bestFit="1" customWidth="1"/>
    <col min="2311" max="2311" width="33.140625" bestFit="1" customWidth="1"/>
    <col min="2312" max="2314" width="5.5703125" bestFit="1" customWidth="1"/>
    <col min="2315" max="2315" width="4.85546875" bestFit="1" customWidth="1"/>
    <col min="2316" max="2323" width="5.5703125" bestFit="1" customWidth="1"/>
    <col min="2324" max="2324" width="6.7109375" bestFit="1" customWidth="1"/>
    <col min="2325" max="2325" width="9.5703125" bestFit="1" customWidth="1"/>
    <col min="2326" max="2326" width="27.7109375" bestFit="1" customWidth="1"/>
    <col min="2562" max="2562" width="28.28515625" bestFit="1" customWidth="1"/>
    <col min="2563" max="2563" width="26.85546875" bestFit="1" customWidth="1"/>
    <col min="2564" max="2564" width="7.7109375" bestFit="1" customWidth="1"/>
    <col min="2565" max="2565" width="6.7109375" bestFit="1" customWidth="1"/>
    <col min="2566" max="2566" width="17.28515625" bestFit="1" customWidth="1"/>
    <col min="2567" max="2567" width="33.140625" bestFit="1" customWidth="1"/>
    <col min="2568" max="2570" width="5.5703125" bestFit="1" customWidth="1"/>
    <col min="2571" max="2571" width="4.85546875" bestFit="1" customWidth="1"/>
    <col min="2572" max="2579" width="5.5703125" bestFit="1" customWidth="1"/>
    <col min="2580" max="2580" width="6.7109375" bestFit="1" customWidth="1"/>
    <col min="2581" max="2581" width="9.5703125" bestFit="1" customWidth="1"/>
    <col min="2582" max="2582" width="27.7109375" bestFit="1" customWidth="1"/>
    <col min="2818" max="2818" width="28.28515625" bestFit="1" customWidth="1"/>
    <col min="2819" max="2819" width="26.85546875" bestFit="1" customWidth="1"/>
    <col min="2820" max="2820" width="7.7109375" bestFit="1" customWidth="1"/>
    <col min="2821" max="2821" width="6.7109375" bestFit="1" customWidth="1"/>
    <col min="2822" max="2822" width="17.28515625" bestFit="1" customWidth="1"/>
    <col min="2823" max="2823" width="33.140625" bestFit="1" customWidth="1"/>
    <col min="2824" max="2826" width="5.5703125" bestFit="1" customWidth="1"/>
    <col min="2827" max="2827" width="4.85546875" bestFit="1" customWidth="1"/>
    <col min="2828" max="2835" width="5.5703125" bestFit="1" customWidth="1"/>
    <col min="2836" max="2836" width="6.7109375" bestFit="1" customWidth="1"/>
    <col min="2837" max="2837" width="9.5703125" bestFit="1" customWidth="1"/>
    <col min="2838" max="2838" width="27.7109375" bestFit="1" customWidth="1"/>
    <col min="3074" max="3074" width="28.28515625" bestFit="1" customWidth="1"/>
    <col min="3075" max="3075" width="26.85546875" bestFit="1" customWidth="1"/>
    <col min="3076" max="3076" width="7.7109375" bestFit="1" customWidth="1"/>
    <col min="3077" max="3077" width="6.7109375" bestFit="1" customWidth="1"/>
    <col min="3078" max="3078" width="17.28515625" bestFit="1" customWidth="1"/>
    <col min="3079" max="3079" width="33.140625" bestFit="1" customWidth="1"/>
    <col min="3080" max="3082" width="5.5703125" bestFit="1" customWidth="1"/>
    <col min="3083" max="3083" width="4.85546875" bestFit="1" customWidth="1"/>
    <col min="3084" max="3091" width="5.5703125" bestFit="1" customWidth="1"/>
    <col min="3092" max="3092" width="6.7109375" bestFit="1" customWidth="1"/>
    <col min="3093" max="3093" width="9.5703125" bestFit="1" customWidth="1"/>
    <col min="3094" max="3094" width="27.7109375" bestFit="1" customWidth="1"/>
    <col min="3330" max="3330" width="28.28515625" bestFit="1" customWidth="1"/>
    <col min="3331" max="3331" width="26.85546875" bestFit="1" customWidth="1"/>
    <col min="3332" max="3332" width="7.7109375" bestFit="1" customWidth="1"/>
    <col min="3333" max="3333" width="6.7109375" bestFit="1" customWidth="1"/>
    <col min="3334" max="3334" width="17.28515625" bestFit="1" customWidth="1"/>
    <col min="3335" max="3335" width="33.140625" bestFit="1" customWidth="1"/>
    <col min="3336" max="3338" width="5.5703125" bestFit="1" customWidth="1"/>
    <col min="3339" max="3339" width="4.85546875" bestFit="1" customWidth="1"/>
    <col min="3340" max="3347" width="5.5703125" bestFit="1" customWidth="1"/>
    <col min="3348" max="3348" width="6.7109375" bestFit="1" customWidth="1"/>
    <col min="3349" max="3349" width="9.5703125" bestFit="1" customWidth="1"/>
    <col min="3350" max="3350" width="27.7109375" bestFit="1" customWidth="1"/>
    <col min="3586" max="3586" width="28.28515625" bestFit="1" customWidth="1"/>
    <col min="3587" max="3587" width="26.85546875" bestFit="1" customWidth="1"/>
    <col min="3588" max="3588" width="7.7109375" bestFit="1" customWidth="1"/>
    <col min="3589" max="3589" width="6.7109375" bestFit="1" customWidth="1"/>
    <col min="3590" max="3590" width="17.28515625" bestFit="1" customWidth="1"/>
    <col min="3591" max="3591" width="33.140625" bestFit="1" customWidth="1"/>
    <col min="3592" max="3594" width="5.5703125" bestFit="1" customWidth="1"/>
    <col min="3595" max="3595" width="4.85546875" bestFit="1" customWidth="1"/>
    <col min="3596" max="3603" width="5.5703125" bestFit="1" customWidth="1"/>
    <col min="3604" max="3604" width="6.7109375" bestFit="1" customWidth="1"/>
    <col min="3605" max="3605" width="9.5703125" bestFit="1" customWidth="1"/>
    <col min="3606" max="3606" width="27.7109375" bestFit="1" customWidth="1"/>
    <col min="3842" max="3842" width="28.28515625" bestFit="1" customWidth="1"/>
    <col min="3843" max="3843" width="26.85546875" bestFit="1" customWidth="1"/>
    <col min="3844" max="3844" width="7.7109375" bestFit="1" customWidth="1"/>
    <col min="3845" max="3845" width="6.7109375" bestFit="1" customWidth="1"/>
    <col min="3846" max="3846" width="17.28515625" bestFit="1" customWidth="1"/>
    <col min="3847" max="3847" width="33.140625" bestFit="1" customWidth="1"/>
    <col min="3848" max="3850" width="5.5703125" bestFit="1" customWidth="1"/>
    <col min="3851" max="3851" width="4.85546875" bestFit="1" customWidth="1"/>
    <col min="3852" max="3859" width="5.5703125" bestFit="1" customWidth="1"/>
    <col min="3860" max="3860" width="6.7109375" bestFit="1" customWidth="1"/>
    <col min="3861" max="3861" width="9.5703125" bestFit="1" customWidth="1"/>
    <col min="3862" max="3862" width="27.7109375" bestFit="1" customWidth="1"/>
    <col min="4098" max="4098" width="28.28515625" bestFit="1" customWidth="1"/>
    <col min="4099" max="4099" width="26.85546875" bestFit="1" customWidth="1"/>
    <col min="4100" max="4100" width="7.7109375" bestFit="1" customWidth="1"/>
    <col min="4101" max="4101" width="6.7109375" bestFit="1" customWidth="1"/>
    <col min="4102" max="4102" width="17.28515625" bestFit="1" customWidth="1"/>
    <col min="4103" max="4103" width="33.140625" bestFit="1" customWidth="1"/>
    <col min="4104" max="4106" width="5.5703125" bestFit="1" customWidth="1"/>
    <col min="4107" max="4107" width="4.85546875" bestFit="1" customWidth="1"/>
    <col min="4108" max="4115" width="5.5703125" bestFit="1" customWidth="1"/>
    <col min="4116" max="4116" width="6.7109375" bestFit="1" customWidth="1"/>
    <col min="4117" max="4117" width="9.5703125" bestFit="1" customWidth="1"/>
    <col min="4118" max="4118" width="27.7109375" bestFit="1" customWidth="1"/>
    <col min="4354" max="4354" width="28.28515625" bestFit="1" customWidth="1"/>
    <col min="4355" max="4355" width="26.85546875" bestFit="1" customWidth="1"/>
    <col min="4356" max="4356" width="7.7109375" bestFit="1" customWidth="1"/>
    <col min="4357" max="4357" width="6.7109375" bestFit="1" customWidth="1"/>
    <col min="4358" max="4358" width="17.28515625" bestFit="1" customWidth="1"/>
    <col min="4359" max="4359" width="33.140625" bestFit="1" customWidth="1"/>
    <col min="4360" max="4362" width="5.5703125" bestFit="1" customWidth="1"/>
    <col min="4363" max="4363" width="4.85546875" bestFit="1" customWidth="1"/>
    <col min="4364" max="4371" width="5.5703125" bestFit="1" customWidth="1"/>
    <col min="4372" max="4372" width="6.7109375" bestFit="1" customWidth="1"/>
    <col min="4373" max="4373" width="9.5703125" bestFit="1" customWidth="1"/>
    <col min="4374" max="4374" width="27.7109375" bestFit="1" customWidth="1"/>
    <col min="4610" max="4610" width="28.28515625" bestFit="1" customWidth="1"/>
    <col min="4611" max="4611" width="26.85546875" bestFit="1" customWidth="1"/>
    <col min="4612" max="4612" width="7.7109375" bestFit="1" customWidth="1"/>
    <col min="4613" max="4613" width="6.7109375" bestFit="1" customWidth="1"/>
    <col min="4614" max="4614" width="17.28515625" bestFit="1" customWidth="1"/>
    <col min="4615" max="4615" width="33.140625" bestFit="1" customWidth="1"/>
    <col min="4616" max="4618" width="5.5703125" bestFit="1" customWidth="1"/>
    <col min="4619" max="4619" width="4.85546875" bestFit="1" customWidth="1"/>
    <col min="4620" max="4627" width="5.5703125" bestFit="1" customWidth="1"/>
    <col min="4628" max="4628" width="6.7109375" bestFit="1" customWidth="1"/>
    <col min="4629" max="4629" width="9.5703125" bestFit="1" customWidth="1"/>
    <col min="4630" max="4630" width="27.7109375" bestFit="1" customWidth="1"/>
    <col min="4866" max="4866" width="28.28515625" bestFit="1" customWidth="1"/>
    <col min="4867" max="4867" width="26.85546875" bestFit="1" customWidth="1"/>
    <col min="4868" max="4868" width="7.7109375" bestFit="1" customWidth="1"/>
    <col min="4869" max="4869" width="6.7109375" bestFit="1" customWidth="1"/>
    <col min="4870" max="4870" width="17.28515625" bestFit="1" customWidth="1"/>
    <col min="4871" max="4871" width="33.140625" bestFit="1" customWidth="1"/>
    <col min="4872" max="4874" width="5.5703125" bestFit="1" customWidth="1"/>
    <col min="4875" max="4875" width="4.85546875" bestFit="1" customWidth="1"/>
    <col min="4876" max="4883" width="5.5703125" bestFit="1" customWidth="1"/>
    <col min="4884" max="4884" width="6.7109375" bestFit="1" customWidth="1"/>
    <col min="4885" max="4885" width="9.5703125" bestFit="1" customWidth="1"/>
    <col min="4886" max="4886" width="27.7109375" bestFit="1" customWidth="1"/>
    <col min="5122" max="5122" width="28.28515625" bestFit="1" customWidth="1"/>
    <col min="5123" max="5123" width="26.85546875" bestFit="1" customWidth="1"/>
    <col min="5124" max="5124" width="7.7109375" bestFit="1" customWidth="1"/>
    <col min="5125" max="5125" width="6.7109375" bestFit="1" customWidth="1"/>
    <col min="5126" max="5126" width="17.28515625" bestFit="1" customWidth="1"/>
    <col min="5127" max="5127" width="33.140625" bestFit="1" customWidth="1"/>
    <col min="5128" max="5130" width="5.5703125" bestFit="1" customWidth="1"/>
    <col min="5131" max="5131" width="4.85546875" bestFit="1" customWidth="1"/>
    <col min="5132" max="5139" width="5.5703125" bestFit="1" customWidth="1"/>
    <col min="5140" max="5140" width="6.7109375" bestFit="1" customWidth="1"/>
    <col min="5141" max="5141" width="9.5703125" bestFit="1" customWidth="1"/>
    <col min="5142" max="5142" width="27.7109375" bestFit="1" customWidth="1"/>
    <col min="5378" max="5378" width="28.28515625" bestFit="1" customWidth="1"/>
    <col min="5379" max="5379" width="26.85546875" bestFit="1" customWidth="1"/>
    <col min="5380" max="5380" width="7.7109375" bestFit="1" customWidth="1"/>
    <col min="5381" max="5381" width="6.7109375" bestFit="1" customWidth="1"/>
    <col min="5382" max="5382" width="17.28515625" bestFit="1" customWidth="1"/>
    <col min="5383" max="5383" width="33.140625" bestFit="1" customWidth="1"/>
    <col min="5384" max="5386" width="5.5703125" bestFit="1" customWidth="1"/>
    <col min="5387" max="5387" width="4.85546875" bestFit="1" customWidth="1"/>
    <col min="5388" max="5395" width="5.5703125" bestFit="1" customWidth="1"/>
    <col min="5396" max="5396" width="6.7109375" bestFit="1" customWidth="1"/>
    <col min="5397" max="5397" width="9.5703125" bestFit="1" customWidth="1"/>
    <col min="5398" max="5398" width="27.7109375" bestFit="1" customWidth="1"/>
    <col min="5634" max="5634" width="28.28515625" bestFit="1" customWidth="1"/>
    <col min="5635" max="5635" width="26.85546875" bestFit="1" customWidth="1"/>
    <col min="5636" max="5636" width="7.7109375" bestFit="1" customWidth="1"/>
    <col min="5637" max="5637" width="6.7109375" bestFit="1" customWidth="1"/>
    <col min="5638" max="5638" width="17.28515625" bestFit="1" customWidth="1"/>
    <col min="5639" max="5639" width="33.140625" bestFit="1" customWidth="1"/>
    <col min="5640" max="5642" width="5.5703125" bestFit="1" customWidth="1"/>
    <col min="5643" max="5643" width="4.85546875" bestFit="1" customWidth="1"/>
    <col min="5644" max="5651" width="5.5703125" bestFit="1" customWidth="1"/>
    <col min="5652" max="5652" width="6.7109375" bestFit="1" customWidth="1"/>
    <col min="5653" max="5653" width="9.5703125" bestFit="1" customWidth="1"/>
    <col min="5654" max="5654" width="27.7109375" bestFit="1" customWidth="1"/>
    <col min="5890" max="5890" width="28.28515625" bestFit="1" customWidth="1"/>
    <col min="5891" max="5891" width="26.85546875" bestFit="1" customWidth="1"/>
    <col min="5892" max="5892" width="7.7109375" bestFit="1" customWidth="1"/>
    <col min="5893" max="5893" width="6.7109375" bestFit="1" customWidth="1"/>
    <col min="5894" max="5894" width="17.28515625" bestFit="1" customWidth="1"/>
    <col min="5895" max="5895" width="33.140625" bestFit="1" customWidth="1"/>
    <col min="5896" max="5898" width="5.5703125" bestFit="1" customWidth="1"/>
    <col min="5899" max="5899" width="4.85546875" bestFit="1" customWidth="1"/>
    <col min="5900" max="5907" width="5.5703125" bestFit="1" customWidth="1"/>
    <col min="5908" max="5908" width="6.7109375" bestFit="1" customWidth="1"/>
    <col min="5909" max="5909" width="9.5703125" bestFit="1" customWidth="1"/>
    <col min="5910" max="5910" width="27.7109375" bestFit="1" customWidth="1"/>
    <col min="6146" max="6146" width="28.28515625" bestFit="1" customWidth="1"/>
    <col min="6147" max="6147" width="26.85546875" bestFit="1" customWidth="1"/>
    <col min="6148" max="6148" width="7.7109375" bestFit="1" customWidth="1"/>
    <col min="6149" max="6149" width="6.7109375" bestFit="1" customWidth="1"/>
    <col min="6150" max="6150" width="17.28515625" bestFit="1" customWidth="1"/>
    <col min="6151" max="6151" width="33.140625" bestFit="1" customWidth="1"/>
    <col min="6152" max="6154" width="5.5703125" bestFit="1" customWidth="1"/>
    <col min="6155" max="6155" width="4.85546875" bestFit="1" customWidth="1"/>
    <col min="6156" max="6163" width="5.5703125" bestFit="1" customWidth="1"/>
    <col min="6164" max="6164" width="6.7109375" bestFit="1" customWidth="1"/>
    <col min="6165" max="6165" width="9.5703125" bestFit="1" customWidth="1"/>
    <col min="6166" max="6166" width="27.7109375" bestFit="1" customWidth="1"/>
    <col min="6402" max="6402" width="28.28515625" bestFit="1" customWidth="1"/>
    <col min="6403" max="6403" width="26.85546875" bestFit="1" customWidth="1"/>
    <col min="6404" max="6404" width="7.7109375" bestFit="1" customWidth="1"/>
    <col min="6405" max="6405" width="6.7109375" bestFit="1" customWidth="1"/>
    <col min="6406" max="6406" width="17.28515625" bestFit="1" customWidth="1"/>
    <col min="6407" max="6407" width="33.140625" bestFit="1" customWidth="1"/>
    <col min="6408" max="6410" width="5.5703125" bestFit="1" customWidth="1"/>
    <col min="6411" max="6411" width="4.85546875" bestFit="1" customWidth="1"/>
    <col min="6412" max="6419" width="5.5703125" bestFit="1" customWidth="1"/>
    <col min="6420" max="6420" width="6.7109375" bestFit="1" customWidth="1"/>
    <col min="6421" max="6421" width="9.5703125" bestFit="1" customWidth="1"/>
    <col min="6422" max="6422" width="27.7109375" bestFit="1" customWidth="1"/>
    <col min="6658" max="6658" width="28.28515625" bestFit="1" customWidth="1"/>
    <col min="6659" max="6659" width="26.85546875" bestFit="1" customWidth="1"/>
    <col min="6660" max="6660" width="7.7109375" bestFit="1" customWidth="1"/>
    <col min="6661" max="6661" width="6.7109375" bestFit="1" customWidth="1"/>
    <col min="6662" max="6662" width="17.28515625" bestFit="1" customWidth="1"/>
    <col min="6663" max="6663" width="33.140625" bestFit="1" customWidth="1"/>
    <col min="6664" max="6666" width="5.5703125" bestFit="1" customWidth="1"/>
    <col min="6667" max="6667" width="4.85546875" bestFit="1" customWidth="1"/>
    <col min="6668" max="6675" width="5.5703125" bestFit="1" customWidth="1"/>
    <col min="6676" max="6676" width="6.7109375" bestFit="1" customWidth="1"/>
    <col min="6677" max="6677" width="9.5703125" bestFit="1" customWidth="1"/>
    <col min="6678" max="6678" width="27.7109375" bestFit="1" customWidth="1"/>
    <col min="6914" max="6914" width="28.28515625" bestFit="1" customWidth="1"/>
    <col min="6915" max="6915" width="26.85546875" bestFit="1" customWidth="1"/>
    <col min="6916" max="6916" width="7.7109375" bestFit="1" customWidth="1"/>
    <col min="6917" max="6917" width="6.7109375" bestFit="1" customWidth="1"/>
    <col min="6918" max="6918" width="17.28515625" bestFit="1" customWidth="1"/>
    <col min="6919" max="6919" width="33.140625" bestFit="1" customWidth="1"/>
    <col min="6920" max="6922" width="5.5703125" bestFit="1" customWidth="1"/>
    <col min="6923" max="6923" width="4.85546875" bestFit="1" customWidth="1"/>
    <col min="6924" max="6931" width="5.5703125" bestFit="1" customWidth="1"/>
    <col min="6932" max="6932" width="6.7109375" bestFit="1" customWidth="1"/>
    <col min="6933" max="6933" width="9.5703125" bestFit="1" customWidth="1"/>
    <col min="6934" max="6934" width="27.7109375" bestFit="1" customWidth="1"/>
    <col min="7170" max="7170" width="28.28515625" bestFit="1" customWidth="1"/>
    <col min="7171" max="7171" width="26.85546875" bestFit="1" customWidth="1"/>
    <col min="7172" max="7172" width="7.7109375" bestFit="1" customWidth="1"/>
    <col min="7173" max="7173" width="6.7109375" bestFit="1" customWidth="1"/>
    <col min="7174" max="7174" width="17.28515625" bestFit="1" customWidth="1"/>
    <col min="7175" max="7175" width="33.140625" bestFit="1" customWidth="1"/>
    <col min="7176" max="7178" width="5.5703125" bestFit="1" customWidth="1"/>
    <col min="7179" max="7179" width="4.85546875" bestFit="1" customWidth="1"/>
    <col min="7180" max="7187" width="5.5703125" bestFit="1" customWidth="1"/>
    <col min="7188" max="7188" width="6.7109375" bestFit="1" customWidth="1"/>
    <col min="7189" max="7189" width="9.5703125" bestFit="1" customWidth="1"/>
    <col min="7190" max="7190" width="27.7109375" bestFit="1" customWidth="1"/>
    <col min="7426" max="7426" width="28.28515625" bestFit="1" customWidth="1"/>
    <col min="7427" max="7427" width="26.85546875" bestFit="1" customWidth="1"/>
    <col min="7428" max="7428" width="7.7109375" bestFit="1" customWidth="1"/>
    <col min="7429" max="7429" width="6.7109375" bestFit="1" customWidth="1"/>
    <col min="7430" max="7430" width="17.28515625" bestFit="1" customWidth="1"/>
    <col min="7431" max="7431" width="33.140625" bestFit="1" customWidth="1"/>
    <col min="7432" max="7434" width="5.5703125" bestFit="1" customWidth="1"/>
    <col min="7435" max="7435" width="4.85546875" bestFit="1" customWidth="1"/>
    <col min="7436" max="7443" width="5.5703125" bestFit="1" customWidth="1"/>
    <col min="7444" max="7444" width="6.7109375" bestFit="1" customWidth="1"/>
    <col min="7445" max="7445" width="9.5703125" bestFit="1" customWidth="1"/>
    <col min="7446" max="7446" width="27.7109375" bestFit="1" customWidth="1"/>
    <col min="7682" max="7682" width="28.28515625" bestFit="1" customWidth="1"/>
    <col min="7683" max="7683" width="26.85546875" bestFit="1" customWidth="1"/>
    <col min="7684" max="7684" width="7.7109375" bestFit="1" customWidth="1"/>
    <col min="7685" max="7685" width="6.7109375" bestFit="1" customWidth="1"/>
    <col min="7686" max="7686" width="17.28515625" bestFit="1" customWidth="1"/>
    <col min="7687" max="7687" width="33.140625" bestFit="1" customWidth="1"/>
    <col min="7688" max="7690" width="5.5703125" bestFit="1" customWidth="1"/>
    <col min="7691" max="7691" width="4.85546875" bestFit="1" customWidth="1"/>
    <col min="7692" max="7699" width="5.5703125" bestFit="1" customWidth="1"/>
    <col min="7700" max="7700" width="6.7109375" bestFit="1" customWidth="1"/>
    <col min="7701" max="7701" width="9.5703125" bestFit="1" customWidth="1"/>
    <col min="7702" max="7702" width="27.7109375" bestFit="1" customWidth="1"/>
    <col min="7938" max="7938" width="28.28515625" bestFit="1" customWidth="1"/>
    <col min="7939" max="7939" width="26.85546875" bestFit="1" customWidth="1"/>
    <col min="7940" max="7940" width="7.7109375" bestFit="1" customWidth="1"/>
    <col min="7941" max="7941" width="6.7109375" bestFit="1" customWidth="1"/>
    <col min="7942" max="7942" width="17.28515625" bestFit="1" customWidth="1"/>
    <col min="7943" max="7943" width="33.140625" bestFit="1" customWidth="1"/>
    <col min="7944" max="7946" width="5.5703125" bestFit="1" customWidth="1"/>
    <col min="7947" max="7947" width="4.85546875" bestFit="1" customWidth="1"/>
    <col min="7948" max="7955" width="5.5703125" bestFit="1" customWidth="1"/>
    <col min="7956" max="7956" width="6.7109375" bestFit="1" customWidth="1"/>
    <col min="7957" max="7957" width="9.5703125" bestFit="1" customWidth="1"/>
    <col min="7958" max="7958" width="27.7109375" bestFit="1" customWidth="1"/>
    <col min="8194" max="8194" width="28.28515625" bestFit="1" customWidth="1"/>
    <col min="8195" max="8195" width="26.85546875" bestFit="1" customWidth="1"/>
    <col min="8196" max="8196" width="7.7109375" bestFit="1" customWidth="1"/>
    <col min="8197" max="8197" width="6.7109375" bestFit="1" customWidth="1"/>
    <col min="8198" max="8198" width="17.28515625" bestFit="1" customWidth="1"/>
    <col min="8199" max="8199" width="33.140625" bestFit="1" customWidth="1"/>
    <col min="8200" max="8202" width="5.5703125" bestFit="1" customWidth="1"/>
    <col min="8203" max="8203" width="4.85546875" bestFit="1" customWidth="1"/>
    <col min="8204" max="8211" width="5.5703125" bestFit="1" customWidth="1"/>
    <col min="8212" max="8212" width="6.7109375" bestFit="1" customWidth="1"/>
    <col min="8213" max="8213" width="9.5703125" bestFit="1" customWidth="1"/>
    <col min="8214" max="8214" width="27.7109375" bestFit="1" customWidth="1"/>
    <col min="8450" max="8450" width="28.28515625" bestFit="1" customWidth="1"/>
    <col min="8451" max="8451" width="26.85546875" bestFit="1" customWidth="1"/>
    <col min="8452" max="8452" width="7.7109375" bestFit="1" customWidth="1"/>
    <col min="8453" max="8453" width="6.7109375" bestFit="1" customWidth="1"/>
    <col min="8454" max="8454" width="17.28515625" bestFit="1" customWidth="1"/>
    <col min="8455" max="8455" width="33.140625" bestFit="1" customWidth="1"/>
    <col min="8456" max="8458" width="5.5703125" bestFit="1" customWidth="1"/>
    <col min="8459" max="8459" width="4.85546875" bestFit="1" customWidth="1"/>
    <col min="8460" max="8467" width="5.5703125" bestFit="1" customWidth="1"/>
    <col min="8468" max="8468" width="6.7109375" bestFit="1" customWidth="1"/>
    <col min="8469" max="8469" width="9.5703125" bestFit="1" customWidth="1"/>
    <col min="8470" max="8470" width="27.7109375" bestFit="1" customWidth="1"/>
    <col min="8706" max="8706" width="28.28515625" bestFit="1" customWidth="1"/>
    <col min="8707" max="8707" width="26.85546875" bestFit="1" customWidth="1"/>
    <col min="8708" max="8708" width="7.7109375" bestFit="1" customWidth="1"/>
    <col min="8709" max="8709" width="6.7109375" bestFit="1" customWidth="1"/>
    <col min="8710" max="8710" width="17.28515625" bestFit="1" customWidth="1"/>
    <col min="8711" max="8711" width="33.140625" bestFit="1" customWidth="1"/>
    <col min="8712" max="8714" width="5.5703125" bestFit="1" customWidth="1"/>
    <col min="8715" max="8715" width="4.85546875" bestFit="1" customWidth="1"/>
    <col min="8716" max="8723" width="5.5703125" bestFit="1" customWidth="1"/>
    <col min="8724" max="8724" width="6.7109375" bestFit="1" customWidth="1"/>
    <col min="8725" max="8725" width="9.5703125" bestFit="1" customWidth="1"/>
    <col min="8726" max="8726" width="27.7109375" bestFit="1" customWidth="1"/>
    <col min="8962" max="8962" width="28.28515625" bestFit="1" customWidth="1"/>
    <col min="8963" max="8963" width="26.85546875" bestFit="1" customWidth="1"/>
    <col min="8964" max="8964" width="7.7109375" bestFit="1" customWidth="1"/>
    <col min="8965" max="8965" width="6.7109375" bestFit="1" customWidth="1"/>
    <col min="8966" max="8966" width="17.28515625" bestFit="1" customWidth="1"/>
    <col min="8967" max="8967" width="33.140625" bestFit="1" customWidth="1"/>
    <col min="8968" max="8970" width="5.5703125" bestFit="1" customWidth="1"/>
    <col min="8971" max="8971" width="4.85546875" bestFit="1" customWidth="1"/>
    <col min="8972" max="8979" width="5.5703125" bestFit="1" customWidth="1"/>
    <col min="8980" max="8980" width="6.7109375" bestFit="1" customWidth="1"/>
    <col min="8981" max="8981" width="9.5703125" bestFit="1" customWidth="1"/>
    <col min="8982" max="8982" width="27.7109375" bestFit="1" customWidth="1"/>
    <col min="9218" max="9218" width="28.28515625" bestFit="1" customWidth="1"/>
    <col min="9219" max="9219" width="26.85546875" bestFit="1" customWidth="1"/>
    <col min="9220" max="9220" width="7.7109375" bestFit="1" customWidth="1"/>
    <col min="9221" max="9221" width="6.7109375" bestFit="1" customWidth="1"/>
    <col min="9222" max="9222" width="17.28515625" bestFit="1" customWidth="1"/>
    <col min="9223" max="9223" width="33.140625" bestFit="1" customWidth="1"/>
    <col min="9224" max="9226" width="5.5703125" bestFit="1" customWidth="1"/>
    <col min="9227" max="9227" width="4.85546875" bestFit="1" customWidth="1"/>
    <col min="9228" max="9235" width="5.5703125" bestFit="1" customWidth="1"/>
    <col min="9236" max="9236" width="6.7109375" bestFit="1" customWidth="1"/>
    <col min="9237" max="9237" width="9.5703125" bestFit="1" customWidth="1"/>
    <col min="9238" max="9238" width="27.7109375" bestFit="1" customWidth="1"/>
    <col min="9474" max="9474" width="28.28515625" bestFit="1" customWidth="1"/>
    <col min="9475" max="9475" width="26.85546875" bestFit="1" customWidth="1"/>
    <col min="9476" max="9476" width="7.7109375" bestFit="1" customWidth="1"/>
    <col min="9477" max="9477" width="6.7109375" bestFit="1" customWidth="1"/>
    <col min="9478" max="9478" width="17.28515625" bestFit="1" customWidth="1"/>
    <col min="9479" max="9479" width="33.140625" bestFit="1" customWidth="1"/>
    <col min="9480" max="9482" width="5.5703125" bestFit="1" customWidth="1"/>
    <col min="9483" max="9483" width="4.85546875" bestFit="1" customWidth="1"/>
    <col min="9484" max="9491" width="5.5703125" bestFit="1" customWidth="1"/>
    <col min="9492" max="9492" width="6.7109375" bestFit="1" customWidth="1"/>
    <col min="9493" max="9493" width="9.5703125" bestFit="1" customWidth="1"/>
    <col min="9494" max="9494" width="27.7109375" bestFit="1" customWidth="1"/>
    <col min="9730" max="9730" width="28.28515625" bestFit="1" customWidth="1"/>
    <col min="9731" max="9731" width="26.85546875" bestFit="1" customWidth="1"/>
    <col min="9732" max="9732" width="7.7109375" bestFit="1" customWidth="1"/>
    <col min="9733" max="9733" width="6.7109375" bestFit="1" customWidth="1"/>
    <col min="9734" max="9734" width="17.28515625" bestFit="1" customWidth="1"/>
    <col min="9735" max="9735" width="33.140625" bestFit="1" customWidth="1"/>
    <col min="9736" max="9738" width="5.5703125" bestFit="1" customWidth="1"/>
    <col min="9739" max="9739" width="4.85546875" bestFit="1" customWidth="1"/>
    <col min="9740" max="9747" width="5.5703125" bestFit="1" customWidth="1"/>
    <col min="9748" max="9748" width="6.7109375" bestFit="1" customWidth="1"/>
    <col min="9749" max="9749" width="9.5703125" bestFit="1" customWidth="1"/>
    <col min="9750" max="9750" width="27.7109375" bestFit="1" customWidth="1"/>
    <col min="9986" max="9986" width="28.28515625" bestFit="1" customWidth="1"/>
    <col min="9987" max="9987" width="26.85546875" bestFit="1" customWidth="1"/>
    <col min="9988" max="9988" width="7.7109375" bestFit="1" customWidth="1"/>
    <col min="9989" max="9989" width="6.7109375" bestFit="1" customWidth="1"/>
    <col min="9990" max="9990" width="17.28515625" bestFit="1" customWidth="1"/>
    <col min="9991" max="9991" width="33.140625" bestFit="1" customWidth="1"/>
    <col min="9992" max="9994" width="5.5703125" bestFit="1" customWidth="1"/>
    <col min="9995" max="9995" width="4.85546875" bestFit="1" customWidth="1"/>
    <col min="9996" max="10003" width="5.5703125" bestFit="1" customWidth="1"/>
    <col min="10004" max="10004" width="6.7109375" bestFit="1" customWidth="1"/>
    <col min="10005" max="10005" width="9.5703125" bestFit="1" customWidth="1"/>
    <col min="10006" max="10006" width="27.7109375" bestFit="1" customWidth="1"/>
    <col min="10242" max="10242" width="28.28515625" bestFit="1" customWidth="1"/>
    <col min="10243" max="10243" width="26.85546875" bestFit="1" customWidth="1"/>
    <col min="10244" max="10244" width="7.7109375" bestFit="1" customWidth="1"/>
    <col min="10245" max="10245" width="6.7109375" bestFit="1" customWidth="1"/>
    <col min="10246" max="10246" width="17.28515625" bestFit="1" customWidth="1"/>
    <col min="10247" max="10247" width="33.140625" bestFit="1" customWidth="1"/>
    <col min="10248" max="10250" width="5.5703125" bestFit="1" customWidth="1"/>
    <col min="10251" max="10251" width="4.85546875" bestFit="1" customWidth="1"/>
    <col min="10252" max="10259" width="5.5703125" bestFit="1" customWidth="1"/>
    <col min="10260" max="10260" width="6.7109375" bestFit="1" customWidth="1"/>
    <col min="10261" max="10261" width="9.5703125" bestFit="1" customWidth="1"/>
    <col min="10262" max="10262" width="27.7109375" bestFit="1" customWidth="1"/>
    <col min="10498" max="10498" width="28.28515625" bestFit="1" customWidth="1"/>
    <col min="10499" max="10499" width="26.85546875" bestFit="1" customWidth="1"/>
    <col min="10500" max="10500" width="7.7109375" bestFit="1" customWidth="1"/>
    <col min="10501" max="10501" width="6.7109375" bestFit="1" customWidth="1"/>
    <col min="10502" max="10502" width="17.28515625" bestFit="1" customWidth="1"/>
    <col min="10503" max="10503" width="33.140625" bestFit="1" customWidth="1"/>
    <col min="10504" max="10506" width="5.5703125" bestFit="1" customWidth="1"/>
    <col min="10507" max="10507" width="4.85546875" bestFit="1" customWidth="1"/>
    <col min="10508" max="10515" width="5.5703125" bestFit="1" customWidth="1"/>
    <col min="10516" max="10516" width="6.7109375" bestFit="1" customWidth="1"/>
    <col min="10517" max="10517" width="9.5703125" bestFit="1" customWidth="1"/>
    <col min="10518" max="10518" width="27.7109375" bestFit="1" customWidth="1"/>
    <col min="10754" max="10754" width="28.28515625" bestFit="1" customWidth="1"/>
    <col min="10755" max="10755" width="26.85546875" bestFit="1" customWidth="1"/>
    <col min="10756" max="10756" width="7.7109375" bestFit="1" customWidth="1"/>
    <col min="10757" max="10757" width="6.7109375" bestFit="1" customWidth="1"/>
    <col min="10758" max="10758" width="17.28515625" bestFit="1" customWidth="1"/>
    <col min="10759" max="10759" width="33.140625" bestFit="1" customWidth="1"/>
    <col min="10760" max="10762" width="5.5703125" bestFit="1" customWidth="1"/>
    <col min="10763" max="10763" width="4.85546875" bestFit="1" customWidth="1"/>
    <col min="10764" max="10771" width="5.5703125" bestFit="1" customWidth="1"/>
    <col min="10772" max="10772" width="6.7109375" bestFit="1" customWidth="1"/>
    <col min="10773" max="10773" width="9.5703125" bestFit="1" customWidth="1"/>
    <col min="10774" max="10774" width="27.7109375" bestFit="1" customWidth="1"/>
    <col min="11010" max="11010" width="28.28515625" bestFit="1" customWidth="1"/>
    <col min="11011" max="11011" width="26.85546875" bestFit="1" customWidth="1"/>
    <col min="11012" max="11012" width="7.7109375" bestFit="1" customWidth="1"/>
    <col min="11013" max="11013" width="6.7109375" bestFit="1" customWidth="1"/>
    <col min="11014" max="11014" width="17.28515625" bestFit="1" customWidth="1"/>
    <col min="11015" max="11015" width="33.140625" bestFit="1" customWidth="1"/>
    <col min="11016" max="11018" width="5.5703125" bestFit="1" customWidth="1"/>
    <col min="11019" max="11019" width="4.85546875" bestFit="1" customWidth="1"/>
    <col min="11020" max="11027" width="5.5703125" bestFit="1" customWidth="1"/>
    <col min="11028" max="11028" width="6.7109375" bestFit="1" customWidth="1"/>
    <col min="11029" max="11029" width="9.5703125" bestFit="1" customWidth="1"/>
    <col min="11030" max="11030" width="27.7109375" bestFit="1" customWidth="1"/>
    <col min="11266" max="11266" width="28.28515625" bestFit="1" customWidth="1"/>
    <col min="11267" max="11267" width="26.85546875" bestFit="1" customWidth="1"/>
    <col min="11268" max="11268" width="7.7109375" bestFit="1" customWidth="1"/>
    <col min="11269" max="11269" width="6.7109375" bestFit="1" customWidth="1"/>
    <col min="11270" max="11270" width="17.28515625" bestFit="1" customWidth="1"/>
    <col min="11271" max="11271" width="33.140625" bestFit="1" customWidth="1"/>
    <col min="11272" max="11274" width="5.5703125" bestFit="1" customWidth="1"/>
    <col min="11275" max="11275" width="4.85546875" bestFit="1" customWidth="1"/>
    <col min="11276" max="11283" width="5.5703125" bestFit="1" customWidth="1"/>
    <col min="11284" max="11284" width="6.7109375" bestFit="1" customWidth="1"/>
    <col min="11285" max="11285" width="9.5703125" bestFit="1" customWidth="1"/>
    <col min="11286" max="11286" width="27.7109375" bestFit="1" customWidth="1"/>
    <col min="11522" max="11522" width="28.28515625" bestFit="1" customWidth="1"/>
    <col min="11523" max="11523" width="26.85546875" bestFit="1" customWidth="1"/>
    <col min="11524" max="11524" width="7.7109375" bestFit="1" customWidth="1"/>
    <col min="11525" max="11525" width="6.7109375" bestFit="1" customWidth="1"/>
    <col min="11526" max="11526" width="17.28515625" bestFit="1" customWidth="1"/>
    <col min="11527" max="11527" width="33.140625" bestFit="1" customWidth="1"/>
    <col min="11528" max="11530" width="5.5703125" bestFit="1" customWidth="1"/>
    <col min="11531" max="11531" width="4.85546875" bestFit="1" customWidth="1"/>
    <col min="11532" max="11539" width="5.5703125" bestFit="1" customWidth="1"/>
    <col min="11540" max="11540" width="6.7109375" bestFit="1" customWidth="1"/>
    <col min="11541" max="11541" width="9.5703125" bestFit="1" customWidth="1"/>
    <col min="11542" max="11542" width="27.7109375" bestFit="1" customWidth="1"/>
    <col min="11778" max="11778" width="28.28515625" bestFit="1" customWidth="1"/>
    <col min="11779" max="11779" width="26.85546875" bestFit="1" customWidth="1"/>
    <col min="11780" max="11780" width="7.7109375" bestFit="1" customWidth="1"/>
    <col min="11781" max="11781" width="6.7109375" bestFit="1" customWidth="1"/>
    <col min="11782" max="11782" width="17.28515625" bestFit="1" customWidth="1"/>
    <col min="11783" max="11783" width="33.140625" bestFit="1" customWidth="1"/>
    <col min="11784" max="11786" width="5.5703125" bestFit="1" customWidth="1"/>
    <col min="11787" max="11787" width="4.85546875" bestFit="1" customWidth="1"/>
    <col min="11788" max="11795" width="5.5703125" bestFit="1" customWidth="1"/>
    <col min="11796" max="11796" width="6.7109375" bestFit="1" customWidth="1"/>
    <col min="11797" max="11797" width="9.5703125" bestFit="1" customWidth="1"/>
    <col min="11798" max="11798" width="27.7109375" bestFit="1" customWidth="1"/>
    <col min="12034" max="12034" width="28.28515625" bestFit="1" customWidth="1"/>
    <col min="12035" max="12035" width="26.85546875" bestFit="1" customWidth="1"/>
    <col min="12036" max="12036" width="7.7109375" bestFit="1" customWidth="1"/>
    <col min="12037" max="12037" width="6.7109375" bestFit="1" customWidth="1"/>
    <col min="12038" max="12038" width="17.28515625" bestFit="1" customWidth="1"/>
    <col min="12039" max="12039" width="33.140625" bestFit="1" customWidth="1"/>
    <col min="12040" max="12042" width="5.5703125" bestFit="1" customWidth="1"/>
    <col min="12043" max="12043" width="4.85546875" bestFit="1" customWidth="1"/>
    <col min="12044" max="12051" width="5.5703125" bestFit="1" customWidth="1"/>
    <col min="12052" max="12052" width="6.7109375" bestFit="1" customWidth="1"/>
    <col min="12053" max="12053" width="9.5703125" bestFit="1" customWidth="1"/>
    <col min="12054" max="12054" width="27.7109375" bestFit="1" customWidth="1"/>
    <col min="12290" max="12290" width="28.28515625" bestFit="1" customWidth="1"/>
    <col min="12291" max="12291" width="26.85546875" bestFit="1" customWidth="1"/>
    <col min="12292" max="12292" width="7.7109375" bestFit="1" customWidth="1"/>
    <col min="12293" max="12293" width="6.7109375" bestFit="1" customWidth="1"/>
    <col min="12294" max="12294" width="17.28515625" bestFit="1" customWidth="1"/>
    <col min="12295" max="12295" width="33.140625" bestFit="1" customWidth="1"/>
    <col min="12296" max="12298" width="5.5703125" bestFit="1" customWidth="1"/>
    <col min="12299" max="12299" width="4.85546875" bestFit="1" customWidth="1"/>
    <col min="12300" max="12307" width="5.5703125" bestFit="1" customWidth="1"/>
    <col min="12308" max="12308" width="6.7109375" bestFit="1" customWidth="1"/>
    <col min="12309" max="12309" width="9.5703125" bestFit="1" customWidth="1"/>
    <col min="12310" max="12310" width="27.7109375" bestFit="1" customWidth="1"/>
    <col min="12546" max="12546" width="28.28515625" bestFit="1" customWidth="1"/>
    <col min="12547" max="12547" width="26.85546875" bestFit="1" customWidth="1"/>
    <col min="12548" max="12548" width="7.7109375" bestFit="1" customWidth="1"/>
    <col min="12549" max="12549" width="6.7109375" bestFit="1" customWidth="1"/>
    <col min="12550" max="12550" width="17.28515625" bestFit="1" customWidth="1"/>
    <col min="12551" max="12551" width="33.140625" bestFit="1" customWidth="1"/>
    <col min="12552" max="12554" width="5.5703125" bestFit="1" customWidth="1"/>
    <col min="12555" max="12555" width="4.85546875" bestFit="1" customWidth="1"/>
    <col min="12556" max="12563" width="5.5703125" bestFit="1" customWidth="1"/>
    <col min="12564" max="12564" width="6.7109375" bestFit="1" customWidth="1"/>
    <col min="12565" max="12565" width="9.5703125" bestFit="1" customWidth="1"/>
    <col min="12566" max="12566" width="27.7109375" bestFit="1" customWidth="1"/>
    <col min="12802" max="12802" width="28.28515625" bestFit="1" customWidth="1"/>
    <col min="12803" max="12803" width="26.85546875" bestFit="1" customWidth="1"/>
    <col min="12804" max="12804" width="7.7109375" bestFit="1" customWidth="1"/>
    <col min="12805" max="12805" width="6.7109375" bestFit="1" customWidth="1"/>
    <col min="12806" max="12806" width="17.28515625" bestFit="1" customWidth="1"/>
    <col min="12807" max="12807" width="33.140625" bestFit="1" customWidth="1"/>
    <col min="12808" max="12810" width="5.5703125" bestFit="1" customWidth="1"/>
    <col min="12811" max="12811" width="4.85546875" bestFit="1" customWidth="1"/>
    <col min="12812" max="12819" width="5.5703125" bestFit="1" customWidth="1"/>
    <col min="12820" max="12820" width="6.7109375" bestFit="1" customWidth="1"/>
    <col min="12821" max="12821" width="9.5703125" bestFit="1" customWidth="1"/>
    <col min="12822" max="12822" width="27.7109375" bestFit="1" customWidth="1"/>
    <col min="13058" max="13058" width="28.28515625" bestFit="1" customWidth="1"/>
    <col min="13059" max="13059" width="26.85546875" bestFit="1" customWidth="1"/>
    <col min="13060" max="13060" width="7.7109375" bestFit="1" customWidth="1"/>
    <col min="13061" max="13061" width="6.7109375" bestFit="1" customWidth="1"/>
    <col min="13062" max="13062" width="17.28515625" bestFit="1" customWidth="1"/>
    <col min="13063" max="13063" width="33.140625" bestFit="1" customWidth="1"/>
    <col min="13064" max="13066" width="5.5703125" bestFit="1" customWidth="1"/>
    <col min="13067" max="13067" width="4.85546875" bestFit="1" customWidth="1"/>
    <col min="13068" max="13075" width="5.5703125" bestFit="1" customWidth="1"/>
    <col min="13076" max="13076" width="6.7109375" bestFit="1" customWidth="1"/>
    <col min="13077" max="13077" width="9.5703125" bestFit="1" customWidth="1"/>
    <col min="13078" max="13078" width="27.7109375" bestFit="1" customWidth="1"/>
    <col min="13314" max="13314" width="28.28515625" bestFit="1" customWidth="1"/>
    <col min="13315" max="13315" width="26.85546875" bestFit="1" customWidth="1"/>
    <col min="13316" max="13316" width="7.7109375" bestFit="1" customWidth="1"/>
    <col min="13317" max="13317" width="6.7109375" bestFit="1" customWidth="1"/>
    <col min="13318" max="13318" width="17.28515625" bestFit="1" customWidth="1"/>
    <col min="13319" max="13319" width="33.140625" bestFit="1" customWidth="1"/>
    <col min="13320" max="13322" width="5.5703125" bestFit="1" customWidth="1"/>
    <col min="13323" max="13323" width="4.85546875" bestFit="1" customWidth="1"/>
    <col min="13324" max="13331" width="5.5703125" bestFit="1" customWidth="1"/>
    <col min="13332" max="13332" width="6.7109375" bestFit="1" customWidth="1"/>
    <col min="13333" max="13333" width="9.5703125" bestFit="1" customWidth="1"/>
    <col min="13334" max="13334" width="27.7109375" bestFit="1" customWidth="1"/>
    <col min="13570" max="13570" width="28.28515625" bestFit="1" customWidth="1"/>
    <col min="13571" max="13571" width="26.85546875" bestFit="1" customWidth="1"/>
    <col min="13572" max="13572" width="7.7109375" bestFit="1" customWidth="1"/>
    <col min="13573" max="13573" width="6.7109375" bestFit="1" customWidth="1"/>
    <col min="13574" max="13574" width="17.28515625" bestFit="1" customWidth="1"/>
    <col min="13575" max="13575" width="33.140625" bestFit="1" customWidth="1"/>
    <col min="13576" max="13578" width="5.5703125" bestFit="1" customWidth="1"/>
    <col min="13579" max="13579" width="4.85546875" bestFit="1" customWidth="1"/>
    <col min="13580" max="13587" width="5.5703125" bestFit="1" customWidth="1"/>
    <col min="13588" max="13588" width="6.7109375" bestFit="1" customWidth="1"/>
    <col min="13589" max="13589" width="9.5703125" bestFit="1" customWidth="1"/>
    <col min="13590" max="13590" width="27.7109375" bestFit="1" customWidth="1"/>
    <col min="13826" max="13826" width="28.28515625" bestFit="1" customWidth="1"/>
    <col min="13827" max="13827" width="26.85546875" bestFit="1" customWidth="1"/>
    <col min="13828" max="13828" width="7.7109375" bestFit="1" customWidth="1"/>
    <col min="13829" max="13829" width="6.7109375" bestFit="1" customWidth="1"/>
    <col min="13830" max="13830" width="17.28515625" bestFit="1" customWidth="1"/>
    <col min="13831" max="13831" width="33.140625" bestFit="1" customWidth="1"/>
    <col min="13832" max="13834" width="5.5703125" bestFit="1" customWidth="1"/>
    <col min="13835" max="13835" width="4.85546875" bestFit="1" customWidth="1"/>
    <col min="13836" max="13843" width="5.5703125" bestFit="1" customWidth="1"/>
    <col min="13844" max="13844" width="6.7109375" bestFit="1" customWidth="1"/>
    <col min="13845" max="13845" width="9.5703125" bestFit="1" customWidth="1"/>
    <col min="13846" max="13846" width="27.7109375" bestFit="1" customWidth="1"/>
    <col min="14082" max="14082" width="28.28515625" bestFit="1" customWidth="1"/>
    <col min="14083" max="14083" width="26.85546875" bestFit="1" customWidth="1"/>
    <col min="14084" max="14084" width="7.7109375" bestFit="1" customWidth="1"/>
    <col min="14085" max="14085" width="6.7109375" bestFit="1" customWidth="1"/>
    <col min="14086" max="14086" width="17.28515625" bestFit="1" customWidth="1"/>
    <col min="14087" max="14087" width="33.140625" bestFit="1" customWidth="1"/>
    <col min="14088" max="14090" width="5.5703125" bestFit="1" customWidth="1"/>
    <col min="14091" max="14091" width="4.85546875" bestFit="1" customWidth="1"/>
    <col min="14092" max="14099" width="5.5703125" bestFit="1" customWidth="1"/>
    <col min="14100" max="14100" width="6.7109375" bestFit="1" customWidth="1"/>
    <col min="14101" max="14101" width="9.5703125" bestFit="1" customWidth="1"/>
    <col min="14102" max="14102" width="27.7109375" bestFit="1" customWidth="1"/>
    <col min="14338" max="14338" width="28.28515625" bestFit="1" customWidth="1"/>
    <col min="14339" max="14339" width="26.85546875" bestFit="1" customWidth="1"/>
    <col min="14340" max="14340" width="7.7109375" bestFit="1" customWidth="1"/>
    <col min="14341" max="14341" width="6.7109375" bestFit="1" customWidth="1"/>
    <col min="14342" max="14342" width="17.28515625" bestFit="1" customWidth="1"/>
    <col min="14343" max="14343" width="33.140625" bestFit="1" customWidth="1"/>
    <col min="14344" max="14346" width="5.5703125" bestFit="1" customWidth="1"/>
    <col min="14347" max="14347" width="4.85546875" bestFit="1" customWidth="1"/>
    <col min="14348" max="14355" width="5.5703125" bestFit="1" customWidth="1"/>
    <col min="14356" max="14356" width="6.7109375" bestFit="1" customWidth="1"/>
    <col min="14357" max="14357" width="9.5703125" bestFit="1" customWidth="1"/>
    <col min="14358" max="14358" width="27.7109375" bestFit="1" customWidth="1"/>
    <col min="14594" max="14594" width="28.28515625" bestFit="1" customWidth="1"/>
    <col min="14595" max="14595" width="26.85546875" bestFit="1" customWidth="1"/>
    <col min="14596" max="14596" width="7.7109375" bestFit="1" customWidth="1"/>
    <col min="14597" max="14597" width="6.7109375" bestFit="1" customWidth="1"/>
    <col min="14598" max="14598" width="17.28515625" bestFit="1" customWidth="1"/>
    <col min="14599" max="14599" width="33.140625" bestFit="1" customWidth="1"/>
    <col min="14600" max="14602" width="5.5703125" bestFit="1" customWidth="1"/>
    <col min="14603" max="14603" width="4.85546875" bestFit="1" customWidth="1"/>
    <col min="14604" max="14611" width="5.5703125" bestFit="1" customWidth="1"/>
    <col min="14612" max="14612" width="6.7109375" bestFit="1" customWidth="1"/>
    <col min="14613" max="14613" width="9.5703125" bestFit="1" customWidth="1"/>
    <col min="14614" max="14614" width="27.7109375" bestFit="1" customWidth="1"/>
    <col min="14850" max="14850" width="28.28515625" bestFit="1" customWidth="1"/>
    <col min="14851" max="14851" width="26.85546875" bestFit="1" customWidth="1"/>
    <col min="14852" max="14852" width="7.7109375" bestFit="1" customWidth="1"/>
    <col min="14853" max="14853" width="6.7109375" bestFit="1" customWidth="1"/>
    <col min="14854" max="14854" width="17.28515625" bestFit="1" customWidth="1"/>
    <col min="14855" max="14855" width="33.140625" bestFit="1" customWidth="1"/>
    <col min="14856" max="14858" width="5.5703125" bestFit="1" customWidth="1"/>
    <col min="14859" max="14859" width="4.85546875" bestFit="1" customWidth="1"/>
    <col min="14860" max="14867" width="5.5703125" bestFit="1" customWidth="1"/>
    <col min="14868" max="14868" width="6.7109375" bestFit="1" customWidth="1"/>
    <col min="14869" max="14869" width="9.5703125" bestFit="1" customWidth="1"/>
    <col min="14870" max="14870" width="27.7109375" bestFit="1" customWidth="1"/>
    <col min="15106" max="15106" width="28.28515625" bestFit="1" customWidth="1"/>
    <col min="15107" max="15107" width="26.85546875" bestFit="1" customWidth="1"/>
    <col min="15108" max="15108" width="7.7109375" bestFit="1" customWidth="1"/>
    <col min="15109" max="15109" width="6.7109375" bestFit="1" customWidth="1"/>
    <col min="15110" max="15110" width="17.28515625" bestFit="1" customWidth="1"/>
    <col min="15111" max="15111" width="33.140625" bestFit="1" customWidth="1"/>
    <col min="15112" max="15114" width="5.5703125" bestFit="1" customWidth="1"/>
    <col min="15115" max="15115" width="4.85546875" bestFit="1" customWidth="1"/>
    <col min="15116" max="15123" width="5.5703125" bestFit="1" customWidth="1"/>
    <col min="15124" max="15124" width="6.7109375" bestFit="1" customWidth="1"/>
    <col min="15125" max="15125" width="9.5703125" bestFit="1" customWidth="1"/>
    <col min="15126" max="15126" width="27.7109375" bestFit="1" customWidth="1"/>
    <col min="15362" max="15362" width="28.28515625" bestFit="1" customWidth="1"/>
    <col min="15363" max="15363" width="26.85546875" bestFit="1" customWidth="1"/>
    <col min="15364" max="15364" width="7.7109375" bestFit="1" customWidth="1"/>
    <col min="15365" max="15365" width="6.7109375" bestFit="1" customWidth="1"/>
    <col min="15366" max="15366" width="17.28515625" bestFit="1" customWidth="1"/>
    <col min="15367" max="15367" width="33.140625" bestFit="1" customWidth="1"/>
    <col min="15368" max="15370" width="5.5703125" bestFit="1" customWidth="1"/>
    <col min="15371" max="15371" width="4.85546875" bestFit="1" customWidth="1"/>
    <col min="15372" max="15379" width="5.5703125" bestFit="1" customWidth="1"/>
    <col min="15380" max="15380" width="6.7109375" bestFit="1" customWidth="1"/>
    <col min="15381" max="15381" width="9.5703125" bestFit="1" customWidth="1"/>
    <col min="15382" max="15382" width="27.7109375" bestFit="1" customWidth="1"/>
    <col min="15618" max="15618" width="28.28515625" bestFit="1" customWidth="1"/>
    <col min="15619" max="15619" width="26.85546875" bestFit="1" customWidth="1"/>
    <col min="15620" max="15620" width="7.7109375" bestFit="1" customWidth="1"/>
    <col min="15621" max="15621" width="6.7109375" bestFit="1" customWidth="1"/>
    <col min="15622" max="15622" width="17.28515625" bestFit="1" customWidth="1"/>
    <col min="15623" max="15623" width="33.140625" bestFit="1" customWidth="1"/>
    <col min="15624" max="15626" width="5.5703125" bestFit="1" customWidth="1"/>
    <col min="15627" max="15627" width="4.85546875" bestFit="1" customWidth="1"/>
    <col min="15628" max="15635" width="5.5703125" bestFit="1" customWidth="1"/>
    <col min="15636" max="15636" width="6.7109375" bestFit="1" customWidth="1"/>
    <col min="15637" max="15637" width="9.5703125" bestFit="1" customWidth="1"/>
    <col min="15638" max="15638" width="27.7109375" bestFit="1" customWidth="1"/>
    <col min="15874" max="15874" width="28.28515625" bestFit="1" customWidth="1"/>
    <col min="15875" max="15875" width="26.85546875" bestFit="1" customWidth="1"/>
    <col min="15876" max="15876" width="7.7109375" bestFit="1" customWidth="1"/>
    <col min="15877" max="15877" width="6.7109375" bestFit="1" customWidth="1"/>
    <col min="15878" max="15878" width="17.28515625" bestFit="1" customWidth="1"/>
    <col min="15879" max="15879" width="33.140625" bestFit="1" customWidth="1"/>
    <col min="15880" max="15882" width="5.5703125" bestFit="1" customWidth="1"/>
    <col min="15883" max="15883" width="4.85546875" bestFit="1" customWidth="1"/>
    <col min="15884" max="15891" width="5.5703125" bestFit="1" customWidth="1"/>
    <col min="15892" max="15892" width="6.7109375" bestFit="1" customWidth="1"/>
    <col min="15893" max="15893" width="9.5703125" bestFit="1" customWidth="1"/>
    <col min="15894" max="15894" width="27.7109375" bestFit="1" customWidth="1"/>
    <col min="16130" max="16130" width="28.28515625" bestFit="1" customWidth="1"/>
    <col min="16131" max="16131" width="26.85546875" bestFit="1" customWidth="1"/>
    <col min="16132" max="16132" width="7.7109375" bestFit="1" customWidth="1"/>
    <col min="16133" max="16133" width="6.7109375" bestFit="1" customWidth="1"/>
    <col min="16134" max="16134" width="17.28515625" bestFit="1" customWidth="1"/>
    <col min="16135" max="16135" width="33.140625" bestFit="1" customWidth="1"/>
    <col min="16136" max="16138" width="5.5703125" bestFit="1" customWidth="1"/>
    <col min="16139" max="16139" width="4.85546875" bestFit="1" customWidth="1"/>
    <col min="16140" max="16147" width="5.5703125" bestFit="1" customWidth="1"/>
    <col min="16148" max="16148" width="6.7109375" bestFit="1" customWidth="1"/>
    <col min="16149" max="16149" width="9.5703125" bestFit="1" customWidth="1"/>
    <col min="16150" max="16150" width="27.7109375" bestFit="1" customWidth="1"/>
  </cols>
  <sheetData>
    <row r="1" spans="1:22" s="1" customFormat="1" ht="30" customHeight="1" x14ac:dyDescent="0.2">
      <c r="A1" s="295" t="s">
        <v>4023</v>
      </c>
      <c r="B1" s="295"/>
      <c r="C1" s="295"/>
      <c r="D1" s="295"/>
      <c r="E1" s="295"/>
      <c r="F1" s="295"/>
      <c r="G1" s="295"/>
      <c r="H1" s="295"/>
      <c r="I1" s="295"/>
      <c r="J1" s="295"/>
      <c r="K1" s="295"/>
      <c r="L1" s="295"/>
      <c r="M1" s="295"/>
      <c r="N1" s="295"/>
      <c r="O1" s="295"/>
      <c r="P1" s="295"/>
      <c r="Q1" s="295"/>
      <c r="R1" s="295"/>
      <c r="S1" s="295"/>
      <c r="T1" s="295"/>
      <c r="U1" s="295"/>
      <c r="V1" s="296"/>
    </row>
    <row r="2" spans="1:22" s="1" customFormat="1" ht="30" x14ac:dyDescent="0.2">
      <c r="A2" s="295" t="s">
        <v>4024</v>
      </c>
      <c r="B2" s="295"/>
      <c r="C2" s="295"/>
      <c r="D2" s="295"/>
      <c r="E2" s="295"/>
      <c r="F2" s="295"/>
      <c r="G2" s="295"/>
      <c r="H2" s="295"/>
      <c r="I2" s="295"/>
      <c r="J2" s="295"/>
      <c r="K2" s="295"/>
      <c r="L2" s="295"/>
      <c r="M2" s="295"/>
      <c r="N2" s="295"/>
      <c r="O2" s="295"/>
      <c r="P2" s="295"/>
      <c r="Q2" s="295"/>
      <c r="R2" s="295"/>
      <c r="S2" s="295"/>
      <c r="T2" s="295"/>
      <c r="U2" s="295"/>
      <c r="V2" s="296"/>
    </row>
    <row r="3" spans="1:22" s="1" customFormat="1" ht="30.75" thickBot="1" x14ac:dyDescent="0.25">
      <c r="A3" s="295" t="s">
        <v>3381</v>
      </c>
      <c r="B3" s="295"/>
      <c r="C3" s="295"/>
      <c r="D3" s="295"/>
      <c r="E3" s="295"/>
      <c r="F3" s="295"/>
      <c r="G3" s="295"/>
      <c r="H3" s="295"/>
      <c r="I3" s="295"/>
      <c r="J3" s="295"/>
      <c r="K3" s="295"/>
      <c r="L3" s="295"/>
      <c r="M3" s="295"/>
      <c r="N3" s="295"/>
      <c r="O3" s="295"/>
      <c r="P3" s="295"/>
      <c r="Q3" s="295"/>
      <c r="R3" s="295"/>
      <c r="S3" s="295"/>
      <c r="T3" s="295"/>
      <c r="U3" s="295"/>
      <c r="V3" s="296"/>
    </row>
    <row r="4" spans="1:22" s="5" customFormat="1" ht="12.75" customHeight="1" x14ac:dyDescent="0.2">
      <c r="A4" s="297" t="s">
        <v>719</v>
      </c>
      <c r="B4" s="300" t="s">
        <v>0</v>
      </c>
      <c r="C4" s="302" t="s">
        <v>3382</v>
      </c>
      <c r="D4" s="302" t="s">
        <v>8</v>
      </c>
      <c r="E4" s="304" t="s">
        <v>9</v>
      </c>
      <c r="F4" s="304" t="s">
        <v>1</v>
      </c>
      <c r="G4" s="305" t="s">
        <v>795</v>
      </c>
      <c r="H4" s="300" t="s">
        <v>2</v>
      </c>
      <c r="I4" s="304"/>
      <c r="J4" s="304"/>
      <c r="K4" s="307"/>
      <c r="L4" s="300" t="s">
        <v>3</v>
      </c>
      <c r="M4" s="304"/>
      <c r="N4" s="304"/>
      <c r="O4" s="307"/>
      <c r="P4" s="300" t="s">
        <v>4</v>
      </c>
      <c r="Q4" s="304"/>
      <c r="R4" s="304"/>
      <c r="S4" s="307"/>
      <c r="T4" s="308" t="s">
        <v>3593</v>
      </c>
      <c r="U4" s="304" t="s">
        <v>6</v>
      </c>
      <c r="V4" s="307" t="s">
        <v>5</v>
      </c>
    </row>
    <row r="5" spans="1:22" s="5" customFormat="1" ht="23.25" customHeight="1" thickBot="1" x14ac:dyDescent="0.25">
      <c r="A5" s="298"/>
      <c r="B5" s="301"/>
      <c r="C5" s="303"/>
      <c r="D5" s="303"/>
      <c r="E5" s="303"/>
      <c r="F5" s="303"/>
      <c r="G5" s="306"/>
      <c r="H5" s="3">
        <v>1</v>
      </c>
      <c r="I5" s="2">
        <v>2</v>
      </c>
      <c r="J5" s="2"/>
      <c r="K5" s="4" t="s">
        <v>7</v>
      </c>
      <c r="L5" s="3">
        <v>1</v>
      </c>
      <c r="M5" s="2">
        <v>2</v>
      </c>
      <c r="N5" s="2">
        <v>3</v>
      </c>
      <c r="O5" s="4" t="s">
        <v>7</v>
      </c>
      <c r="P5" s="3">
        <v>1</v>
      </c>
      <c r="Q5" s="2">
        <v>2</v>
      </c>
      <c r="R5" s="2">
        <v>3</v>
      </c>
      <c r="S5" s="4" t="s">
        <v>7</v>
      </c>
      <c r="T5" s="309"/>
      <c r="U5" s="303"/>
      <c r="V5" s="310"/>
    </row>
    <row r="6" spans="1:22" ht="15" x14ac:dyDescent="0.2">
      <c r="B6" s="299" t="s">
        <v>4014</v>
      </c>
      <c r="C6" s="299"/>
      <c r="D6" s="299"/>
      <c r="E6" s="299"/>
      <c r="F6" s="299"/>
      <c r="G6" s="299"/>
      <c r="H6" s="299"/>
      <c r="I6" s="299"/>
      <c r="J6" s="299"/>
      <c r="K6" s="299"/>
      <c r="L6" s="299"/>
      <c r="M6" s="299"/>
      <c r="N6" s="299"/>
      <c r="O6" s="299"/>
      <c r="P6" s="299"/>
      <c r="Q6" s="299"/>
      <c r="R6" s="299"/>
      <c r="S6" s="299"/>
      <c r="T6" s="299"/>
      <c r="U6" s="299"/>
    </row>
    <row r="7" spans="1:22" x14ac:dyDescent="0.2">
      <c r="A7" s="43">
        <v>1</v>
      </c>
      <c r="B7" s="15" t="s">
        <v>1003</v>
      </c>
      <c r="C7" s="233" t="s">
        <v>893</v>
      </c>
      <c r="D7" s="15" t="s">
        <v>894</v>
      </c>
      <c r="E7" s="15" t="str">
        <f>"1,9230"</f>
        <v>1,9230</v>
      </c>
      <c r="F7" s="15" t="s">
        <v>4020</v>
      </c>
      <c r="G7" s="15" t="s">
        <v>3184</v>
      </c>
      <c r="H7" s="35" t="s">
        <v>42</v>
      </c>
      <c r="I7" s="35" t="s">
        <v>81</v>
      </c>
      <c r="J7" s="35" t="s">
        <v>91</v>
      </c>
      <c r="K7" s="22"/>
      <c r="L7" s="35" t="s">
        <v>92</v>
      </c>
      <c r="M7" s="35" t="s">
        <v>59</v>
      </c>
      <c r="N7" s="38" t="s">
        <v>60</v>
      </c>
      <c r="O7" s="22"/>
      <c r="P7" s="35" t="s">
        <v>71</v>
      </c>
      <c r="Q7" s="35" t="s">
        <v>158</v>
      </c>
      <c r="R7" s="38" t="s">
        <v>165</v>
      </c>
      <c r="S7" s="22"/>
      <c r="T7" s="29">
        <v>270</v>
      </c>
      <c r="U7" s="21" t="str">
        <f>"519,2100"</f>
        <v>519,2100</v>
      </c>
      <c r="V7" s="15" t="s">
        <v>1058</v>
      </c>
    </row>
    <row r="8" spans="1:22" x14ac:dyDescent="0.2">
      <c r="A8" s="43">
        <v>1</v>
      </c>
      <c r="B8" s="17" t="s">
        <v>895</v>
      </c>
      <c r="C8" s="234" t="s">
        <v>896</v>
      </c>
      <c r="D8" s="17" t="s">
        <v>897</v>
      </c>
      <c r="E8" s="17" t="str">
        <f>"1,9158"</f>
        <v>1,9158</v>
      </c>
      <c r="F8" s="17" t="s">
        <v>4020</v>
      </c>
      <c r="G8" s="17" t="s">
        <v>796</v>
      </c>
      <c r="H8" s="37" t="s">
        <v>92</v>
      </c>
      <c r="I8" s="39" t="s">
        <v>60</v>
      </c>
      <c r="J8" s="37" t="s">
        <v>60</v>
      </c>
      <c r="K8" s="26"/>
      <c r="L8" s="37" t="s">
        <v>80</v>
      </c>
      <c r="M8" s="37" t="s">
        <v>44</v>
      </c>
      <c r="N8" s="26"/>
      <c r="O8" s="26"/>
      <c r="P8" s="37" t="s">
        <v>41</v>
      </c>
      <c r="Q8" s="39" t="s">
        <v>42</v>
      </c>
      <c r="R8" s="39" t="s">
        <v>42</v>
      </c>
      <c r="S8" s="26"/>
      <c r="T8" s="31">
        <v>170</v>
      </c>
      <c r="U8" s="25" t="str">
        <f>"368,6765"</f>
        <v>368,6765</v>
      </c>
      <c r="V8" s="17" t="s">
        <v>1059</v>
      </c>
    </row>
    <row r="10" spans="1:22" ht="15" x14ac:dyDescent="0.2">
      <c r="B10" s="294" t="s">
        <v>4007</v>
      </c>
      <c r="C10" s="294"/>
      <c r="D10" s="294"/>
      <c r="E10" s="294"/>
      <c r="F10" s="294"/>
      <c r="G10" s="294"/>
      <c r="H10" s="294"/>
      <c r="I10" s="294"/>
      <c r="J10" s="294"/>
      <c r="K10" s="294"/>
      <c r="L10" s="294"/>
      <c r="M10" s="294"/>
      <c r="N10" s="294"/>
      <c r="O10" s="294"/>
      <c r="P10" s="294"/>
      <c r="Q10" s="294"/>
      <c r="R10" s="294"/>
      <c r="S10" s="294"/>
      <c r="T10" s="294"/>
      <c r="U10" s="294"/>
    </row>
    <row r="11" spans="1:22" x14ac:dyDescent="0.2">
      <c r="A11" s="43">
        <v>1</v>
      </c>
      <c r="B11" s="15" t="s">
        <v>1027</v>
      </c>
      <c r="C11" s="233" t="s">
        <v>898</v>
      </c>
      <c r="D11" s="108" t="s">
        <v>899</v>
      </c>
      <c r="E11" s="15" t="str">
        <f>"1,6656"</f>
        <v>1,6656</v>
      </c>
      <c r="F11" s="15" t="s">
        <v>4020</v>
      </c>
      <c r="G11" s="15" t="s">
        <v>796</v>
      </c>
      <c r="H11" s="35" t="s">
        <v>116</v>
      </c>
      <c r="I11" s="35" t="s">
        <v>126</v>
      </c>
      <c r="J11" s="38" t="s">
        <v>36</v>
      </c>
      <c r="K11" s="22"/>
      <c r="L11" s="38" t="s">
        <v>46</v>
      </c>
      <c r="M11" s="35" t="s">
        <v>46</v>
      </c>
      <c r="N11" s="35" t="s">
        <v>61</v>
      </c>
      <c r="O11" s="22"/>
      <c r="P11" s="35" t="s">
        <v>127</v>
      </c>
      <c r="Q11" s="35" t="s">
        <v>156</v>
      </c>
      <c r="R11" s="38" t="s">
        <v>11</v>
      </c>
      <c r="S11" s="22"/>
      <c r="T11" s="29">
        <v>415</v>
      </c>
      <c r="U11" s="21" t="str">
        <f>"691,2240"</f>
        <v>691,2240</v>
      </c>
      <c r="V11" s="15" t="s">
        <v>1060</v>
      </c>
    </row>
    <row r="12" spans="1:22" x14ac:dyDescent="0.2">
      <c r="A12" s="43">
        <v>2</v>
      </c>
      <c r="B12" s="17" t="s">
        <v>1028</v>
      </c>
      <c r="C12" s="234" t="s">
        <v>900</v>
      </c>
      <c r="D12" s="17" t="s">
        <v>901</v>
      </c>
      <c r="E12" s="17" t="str">
        <f>"1,7038"</f>
        <v>1,7038</v>
      </c>
      <c r="F12" s="17" t="s">
        <v>4020</v>
      </c>
      <c r="G12" s="17" t="s">
        <v>3184</v>
      </c>
      <c r="H12" s="39" t="s">
        <v>76</v>
      </c>
      <c r="I12" s="37" t="s">
        <v>76</v>
      </c>
      <c r="J12" s="37" t="s">
        <v>97</v>
      </c>
      <c r="K12" s="26"/>
      <c r="L12" s="39" t="s">
        <v>93</v>
      </c>
      <c r="M12" s="37" t="s">
        <v>93</v>
      </c>
      <c r="N12" s="39" t="s">
        <v>86</v>
      </c>
      <c r="O12" s="26"/>
      <c r="P12" s="39" t="s">
        <v>23</v>
      </c>
      <c r="Q12" s="37" t="s">
        <v>23</v>
      </c>
      <c r="R12" s="37" t="s">
        <v>116</v>
      </c>
      <c r="S12" s="26"/>
      <c r="T12" s="31">
        <v>300</v>
      </c>
      <c r="U12" s="25" t="str">
        <f>"511,1400"</f>
        <v>511,1400</v>
      </c>
      <c r="V12" s="17" t="s">
        <v>3391</v>
      </c>
    </row>
    <row r="14" spans="1:22" ht="15" x14ac:dyDescent="0.2">
      <c r="B14" s="294" t="s">
        <v>4008</v>
      </c>
      <c r="C14" s="294"/>
      <c r="D14" s="294"/>
      <c r="E14" s="294"/>
      <c r="F14" s="294"/>
      <c r="G14" s="294"/>
      <c r="H14" s="294"/>
      <c r="I14" s="294"/>
      <c r="J14" s="294"/>
      <c r="K14" s="294"/>
      <c r="L14" s="294"/>
      <c r="M14" s="294"/>
      <c r="N14" s="294"/>
      <c r="O14" s="294"/>
      <c r="P14" s="294"/>
      <c r="Q14" s="294"/>
      <c r="R14" s="294"/>
      <c r="S14" s="294"/>
      <c r="T14" s="294"/>
      <c r="U14" s="294"/>
    </row>
    <row r="15" spans="1:22" x14ac:dyDescent="0.2">
      <c r="A15" s="43">
        <v>1</v>
      </c>
      <c r="B15" s="15" t="s">
        <v>1029</v>
      </c>
      <c r="C15" s="233" t="s">
        <v>902</v>
      </c>
      <c r="D15" s="15" t="s">
        <v>903</v>
      </c>
      <c r="E15" s="15" t="str">
        <f>"1,5490"</f>
        <v>1,5490</v>
      </c>
      <c r="F15" s="15" t="s">
        <v>4020</v>
      </c>
      <c r="G15" s="15" t="s">
        <v>3184</v>
      </c>
      <c r="H15" s="35" t="s">
        <v>165</v>
      </c>
      <c r="I15" s="35" t="s">
        <v>186</v>
      </c>
      <c r="J15" s="38" t="s">
        <v>36</v>
      </c>
      <c r="K15" s="22"/>
      <c r="L15" s="35" t="s">
        <v>85</v>
      </c>
      <c r="M15" s="35" t="s">
        <v>91</v>
      </c>
      <c r="N15" s="35" t="s">
        <v>61</v>
      </c>
      <c r="O15" s="22"/>
      <c r="P15" s="35" t="s">
        <v>148</v>
      </c>
      <c r="Q15" s="35" t="s">
        <v>141</v>
      </c>
      <c r="R15" s="35" t="s">
        <v>260</v>
      </c>
      <c r="S15" s="22"/>
      <c r="T15" s="29">
        <v>415</v>
      </c>
      <c r="U15" s="21" t="str">
        <f>"642,8350"</f>
        <v>642,8350</v>
      </c>
      <c r="V15" s="15" t="s">
        <v>1058</v>
      </c>
    </row>
    <row r="16" spans="1:22" x14ac:dyDescent="0.2">
      <c r="A16" s="43">
        <v>2</v>
      </c>
      <c r="B16" s="16" t="s">
        <v>1030</v>
      </c>
      <c r="C16" s="235" t="s">
        <v>904</v>
      </c>
      <c r="D16" s="16" t="s">
        <v>355</v>
      </c>
      <c r="E16" s="16" t="str">
        <f>"1,5442"</f>
        <v>1,5442</v>
      </c>
      <c r="F16" s="16" t="s">
        <v>4020</v>
      </c>
      <c r="G16" s="16" t="s">
        <v>3184</v>
      </c>
      <c r="H16" s="40" t="s">
        <v>70</v>
      </c>
      <c r="I16" s="36" t="s">
        <v>71</v>
      </c>
      <c r="J16" s="36" t="s">
        <v>158</v>
      </c>
      <c r="K16" s="24"/>
      <c r="L16" s="36" t="s">
        <v>46</v>
      </c>
      <c r="M16" s="36" t="s">
        <v>61</v>
      </c>
      <c r="N16" s="36" t="s">
        <v>47</v>
      </c>
      <c r="O16" s="24"/>
      <c r="P16" s="36" t="s">
        <v>141</v>
      </c>
      <c r="Q16" s="36" t="s">
        <v>11</v>
      </c>
      <c r="R16" s="40" t="s">
        <v>224</v>
      </c>
      <c r="S16" s="24"/>
      <c r="T16" s="30">
        <v>405</v>
      </c>
      <c r="U16" s="23" t="str">
        <f>"625,4010"</f>
        <v>625,4010</v>
      </c>
      <c r="V16" s="16" t="s">
        <v>1058</v>
      </c>
    </row>
    <row r="17" spans="1:22" x14ac:dyDescent="0.2">
      <c r="A17" s="43">
        <v>3</v>
      </c>
      <c r="B17" s="17" t="s">
        <v>1031</v>
      </c>
      <c r="C17" s="234" t="s">
        <v>905</v>
      </c>
      <c r="D17" s="17" t="s">
        <v>179</v>
      </c>
      <c r="E17" s="17" t="str">
        <f>"1,5686"</f>
        <v>1,5686</v>
      </c>
      <c r="F17" s="17" t="s">
        <v>4020</v>
      </c>
      <c r="G17" s="17" t="s">
        <v>796</v>
      </c>
      <c r="H17" s="39" t="s">
        <v>70</v>
      </c>
      <c r="I17" s="37" t="s">
        <v>70</v>
      </c>
      <c r="J17" s="37" t="s">
        <v>71</v>
      </c>
      <c r="K17" s="26"/>
      <c r="L17" s="37" t="s">
        <v>53</v>
      </c>
      <c r="M17" s="39" t="s">
        <v>51</v>
      </c>
      <c r="N17" s="37" t="s">
        <v>51</v>
      </c>
      <c r="O17" s="26"/>
      <c r="P17" s="37" t="s">
        <v>116</v>
      </c>
      <c r="Q17" s="37" t="s">
        <v>126</v>
      </c>
      <c r="R17" s="26"/>
      <c r="S17" s="26"/>
      <c r="T17" s="31">
        <v>335</v>
      </c>
      <c r="U17" s="25" t="str">
        <f>"525,4810"</f>
        <v>525,4810</v>
      </c>
      <c r="V17" s="17" t="s">
        <v>740</v>
      </c>
    </row>
    <row r="19" spans="1:22" ht="15" x14ac:dyDescent="0.2">
      <c r="B19" s="294" t="s">
        <v>4010</v>
      </c>
      <c r="C19" s="294"/>
      <c r="D19" s="294"/>
      <c r="E19" s="294"/>
      <c r="F19" s="294"/>
      <c r="G19" s="294"/>
      <c r="H19" s="294"/>
      <c r="I19" s="294"/>
      <c r="J19" s="294"/>
      <c r="K19" s="294"/>
      <c r="L19" s="294"/>
      <c r="M19" s="294"/>
      <c r="N19" s="294"/>
      <c r="O19" s="294"/>
      <c r="P19" s="294"/>
      <c r="Q19" s="294"/>
      <c r="R19" s="294"/>
      <c r="S19" s="294"/>
      <c r="T19" s="294"/>
      <c r="U19" s="294"/>
    </row>
    <row r="20" spans="1:22" x14ac:dyDescent="0.2">
      <c r="A20" s="43">
        <v>1</v>
      </c>
      <c r="B20" s="7" t="s">
        <v>995</v>
      </c>
      <c r="C20" s="202" t="s">
        <v>906</v>
      </c>
      <c r="D20" s="7" t="s">
        <v>214</v>
      </c>
      <c r="E20" s="7" t="str">
        <f>"1,4334"</f>
        <v>1,4334</v>
      </c>
      <c r="F20" s="7" t="s">
        <v>4020</v>
      </c>
      <c r="G20" s="7" t="s">
        <v>3184</v>
      </c>
      <c r="H20" s="34" t="s">
        <v>127</v>
      </c>
      <c r="I20" s="41" t="s">
        <v>142</v>
      </c>
      <c r="J20" s="41" t="s">
        <v>142</v>
      </c>
      <c r="K20" s="20"/>
      <c r="L20" s="34" t="s">
        <v>36</v>
      </c>
      <c r="M20" s="41" t="s">
        <v>127</v>
      </c>
      <c r="N20" s="34" t="s">
        <v>127</v>
      </c>
      <c r="O20" s="41" t="s">
        <v>141</v>
      </c>
      <c r="P20" s="34" t="s">
        <v>143</v>
      </c>
      <c r="Q20" s="34" t="s">
        <v>24</v>
      </c>
      <c r="R20" s="34" t="s">
        <v>144</v>
      </c>
      <c r="S20" s="20"/>
      <c r="T20" s="28">
        <v>550</v>
      </c>
      <c r="U20" s="19" t="str">
        <f>"788,3700"</f>
        <v>788,3700</v>
      </c>
      <c r="V20" s="7" t="s">
        <v>907</v>
      </c>
    </row>
    <row r="22" spans="1:22" ht="15" x14ac:dyDescent="0.2">
      <c r="B22" s="294" t="s">
        <v>4015</v>
      </c>
      <c r="C22" s="294"/>
      <c r="D22" s="294"/>
      <c r="E22" s="294"/>
      <c r="F22" s="294"/>
      <c r="G22" s="294"/>
      <c r="H22" s="294"/>
      <c r="I22" s="294"/>
      <c r="J22" s="294"/>
      <c r="K22" s="294"/>
      <c r="L22" s="294"/>
      <c r="M22" s="294"/>
      <c r="N22" s="294"/>
      <c r="O22" s="294"/>
      <c r="P22" s="294"/>
      <c r="Q22" s="294"/>
      <c r="R22" s="294"/>
      <c r="S22" s="294"/>
      <c r="T22" s="294"/>
      <c r="U22" s="294"/>
    </row>
    <row r="23" spans="1:22" x14ac:dyDescent="0.2">
      <c r="A23" s="43">
        <v>1</v>
      </c>
      <c r="B23" s="7" t="s">
        <v>908</v>
      </c>
      <c r="C23" s="202" t="s">
        <v>909</v>
      </c>
      <c r="D23" s="7" t="s">
        <v>910</v>
      </c>
      <c r="E23" s="7" t="str">
        <f>"1,3464"</f>
        <v>1,3464</v>
      </c>
      <c r="F23" s="7" t="s">
        <v>4020</v>
      </c>
      <c r="G23" s="7" t="s">
        <v>847</v>
      </c>
      <c r="H23" s="34" t="s">
        <v>106</v>
      </c>
      <c r="I23" s="34" t="s">
        <v>166</v>
      </c>
      <c r="J23" s="34" t="s">
        <v>135</v>
      </c>
      <c r="K23" s="20"/>
      <c r="L23" s="34" t="s">
        <v>97</v>
      </c>
      <c r="M23" s="34" t="s">
        <v>87</v>
      </c>
      <c r="N23" s="34" t="s">
        <v>169</v>
      </c>
      <c r="O23" s="20"/>
      <c r="P23" s="34" t="s">
        <v>246</v>
      </c>
      <c r="Q23" s="34" t="s">
        <v>189</v>
      </c>
      <c r="R23" s="34" t="s">
        <v>660</v>
      </c>
      <c r="S23" s="20"/>
      <c r="T23" s="28">
        <v>570</v>
      </c>
      <c r="U23" s="19" t="str">
        <f>"767,4480"</f>
        <v>767,4480</v>
      </c>
      <c r="V23" s="7" t="s">
        <v>1061</v>
      </c>
    </row>
    <row r="25" spans="1:22" ht="15" x14ac:dyDescent="0.2">
      <c r="B25" s="294" t="s">
        <v>4007</v>
      </c>
      <c r="C25" s="294"/>
      <c r="D25" s="294"/>
      <c r="E25" s="294"/>
      <c r="F25" s="294"/>
      <c r="G25" s="294"/>
      <c r="H25" s="294"/>
      <c r="I25" s="294"/>
      <c r="J25" s="294"/>
      <c r="K25" s="294"/>
      <c r="L25" s="294"/>
      <c r="M25" s="294"/>
      <c r="N25" s="294"/>
      <c r="O25" s="294"/>
      <c r="P25" s="294"/>
      <c r="Q25" s="294"/>
      <c r="R25" s="294"/>
      <c r="S25" s="294"/>
      <c r="T25" s="294"/>
      <c r="U25" s="294"/>
    </row>
    <row r="26" spans="1:22" x14ac:dyDescent="0.2">
      <c r="A26" s="43">
        <v>1</v>
      </c>
      <c r="B26" s="15" t="s">
        <v>1006</v>
      </c>
      <c r="C26" s="233" t="s">
        <v>911</v>
      </c>
      <c r="D26" s="15" t="s">
        <v>899</v>
      </c>
      <c r="E26" s="15" t="str">
        <f>"1,2700"</f>
        <v>1,2700</v>
      </c>
      <c r="F26" s="15" t="s">
        <v>1056</v>
      </c>
      <c r="G26" s="15" t="s">
        <v>796</v>
      </c>
      <c r="H26" s="35" t="s">
        <v>81</v>
      </c>
      <c r="I26" s="35" t="s">
        <v>76</v>
      </c>
      <c r="J26" s="35" t="s">
        <v>69</v>
      </c>
      <c r="K26" s="22"/>
      <c r="L26" s="35" t="s">
        <v>41</v>
      </c>
      <c r="M26" s="35" t="s">
        <v>81</v>
      </c>
      <c r="N26" s="38" t="s">
        <v>91</v>
      </c>
      <c r="O26" s="22"/>
      <c r="P26" s="35" t="s">
        <v>46</v>
      </c>
      <c r="Q26" s="35" t="s">
        <v>87</v>
      </c>
      <c r="R26" s="35" t="s">
        <v>112</v>
      </c>
      <c r="S26" s="22"/>
      <c r="T26" s="29">
        <v>320</v>
      </c>
      <c r="U26" s="21" t="str">
        <f>"406,4000"</f>
        <v>406,4000</v>
      </c>
      <c r="V26" s="15" t="s">
        <v>753</v>
      </c>
    </row>
    <row r="27" spans="1:22" x14ac:dyDescent="0.2">
      <c r="A27" s="43">
        <v>1</v>
      </c>
      <c r="B27" s="16" t="s">
        <v>1032</v>
      </c>
      <c r="C27" s="235" t="s">
        <v>912</v>
      </c>
      <c r="D27" s="16" t="s">
        <v>569</v>
      </c>
      <c r="E27" s="16" t="str">
        <f>"1,2742"</f>
        <v>1,2742</v>
      </c>
      <c r="F27" s="16" t="s">
        <v>4020</v>
      </c>
      <c r="G27" s="16" t="s">
        <v>3185</v>
      </c>
      <c r="H27" s="36" t="s">
        <v>65</v>
      </c>
      <c r="I27" s="36" t="s">
        <v>69</v>
      </c>
      <c r="J27" s="36" t="s">
        <v>70</v>
      </c>
      <c r="K27" s="24"/>
      <c r="L27" s="40" t="s">
        <v>85</v>
      </c>
      <c r="M27" s="36" t="s">
        <v>85</v>
      </c>
      <c r="N27" s="40" t="s">
        <v>61</v>
      </c>
      <c r="O27" s="24"/>
      <c r="P27" s="36" t="s">
        <v>112</v>
      </c>
      <c r="Q27" s="36" t="s">
        <v>116</v>
      </c>
      <c r="R27" s="36" t="s">
        <v>148</v>
      </c>
      <c r="S27" s="24"/>
      <c r="T27" s="30">
        <v>355</v>
      </c>
      <c r="U27" s="23" t="str">
        <f>"452,3410"</f>
        <v>452,3410</v>
      </c>
      <c r="V27" s="16" t="s">
        <v>3391</v>
      </c>
    </row>
    <row r="28" spans="1:22" x14ac:dyDescent="0.2">
      <c r="A28" s="43">
        <v>1</v>
      </c>
      <c r="B28" s="17" t="s">
        <v>1033</v>
      </c>
      <c r="C28" s="234" t="s">
        <v>913</v>
      </c>
      <c r="D28" s="17" t="s">
        <v>591</v>
      </c>
      <c r="E28" s="17" t="str">
        <f>"1,3612"</f>
        <v>1,3612</v>
      </c>
      <c r="F28" s="17" t="s">
        <v>3179</v>
      </c>
      <c r="G28" s="17" t="s">
        <v>3178</v>
      </c>
      <c r="H28" s="37" t="s">
        <v>169</v>
      </c>
      <c r="I28" s="39" t="s">
        <v>158</v>
      </c>
      <c r="J28" s="37" t="s">
        <v>158</v>
      </c>
      <c r="K28" s="26"/>
      <c r="L28" s="37" t="s">
        <v>51</v>
      </c>
      <c r="M28" s="37" t="s">
        <v>54</v>
      </c>
      <c r="N28" s="39" t="s">
        <v>41</v>
      </c>
      <c r="O28" s="26"/>
      <c r="P28" s="37" t="s">
        <v>127</v>
      </c>
      <c r="Q28" s="37" t="s">
        <v>141</v>
      </c>
      <c r="R28" s="26"/>
      <c r="S28" s="26"/>
      <c r="T28" s="31">
        <v>365</v>
      </c>
      <c r="U28" s="25" t="str">
        <f>"1023,4863"</f>
        <v>1023,4863</v>
      </c>
      <c r="V28" s="17" t="s">
        <v>3391</v>
      </c>
    </row>
    <row r="30" spans="1:22" ht="15" x14ac:dyDescent="0.2">
      <c r="B30" s="294" t="s">
        <v>4008</v>
      </c>
      <c r="C30" s="294"/>
      <c r="D30" s="294"/>
      <c r="E30" s="294"/>
      <c r="F30" s="294"/>
      <c r="G30" s="294"/>
      <c r="H30" s="294"/>
      <c r="I30" s="294"/>
      <c r="J30" s="294"/>
      <c r="K30" s="294"/>
      <c r="L30" s="294"/>
      <c r="M30" s="294"/>
      <c r="N30" s="294"/>
      <c r="O30" s="294"/>
      <c r="P30" s="294"/>
      <c r="Q30" s="294"/>
      <c r="R30" s="294"/>
      <c r="S30" s="294"/>
      <c r="T30" s="294"/>
      <c r="U30" s="294"/>
    </row>
    <row r="31" spans="1:22" x14ac:dyDescent="0.2">
      <c r="A31" s="43">
        <v>1</v>
      </c>
      <c r="B31" s="15" t="s">
        <v>1005</v>
      </c>
      <c r="C31" s="233" t="s">
        <v>914</v>
      </c>
      <c r="D31" s="15" t="s">
        <v>915</v>
      </c>
      <c r="E31" s="15" t="str">
        <f>"1,1588"</f>
        <v>1,1588</v>
      </c>
      <c r="F31" s="15" t="s">
        <v>4020</v>
      </c>
      <c r="G31" s="15" t="s">
        <v>3186</v>
      </c>
      <c r="H31" s="35" t="s">
        <v>141</v>
      </c>
      <c r="I31" s="38" t="s">
        <v>156</v>
      </c>
      <c r="J31" s="38" t="s">
        <v>156</v>
      </c>
      <c r="K31" s="22"/>
      <c r="L31" s="35" t="s">
        <v>70</v>
      </c>
      <c r="M31" s="38" t="s">
        <v>112</v>
      </c>
      <c r="N31" s="38" t="s">
        <v>112</v>
      </c>
      <c r="O31" s="22"/>
      <c r="P31" s="35" t="s">
        <v>156</v>
      </c>
      <c r="Q31" s="35" t="s">
        <v>106</v>
      </c>
      <c r="R31" s="38" t="s">
        <v>107</v>
      </c>
      <c r="S31" s="22"/>
      <c r="T31" s="29">
        <v>465</v>
      </c>
      <c r="U31" s="21" t="str">
        <f>"538,8420"</f>
        <v>538,8420</v>
      </c>
      <c r="V31" s="15" t="s">
        <v>3391</v>
      </c>
    </row>
    <row r="32" spans="1:22" x14ac:dyDescent="0.2">
      <c r="A32" s="43">
        <v>1</v>
      </c>
      <c r="B32" s="17" t="s">
        <v>1034</v>
      </c>
      <c r="C32" s="234" t="s">
        <v>916</v>
      </c>
      <c r="D32" s="17" t="s">
        <v>388</v>
      </c>
      <c r="E32" s="17" t="str">
        <f>"1,1692"</f>
        <v>1,1692</v>
      </c>
      <c r="F32" s="17" t="s">
        <v>857</v>
      </c>
      <c r="G32" s="17" t="s">
        <v>796</v>
      </c>
      <c r="H32" s="37" t="s">
        <v>25</v>
      </c>
      <c r="I32" s="37" t="s">
        <v>141</v>
      </c>
      <c r="J32" s="37" t="s">
        <v>142</v>
      </c>
      <c r="K32" s="26"/>
      <c r="L32" s="37" t="s">
        <v>71</v>
      </c>
      <c r="M32" s="37" t="s">
        <v>158</v>
      </c>
      <c r="N32" s="39" t="s">
        <v>165</v>
      </c>
      <c r="O32" s="26"/>
      <c r="P32" s="37" t="s">
        <v>106</v>
      </c>
      <c r="Q32" s="39" t="s">
        <v>166</v>
      </c>
      <c r="R32" s="37" t="s">
        <v>140</v>
      </c>
      <c r="S32" s="26"/>
      <c r="T32" s="31">
        <v>497.5</v>
      </c>
      <c r="U32" s="25" t="str">
        <f>"581,6770"</f>
        <v>581,6770</v>
      </c>
      <c r="V32" s="17" t="s">
        <v>1062</v>
      </c>
    </row>
    <row r="34" spans="1:22" ht="15" x14ac:dyDescent="0.2">
      <c r="B34" s="294" t="s">
        <v>4009</v>
      </c>
      <c r="C34" s="294"/>
      <c r="D34" s="294"/>
      <c r="E34" s="294"/>
      <c r="F34" s="294"/>
      <c r="G34" s="294"/>
      <c r="H34" s="294"/>
      <c r="I34" s="294"/>
      <c r="J34" s="294"/>
      <c r="K34" s="294"/>
      <c r="L34" s="294"/>
      <c r="M34" s="294"/>
      <c r="N34" s="294"/>
      <c r="O34" s="294"/>
      <c r="P34" s="294"/>
      <c r="Q34" s="294"/>
      <c r="R34" s="294"/>
      <c r="S34" s="294"/>
      <c r="T34" s="294"/>
      <c r="U34" s="294"/>
    </row>
    <row r="35" spans="1:22" x14ac:dyDescent="0.2">
      <c r="A35" s="43">
        <v>1</v>
      </c>
      <c r="B35" s="15" t="s">
        <v>1035</v>
      </c>
      <c r="C35" s="233" t="s">
        <v>918</v>
      </c>
      <c r="D35" s="15" t="s">
        <v>919</v>
      </c>
      <c r="E35" s="15" t="str">
        <f>"1,0636"</f>
        <v>1,0636</v>
      </c>
      <c r="F35" s="15" t="s">
        <v>4020</v>
      </c>
      <c r="G35" s="15" t="s">
        <v>846</v>
      </c>
      <c r="H35" s="38" t="s">
        <v>920</v>
      </c>
      <c r="I35" s="38" t="s">
        <v>920</v>
      </c>
      <c r="J35" s="35" t="s">
        <v>920</v>
      </c>
      <c r="K35" s="22"/>
      <c r="L35" s="35" t="s">
        <v>71</v>
      </c>
      <c r="M35" s="35" t="s">
        <v>104</v>
      </c>
      <c r="N35" s="35" t="s">
        <v>23</v>
      </c>
      <c r="O35" s="35" t="s">
        <v>116</v>
      </c>
      <c r="P35" s="35" t="s">
        <v>107</v>
      </c>
      <c r="Q35" s="35" t="s">
        <v>140</v>
      </c>
      <c r="R35" s="35" t="s">
        <v>143</v>
      </c>
      <c r="S35" s="38" t="s">
        <v>24</v>
      </c>
      <c r="T35" s="29">
        <v>510.5</v>
      </c>
      <c r="U35" s="21" t="str">
        <f>"542,9678"</f>
        <v>542,9678</v>
      </c>
      <c r="V35" s="15" t="s">
        <v>546</v>
      </c>
    </row>
    <row r="36" spans="1:22" x14ac:dyDescent="0.2">
      <c r="A36" s="43">
        <v>1</v>
      </c>
      <c r="B36" s="16" t="s">
        <v>1036</v>
      </c>
      <c r="C36" s="235" t="s">
        <v>922</v>
      </c>
      <c r="D36" s="16" t="s">
        <v>201</v>
      </c>
      <c r="E36" s="16" t="str">
        <f>"1,0298"</f>
        <v>1,0298</v>
      </c>
      <c r="F36" s="16" t="s">
        <v>4020</v>
      </c>
      <c r="G36" s="16" t="s">
        <v>796</v>
      </c>
      <c r="H36" s="36" t="s">
        <v>140</v>
      </c>
      <c r="I36" s="36" t="s">
        <v>24</v>
      </c>
      <c r="J36" s="40" t="s">
        <v>246</v>
      </c>
      <c r="K36" s="24"/>
      <c r="L36" s="36" t="s">
        <v>104</v>
      </c>
      <c r="M36" s="36" t="s">
        <v>116</v>
      </c>
      <c r="N36" s="36" t="s">
        <v>574</v>
      </c>
      <c r="O36" s="24"/>
      <c r="P36" s="36" t="s">
        <v>253</v>
      </c>
      <c r="Q36" s="36" t="s">
        <v>17</v>
      </c>
      <c r="R36" s="36" t="s">
        <v>35</v>
      </c>
      <c r="S36" s="24"/>
      <c r="T36" s="30">
        <v>637.5</v>
      </c>
      <c r="U36" s="23" t="str">
        <f>"656,4975"</f>
        <v>656,4975</v>
      </c>
      <c r="V36" s="16" t="s">
        <v>1063</v>
      </c>
    </row>
    <row r="37" spans="1:22" x14ac:dyDescent="0.2">
      <c r="A37" s="43">
        <v>2</v>
      </c>
      <c r="B37" s="16" t="s">
        <v>1037</v>
      </c>
      <c r="C37" s="235" t="s">
        <v>923</v>
      </c>
      <c r="D37" s="16" t="s">
        <v>924</v>
      </c>
      <c r="E37" s="16" t="str">
        <f>"1,0768"</f>
        <v>1,0768</v>
      </c>
      <c r="F37" s="16" t="s">
        <v>4020</v>
      </c>
      <c r="G37" s="16" t="s">
        <v>3184</v>
      </c>
      <c r="H37" s="36" t="s">
        <v>106</v>
      </c>
      <c r="I37" s="40" t="s">
        <v>140</v>
      </c>
      <c r="J37" s="36" t="s">
        <v>140</v>
      </c>
      <c r="K37" s="24"/>
      <c r="L37" s="36" t="s">
        <v>116</v>
      </c>
      <c r="M37" s="36" t="s">
        <v>36</v>
      </c>
      <c r="N37" s="40" t="s">
        <v>25</v>
      </c>
      <c r="O37" s="24"/>
      <c r="P37" s="40" t="s">
        <v>144</v>
      </c>
      <c r="Q37" s="36" t="s">
        <v>208</v>
      </c>
      <c r="R37" s="40" t="s">
        <v>261</v>
      </c>
      <c r="S37" s="24"/>
      <c r="T37" s="30">
        <v>595</v>
      </c>
      <c r="U37" s="23" t="str">
        <f>"640,6960"</f>
        <v>640,6960</v>
      </c>
      <c r="V37" s="16" t="s">
        <v>1064</v>
      </c>
    </row>
    <row r="38" spans="1:22" x14ac:dyDescent="0.2">
      <c r="A38" s="43">
        <v>1</v>
      </c>
      <c r="B38" s="16" t="s">
        <v>1038</v>
      </c>
      <c r="C38" s="235" t="s">
        <v>925</v>
      </c>
      <c r="D38" s="16" t="s">
        <v>13</v>
      </c>
      <c r="E38" s="16" t="str">
        <f>"1,0384"</f>
        <v>1,0384</v>
      </c>
      <c r="F38" s="16" t="s">
        <v>3180</v>
      </c>
      <c r="G38" s="16" t="s">
        <v>3309</v>
      </c>
      <c r="H38" s="36" t="s">
        <v>35</v>
      </c>
      <c r="I38" s="36" t="s">
        <v>262</v>
      </c>
      <c r="J38" s="36" t="s">
        <v>926</v>
      </c>
      <c r="K38" s="24"/>
      <c r="L38" s="36" t="s">
        <v>156</v>
      </c>
      <c r="M38" s="40" t="s">
        <v>106</v>
      </c>
      <c r="N38" s="24"/>
      <c r="O38" s="24"/>
      <c r="P38" s="36" t="s">
        <v>26</v>
      </c>
      <c r="Q38" s="40" t="s">
        <v>274</v>
      </c>
      <c r="R38" s="40" t="s">
        <v>274</v>
      </c>
      <c r="S38" s="24"/>
      <c r="T38" s="30">
        <v>750</v>
      </c>
      <c r="U38" s="23" t="str">
        <f>"778,8000"</f>
        <v>778,8000</v>
      </c>
      <c r="V38" s="16" t="s">
        <v>3391</v>
      </c>
    </row>
    <row r="39" spans="1:22" x14ac:dyDescent="0.2">
      <c r="A39" s="43">
        <v>2</v>
      </c>
      <c r="B39" s="16" t="s">
        <v>1039</v>
      </c>
      <c r="C39" s="235" t="s">
        <v>927</v>
      </c>
      <c r="D39" s="16" t="s">
        <v>420</v>
      </c>
      <c r="E39" s="16" t="str">
        <f>"1,0356"</f>
        <v>1,0356</v>
      </c>
      <c r="F39" s="16" t="s">
        <v>3180</v>
      </c>
      <c r="G39" s="16" t="s">
        <v>3189</v>
      </c>
      <c r="H39" s="36" t="s">
        <v>273</v>
      </c>
      <c r="I39" s="36" t="s">
        <v>928</v>
      </c>
      <c r="J39" s="36" t="s">
        <v>16</v>
      </c>
      <c r="K39" s="24"/>
      <c r="L39" s="36" t="s">
        <v>105</v>
      </c>
      <c r="M39" s="36" t="s">
        <v>126</v>
      </c>
      <c r="N39" s="40" t="s">
        <v>36</v>
      </c>
      <c r="O39" s="24"/>
      <c r="P39" s="36" t="s">
        <v>15</v>
      </c>
      <c r="Q39" s="36" t="s">
        <v>681</v>
      </c>
      <c r="R39" s="40" t="s">
        <v>26</v>
      </c>
      <c r="S39" s="24"/>
      <c r="T39" s="30">
        <v>697.5</v>
      </c>
      <c r="U39" s="23" t="str">
        <f>"722,3310"</f>
        <v>722,3310</v>
      </c>
      <c r="V39" s="16" t="s">
        <v>3391</v>
      </c>
    </row>
    <row r="40" spans="1:22" x14ac:dyDescent="0.2">
      <c r="A40" s="43">
        <v>3</v>
      </c>
      <c r="B40" s="16" t="s">
        <v>1040</v>
      </c>
      <c r="C40" s="235" t="s">
        <v>929</v>
      </c>
      <c r="D40" s="16" t="s">
        <v>13</v>
      </c>
      <c r="E40" s="16" t="str">
        <f>"1,0384"</f>
        <v>1,0384</v>
      </c>
      <c r="F40" s="16" t="s">
        <v>860</v>
      </c>
      <c r="G40" s="16" t="s">
        <v>3187</v>
      </c>
      <c r="H40" s="40" t="s">
        <v>24</v>
      </c>
      <c r="I40" s="36" t="s">
        <v>144</v>
      </c>
      <c r="J40" s="40" t="s">
        <v>189</v>
      </c>
      <c r="K40" s="24"/>
      <c r="L40" s="36" t="s">
        <v>126</v>
      </c>
      <c r="M40" s="36" t="s">
        <v>148</v>
      </c>
      <c r="N40" s="40" t="s">
        <v>25</v>
      </c>
      <c r="O40" s="24"/>
      <c r="P40" s="36" t="s">
        <v>287</v>
      </c>
      <c r="Q40" s="36" t="s">
        <v>274</v>
      </c>
      <c r="R40" s="36" t="s">
        <v>644</v>
      </c>
      <c r="S40" s="24"/>
      <c r="T40" s="30">
        <v>687.5</v>
      </c>
      <c r="U40" s="23" t="str">
        <f>"713,9000"</f>
        <v>713,9000</v>
      </c>
      <c r="V40" s="16" t="s">
        <v>3391</v>
      </c>
    </row>
    <row r="41" spans="1:22" x14ac:dyDescent="0.2">
      <c r="A41" s="43">
        <v>4</v>
      </c>
      <c r="B41" s="16" t="s">
        <v>1041</v>
      </c>
      <c r="C41" s="235" t="s">
        <v>930</v>
      </c>
      <c r="D41" s="16" t="s">
        <v>931</v>
      </c>
      <c r="E41" s="16" t="str">
        <f>"1,0440"</f>
        <v>1,0440</v>
      </c>
      <c r="F41" s="16" t="s">
        <v>4020</v>
      </c>
      <c r="G41" s="16" t="s">
        <v>3188</v>
      </c>
      <c r="H41" s="36" t="s">
        <v>143</v>
      </c>
      <c r="I41" s="36" t="s">
        <v>24</v>
      </c>
      <c r="J41" s="36" t="s">
        <v>246</v>
      </c>
      <c r="K41" s="24"/>
      <c r="L41" s="36" t="s">
        <v>36</v>
      </c>
      <c r="M41" s="36" t="s">
        <v>25</v>
      </c>
      <c r="N41" s="40" t="s">
        <v>149</v>
      </c>
      <c r="O41" s="24"/>
      <c r="P41" s="36" t="s">
        <v>37</v>
      </c>
      <c r="Q41" s="36" t="s">
        <v>17</v>
      </c>
      <c r="R41" s="36" t="s">
        <v>35</v>
      </c>
      <c r="S41" s="24"/>
      <c r="T41" s="30">
        <v>650</v>
      </c>
      <c r="U41" s="23" t="str">
        <f>"678,6000"</f>
        <v>678,6000</v>
      </c>
      <c r="V41" s="16" t="s">
        <v>3183</v>
      </c>
    </row>
    <row r="42" spans="1:22" x14ac:dyDescent="0.2">
      <c r="A42" s="43">
        <v>5</v>
      </c>
      <c r="B42" s="16" t="s">
        <v>921</v>
      </c>
      <c r="C42" s="235" t="s">
        <v>932</v>
      </c>
      <c r="D42" s="16" t="s">
        <v>201</v>
      </c>
      <c r="E42" s="16" t="str">
        <f>"1,0298"</f>
        <v>1,0298</v>
      </c>
      <c r="F42" s="16" t="s">
        <v>4020</v>
      </c>
      <c r="G42" s="16" t="s">
        <v>846</v>
      </c>
      <c r="H42" s="40" t="s">
        <v>37</v>
      </c>
      <c r="I42" s="36" t="s">
        <v>37</v>
      </c>
      <c r="J42" s="24"/>
      <c r="K42" s="24"/>
      <c r="L42" s="36" t="s">
        <v>116</v>
      </c>
      <c r="M42" s="36" t="s">
        <v>126</v>
      </c>
      <c r="N42" s="40" t="s">
        <v>36</v>
      </c>
      <c r="O42" s="24"/>
      <c r="P42" s="36" t="s">
        <v>24</v>
      </c>
      <c r="Q42" s="36" t="s">
        <v>253</v>
      </c>
      <c r="R42" s="40" t="s">
        <v>17</v>
      </c>
      <c r="S42" s="24"/>
      <c r="T42" s="30">
        <v>635</v>
      </c>
      <c r="U42" s="23" t="str">
        <f>"653,9230"</f>
        <v>653,9230</v>
      </c>
      <c r="V42" s="16" t="s">
        <v>3391</v>
      </c>
    </row>
    <row r="43" spans="1:22" x14ac:dyDescent="0.2">
      <c r="A43" s="43">
        <v>1</v>
      </c>
      <c r="B43" s="16" t="s">
        <v>1042</v>
      </c>
      <c r="C43" s="235" t="s">
        <v>933</v>
      </c>
      <c r="D43" s="16" t="s">
        <v>13</v>
      </c>
      <c r="E43" s="16" t="str">
        <f>"1,0384"</f>
        <v>1,0384</v>
      </c>
      <c r="F43" s="16" t="s">
        <v>111</v>
      </c>
      <c r="G43" s="16" t="s">
        <v>3177</v>
      </c>
      <c r="H43" s="36" t="s">
        <v>142</v>
      </c>
      <c r="I43" s="24"/>
      <c r="J43" s="24"/>
      <c r="K43" s="24"/>
      <c r="L43" s="36" t="s">
        <v>934</v>
      </c>
      <c r="M43" s="24"/>
      <c r="N43" s="24"/>
      <c r="O43" s="24"/>
      <c r="P43" s="40" t="s">
        <v>140</v>
      </c>
      <c r="Q43" s="36" t="s">
        <v>140</v>
      </c>
      <c r="R43" s="36" t="s">
        <v>390</v>
      </c>
      <c r="S43" s="24"/>
      <c r="T43" s="30">
        <v>491</v>
      </c>
      <c r="U43" s="23" t="str">
        <f>"595,5100"</f>
        <v>595,5100</v>
      </c>
      <c r="V43" s="16" t="s">
        <v>935</v>
      </c>
    </row>
    <row r="44" spans="1:22" x14ac:dyDescent="0.2">
      <c r="A44" s="43">
        <v>1</v>
      </c>
      <c r="B44" s="17" t="s">
        <v>1023</v>
      </c>
      <c r="C44" s="234" t="s">
        <v>936</v>
      </c>
      <c r="D44" s="17" t="s">
        <v>937</v>
      </c>
      <c r="E44" s="17" t="str">
        <f>"1,0840"</f>
        <v>1,0840</v>
      </c>
      <c r="F44" s="17" t="s">
        <v>3179</v>
      </c>
      <c r="G44" s="17" t="s">
        <v>3178</v>
      </c>
      <c r="H44" s="37" t="s">
        <v>127</v>
      </c>
      <c r="I44" s="39" t="s">
        <v>142</v>
      </c>
      <c r="J44" s="37" t="s">
        <v>156</v>
      </c>
      <c r="K44" s="26"/>
      <c r="L44" s="37" t="s">
        <v>70</v>
      </c>
      <c r="M44" s="37" t="s">
        <v>157</v>
      </c>
      <c r="N44" s="26"/>
      <c r="O44" s="26"/>
      <c r="P44" s="37" t="s">
        <v>224</v>
      </c>
      <c r="Q44" s="37" t="s">
        <v>135</v>
      </c>
      <c r="R44" s="37" t="s">
        <v>143</v>
      </c>
      <c r="S44" s="26"/>
      <c r="T44" s="31">
        <v>507.5</v>
      </c>
      <c r="U44" s="25" t="str">
        <f>"742,6755"</f>
        <v>742,6755</v>
      </c>
      <c r="V44" s="17" t="s">
        <v>3391</v>
      </c>
    </row>
    <row r="46" spans="1:22" ht="15" x14ac:dyDescent="0.2">
      <c r="B46" s="294" t="s">
        <v>4010</v>
      </c>
      <c r="C46" s="294"/>
      <c r="D46" s="294"/>
      <c r="E46" s="294"/>
      <c r="F46" s="294"/>
      <c r="G46" s="294"/>
      <c r="H46" s="294"/>
      <c r="I46" s="294"/>
      <c r="J46" s="294"/>
      <c r="K46" s="294"/>
      <c r="L46" s="294"/>
      <c r="M46" s="294"/>
      <c r="N46" s="294"/>
      <c r="O46" s="294"/>
      <c r="P46" s="294"/>
      <c r="Q46" s="294"/>
      <c r="R46" s="294"/>
      <c r="S46" s="294"/>
      <c r="T46" s="294"/>
      <c r="U46" s="294"/>
      <c r="V46" s="50"/>
    </row>
    <row r="47" spans="1:22" x14ac:dyDescent="0.2">
      <c r="A47" s="43">
        <v>1</v>
      </c>
      <c r="B47" s="15" t="s">
        <v>1043</v>
      </c>
      <c r="C47" s="233" t="s">
        <v>938</v>
      </c>
      <c r="D47" s="15" t="s">
        <v>10</v>
      </c>
      <c r="E47" s="15" t="str">
        <f>"0,9736"</f>
        <v>0,9736</v>
      </c>
      <c r="F47" s="15" t="s">
        <v>4020</v>
      </c>
      <c r="G47" s="15" t="s">
        <v>3186</v>
      </c>
      <c r="H47" s="35" t="s">
        <v>37</v>
      </c>
      <c r="I47" s="38" t="s">
        <v>17</v>
      </c>
      <c r="J47" s="38" t="s">
        <v>17</v>
      </c>
      <c r="K47" s="22"/>
      <c r="L47" s="35" t="s">
        <v>11</v>
      </c>
      <c r="M47" s="35" t="s">
        <v>107</v>
      </c>
      <c r="N47" s="38" t="s">
        <v>166</v>
      </c>
      <c r="O47" s="22"/>
      <c r="P47" s="35" t="s">
        <v>17</v>
      </c>
      <c r="Q47" s="35" t="s">
        <v>35</v>
      </c>
      <c r="R47" s="35" t="s">
        <v>16</v>
      </c>
      <c r="S47" s="22"/>
      <c r="T47" s="29">
        <v>715</v>
      </c>
      <c r="U47" s="21" t="str">
        <f>"696,1240"</f>
        <v>696,1240</v>
      </c>
      <c r="V47" s="16" t="s">
        <v>3391</v>
      </c>
    </row>
    <row r="48" spans="1:22" x14ac:dyDescent="0.2">
      <c r="A48" s="43">
        <v>1</v>
      </c>
      <c r="B48" s="16" t="s">
        <v>1044</v>
      </c>
      <c r="C48" s="235" t="s">
        <v>939</v>
      </c>
      <c r="D48" s="16" t="s">
        <v>235</v>
      </c>
      <c r="E48" s="16" t="str">
        <f>"0,9698"</f>
        <v>0,9698</v>
      </c>
      <c r="F48" s="16" t="s">
        <v>4020</v>
      </c>
      <c r="G48" s="16" t="s">
        <v>3190</v>
      </c>
      <c r="H48" s="36" t="s">
        <v>253</v>
      </c>
      <c r="I48" s="36" t="s">
        <v>37</v>
      </c>
      <c r="J48" s="40" t="s">
        <v>261</v>
      </c>
      <c r="K48" s="24"/>
      <c r="L48" s="36" t="s">
        <v>127</v>
      </c>
      <c r="M48" s="36" t="s">
        <v>30</v>
      </c>
      <c r="N48" s="36" t="s">
        <v>239</v>
      </c>
      <c r="O48" s="24"/>
      <c r="P48" s="36" t="s">
        <v>16</v>
      </c>
      <c r="Q48" s="36" t="s">
        <v>262</v>
      </c>
      <c r="R48" s="36" t="s">
        <v>926</v>
      </c>
      <c r="S48" s="24"/>
      <c r="T48" s="30">
        <v>717.5</v>
      </c>
      <c r="U48" s="23" t="str">
        <f>"695,8315"</f>
        <v>695,8315</v>
      </c>
      <c r="V48" s="16" t="s">
        <v>3391</v>
      </c>
    </row>
    <row r="49" spans="1:22" x14ac:dyDescent="0.2">
      <c r="A49" s="43">
        <v>2</v>
      </c>
      <c r="B49" s="16" t="s">
        <v>940</v>
      </c>
      <c r="C49" s="235" t="s">
        <v>941</v>
      </c>
      <c r="D49" s="16" t="s">
        <v>10</v>
      </c>
      <c r="E49" s="16" t="str">
        <f>"0,9736"</f>
        <v>0,9736</v>
      </c>
      <c r="F49" s="16" t="s">
        <v>4020</v>
      </c>
      <c r="G49" s="16" t="s">
        <v>3186</v>
      </c>
      <c r="H49" s="36" t="s">
        <v>37</v>
      </c>
      <c r="I49" s="40" t="s">
        <v>17</v>
      </c>
      <c r="J49" s="40" t="s">
        <v>17</v>
      </c>
      <c r="K49" s="24"/>
      <c r="L49" s="36" t="s">
        <v>11</v>
      </c>
      <c r="M49" s="36" t="s">
        <v>107</v>
      </c>
      <c r="N49" s="40" t="s">
        <v>166</v>
      </c>
      <c r="O49" s="24"/>
      <c r="P49" s="36" t="s">
        <v>17</v>
      </c>
      <c r="Q49" s="36" t="s">
        <v>35</v>
      </c>
      <c r="R49" s="36" t="s">
        <v>16</v>
      </c>
      <c r="S49" s="24"/>
      <c r="T49" s="30">
        <v>715</v>
      </c>
      <c r="U49" s="23" t="str">
        <f>"696,1240"</f>
        <v>696,1240</v>
      </c>
      <c r="V49" s="16" t="s">
        <v>3391</v>
      </c>
    </row>
    <row r="50" spans="1:22" x14ac:dyDescent="0.2">
      <c r="A50" s="43">
        <v>3</v>
      </c>
      <c r="B50" s="16" t="s">
        <v>1045</v>
      </c>
      <c r="C50" s="235" t="s">
        <v>28</v>
      </c>
      <c r="D50" s="16" t="s">
        <v>29</v>
      </c>
      <c r="E50" s="16" t="str">
        <f>"0,9720"</f>
        <v>0,9720</v>
      </c>
      <c r="F50" s="16" t="s">
        <v>3181</v>
      </c>
      <c r="G50" s="16" t="s">
        <v>3192</v>
      </c>
      <c r="H50" s="36" t="s">
        <v>143</v>
      </c>
      <c r="I50" s="36" t="s">
        <v>24</v>
      </c>
      <c r="J50" s="36" t="s">
        <v>144</v>
      </c>
      <c r="K50" s="24"/>
      <c r="L50" s="36" t="s">
        <v>127</v>
      </c>
      <c r="M50" s="40" t="s">
        <v>30</v>
      </c>
      <c r="N50" s="36" t="s">
        <v>30</v>
      </c>
      <c r="O50" s="24"/>
      <c r="P50" s="36" t="s">
        <v>37</v>
      </c>
      <c r="Q50" s="36" t="s">
        <v>15</v>
      </c>
      <c r="R50" s="36" t="s">
        <v>16</v>
      </c>
      <c r="S50" s="24"/>
      <c r="T50" s="30">
        <v>672.5</v>
      </c>
      <c r="U50" s="23" t="str">
        <f>"653,6700"</f>
        <v>653,6700</v>
      </c>
      <c r="V50" s="16" t="s">
        <v>31</v>
      </c>
    </row>
    <row r="51" spans="1:22" x14ac:dyDescent="0.2">
      <c r="A51" s="43">
        <v>4</v>
      </c>
      <c r="B51" s="16" t="s">
        <v>1046</v>
      </c>
      <c r="C51" s="235" t="s">
        <v>942</v>
      </c>
      <c r="D51" s="16" t="s">
        <v>564</v>
      </c>
      <c r="E51" s="16" t="str">
        <f>"0,9704"</f>
        <v>0,9704</v>
      </c>
      <c r="F51" s="16" t="s">
        <v>1057</v>
      </c>
      <c r="G51" s="16" t="s">
        <v>3191</v>
      </c>
      <c r="H51" s="36" t="s">
        <v>144</v>
      </c>
      <c r="I51" s="36" t="s">
        <v>208</v>
      </c>
      <c r="J51" s="36" t="s">
        <v>221</v>
      </c>
      <c r="K51" s="24"/>
      <c r="L51" s="36" t="s">
        <v>23</v>
      </c>
      <c r="M51" s="40" t="s">
        <v>186</v>
      </c>
      <c r="N51" s="36" t="s">
        <v>186</v>
      </c>
      <c r="O51" s="24"/>
      <c r="P51" s="36" t="s">
        <v>208</v>
      </c>
      <c r="Q51" s="36" t="s">
        <v>17</v>
      </c>
      <c r="R51" s="40" t="s">
        <v>35</v>
      </c>
      <c r="S51" s="24"/>
      <c r="T51" s="30">
        <v>655</v>
      </c>
      <c r="U51" s="23" t="str">
        <f>"635,6120"</f>
        <v>635,6120</v>
      </c>
      <c r="V51" s="16" t="s">
        <v>789</v>
      </c>
    </row>
    <row r="52" spans="1:22" x14ac:dyDescent="0.2">
      <c r="A52" s="43">
        <v>5</v>
      </c>
      <c r="B52" s="16" t="s">
        <v>1047</v>
      </c>
      <c r="C52" s="235" t="s">
        <v>943</v>
      </c>
      <c r="D52" s="16" t="s">
        <v>944</v>
      </c>
      <c r="E52" s="16" t="str">
        <f>"0,9768"</f>
        <v>0,9768</v>
      </c>
      <c r="F52" s="16" t="s">
        <v>862</v>
      </c>
      <c r="G52" s="16" t="s">
        <v>796</v>
      </c>
      <c r="H52" s="36" t="s">
        <v>107</v>
      </c>
      <c r="I52" s="36" t="s">
        <v>135</v>
      </c>
      <c r="J52" s="40" t="s">
        <v>143</v>
      </c>
      <c r="K52" s="24"/>
      <c r="L52" s="36" t="s">
        <v>25</v>
      </c>
      <c r="M52" s="36" t="s">
        <v>155</v>
      </c>
      <c r="N52" s="36" t="s">
        <v>141</v>
      </c>
      <c r="O52" s="24"/>
      <c r="P52" s="36" t="s">
        <v>253</v>
      </c>
      <c r="Q52" s="36" t="s">
        <v>221</v>
      </c>
      <c r="R52" s="36" t="s">
        <v>273</v>
      </c>
      <c r="S52" s="24"/>
      <c r="T52" s="30">
        <v>627.5</v>
      </c>
      <c r="U52" s="23" t="str">
        <f>"612,9420"</f>
        <v>612,9420</v>
      </c>
      <c r="V52" s="16" t="s">
        <v>1065</v>
      </c>
    </row>
    <row r="53" spans="1:22" x14ac:dyDescent="0.2">
      <c r="A53" s="43">
        <v>6</v>
      </c>
      <c r="B53" s="16" t="s">
        <v>1048</v>
      </c>
      <c r="C53" s="235" t="s">
        <v>945</v>
      </c>
      <c r="D53" s="16" t="s">
        <v>946</v>
      </c>
      <c r="E53" s="16" t="str">
        <f>"0,9744"</f>
        <v>0,9744</v>
      </c>
      <c r="F53" s="16" t="s">
        <v>492</v>
      </c>
      <c r="G53" s="16" t="s">
        <v>818</v>
      </c>
      <c r="H53" s="36" t="s">
        <v>24</v>
      </c>
      <c r="I53" s="36" t="s">
        <v>220</v>
      </c>
      <c r="J53" s="36" t="s">
        <v>208</v>
      </c>
      <c r="K53" s="24"/>
      <c r="L53" s="40" t="s">
        <v>71</v>
      </c>
      <c r="M53" s="36" t="s">
        <v>157</v>
      </c>
      <c r="N53" s="40" t="s">
        <v>112</v>
      </c>
      <c r="O53" s="24"/>
      <c r="P53" s="36" t="s">
        <v>253</v>
      </c>
      <c r="Q53" s="36" t="s">
        <v>37</v>
      </c>
      <c r="R53" s="40" t="s">
        <v>17</v>
      </c>
      <c r="S53" s="24"/>
      <c r="T53" s="30">
        <v>617.5</v>
      </c>
      <c r="U53" s="23" t="str">
        <f>"601,6920"</f>
        <v>601,6920</v>
      </c>
      <c r="V53" s="16" t="s">
        <v>3391</v>
      </c>
    </row>
    <row r="54" spans="1:22" x14ac:dyDescent="0.2">
      <c r="A54" s="43">
        <v>7</v>
      </c>
      <c r="B54" s="16" t="s">
        <v>1049</v>
      </c>
      <c r="C54" s="235" t="s">
        <v>947</v>
      </c>
      <c r="D54" s="16" t="s">
        <v>948</v>
      </c>
      <c r="E54" s="16" t="str">
        <f>"0,9948"</f>
        <v>0,9948</v>
      </c>
      <c r="F54" s="16" t="s">
        <v>857</v>
      </c>
      <c r="G54" s="16" t="s">
        <v>796</v>
      </c>
      <c r="H54" s="36" t="s">
        <v>107</v>
      </c>
      <c r="I54" s="40" t="s">
        <v>135</v>
      </c>
      <c r="J54" s="40" t="s">
        <v>135</v>
      </c>
      <c r="K54" s="24"/>
      <c r="L54" s="36" t="s">
        <v>116</v>
      </c>
      <c r="M54" s="40" t="s">
        <v>574</v>
      </c>
      <c r="N54" s="40" t="s">
        <v>574</v>
      </c>
      <c r="O54" s="24"/>
      <c r="P54" s="36" t="s">
        <v>253</v>
      </c>
      <c r="Q54" s="40" t="s">
        <v>660</v>
      </c>
      <c r="R54" s="40" t="s">
        <v>660</v>
      </c>
      <c r="S54" s="24"/>
      <c r="T54" s="30">
        <v>570</v>
      </c>
      <c r="U54" s="23" t="str">
        <f>"567,0360"</f>
        <v>567,0360</v>
      </c>
      <c r="V54" s="16" t="s">
        <v>1062</v>
      </c>
    </row>
    <row r="55" spans="1:22" x14ac:dyDescent="0.2">
      <c r="A55" s="43">
        <v>9</v>
      </c>
      <c r="B55" s="17" t="s">
        <v>949</v>
      </c>
      <c r="C55" s="234" t="s">
        <v>950</v>
      </c>
      <c r="D55" s="17" t="s">
        <v>235</v>
      </c>
      <c r="E55" s="17" t="str">
        <f>"0,9698"</f>
        <v>0,9698</v>
      </c>
      <c r="F55" s="17" t="s">
        <v>859</v>
      </c>
      <c r="G55" s="17" t="s">
        <v>804</v>
      </c>
      <c r="H55" s="37" t="s">
        <v>220</v>
      </c>
      <c r="I55" s="39" t="s">
        <v>208</v>
      </c>
      <c r="J55" s="39" t="s">
        <v>208</v>
      </c>
      <c r="K55" s="26"/>
      <c r="L55" s="37" t="s">
        <v>106</v>
      </c>
      <c r="M55" s="37" t="s">
        <v>224</v>
      </c>
      <c r="N55" s="39" t="s">
        <v>381</v>
      </c>
      <c r="O55" s="26"/>
      <c r="P55" s="39" t="s">
        <v>246</v>
      </c>
      <c r="Q55" s="39" t="s">
        <v>144</v>
      </c>
      <c r="R55" s="39" t="s">
        <v>253</v>
      </c>
      <c r="S55" s="26"/>
      <c r="T55" s="33">
        <v>0</v>
      </c>
      <c r="U55" s="25" t="str">
        <f>"0,0000"</f>
        <v>0,0000</v>
      </c>
      <c r="V55" s="17" t="s">
        <v>730</v>
      </c>
    </row>
    <row r="57" spans="1:22" ht="15" x14ac:dyDescent="0.2">
      <c r="B57" s="294" t="s">
        <v>4011</v>
      </c>
      <c r="C57" s="294"/>
      <c r="D57" s="294"/>
      <c r="E57" s="294"/>
      <c r="F57" s="294"/>
      <c r="G57" s="294"/>
      <c r="H57" s="294"/>
      <c r="I57" s="294"/>
      <c r="J57" s="294"/>
      <c r="K57" s="294"/>
      <c r="L57" s="294"/>
      <c r="M57" s="294"/>
      <c r="N57" s="294"/>
      <c r="O57" s="294"/>
      <c r="P57" s="294"/>
      <c r="Q57" s="294"/>
      <c r="R57" s="294"/>
      <c r="S57" s="294"/>
      <c r="T57" s="294"/>
      <c r="U57" s="294"/>
    </row>
    <row r="58" spans="1:22" x14ac:dyDescent="0.2">
      <c r="A58" s="43">
        <v>1</v>
      </c>
      <c r="B58" s="15" t="s">
        <v>951</v>
      </c>
      <c r="C58" s="233" t="s">
        <v>952</v>
      </c>
      <c r="D58" s="15" t="s">
        <v>953</v>
      </c>
      <c r="E58" s="15" t="str">
        <f>"0,9420"</f>
        <v>0,9420</v>
      </c>
      <c r="F58" s="15" t="s">
        <v>4020</v>
      </c>
      <c r="G58" s="15" t="s">
        <v>848</v>
      </c>
      <c r="H58" s="38" t="s">
        <v>37</v>
      </c>
      <c r="I58" s="35" t="s">
        <v>15</v>
      </c>
      <c r="J58" s="38" t="s">
        <v>511</v>
      </c>
      <c r="K58" s="22"/>
      <c r="L58" s="35" t="s">
        <v>141</v>
      </c>
      <c r="M58" s="35" t="s">
        <v>106</v>
      </c>
      <c r="N58" s="35" t="s">
        <v>140</v>
      </c>
      <c r="O58" s="22"/>
      <c r="P58" s="35" t="s">
        <v>26</v>
      </c>
      <c r="Q58" s="35" t="s">
        <v>954</v>
      </c>
      <c r="R58" s="38" t="s">
        <v>644</v>
      </c>
      <c r="S58" s="22"/>
      <c r="T58" s="29">
        <v>762.5</v>
      </c>
      <c r="U58" s="21" t="str">
        <f>"718,2750"</f>
        <v>718,2750</v>
      </c>
      <c r="V58" s="15" t="s">
        <v>1066</v>
      </c>
    </row>
    <row r="59" spans="1:22" x14ac:dyDescent="0.2">
      <c r="A59" s="43">
        <v>2</v>
      </c>
      <c r="B59" s="16" t="s">
        <v>955</v>
      </c>
      <c r="C59" s="235" t="s">
        <v>956</v>
      </c>
      <c r="D59" s="16" t="s">
        <v>957</v>
      </c>
      <c r="E59" s="16" t="str">
        <f>"0,9202"</f>
        <v>0,9202</v>
      </c>
      <c r="F59" s="16" t="s">
        <v>860</v>
      </c>
      <c r="G59" s="16" t="s">
        <v>846</v>
      </c>
      <c r="H59" s="36" t="s">
        <v>24</v>
      </c>
      <c r="I59" s="36" t="s">
        <v>144</v>
      </c>
      <c r="J59" s="24"/>
      <c r="K59" s="24"/>
      <c r="L59" s="36" t="s">
        <v>142</v>
      </c>
      <c r="M59" s="36" t="s">
        <v>11</v>
      </c>
      <c r="N59" s="40" t="s">
        <v>106</v>
      </c>
      <c r="O59" s="24"/>
      <c r="P59" s="36" t="s">
        <v>35</v>
      </c>
      <c r="Q59" s="36" t="s">
        <v>26</v>
      </c>
      <c r="R59" s="40" t="s">
        <v>287</v>
      </c>
      <c r="S59" s="24"/>
      <c r="T59" s="30">
        <v>690</v>
      </c>
      <c r="U59" s="23" t="str">
        <f>"634,9380"</f>
        <v>634,9380</v>
      </c>
      <c r="V59" s="16" t="s">
        <v>3391</v>
      </c>
    </row>
    <row r="60" spans="1:22" x14ac:dyDescent="0.2">
      <c r="A60" s="43">
        <v>3</v>
      </c>
      <c r="B60" s="16" t="s">
        <v>958</v>
      </c>
      <c r="C60" s="235" t="s">
        <v>959</v>
      </c>
      <c r="D60" s="16" t="s">
        <v>960</v>
      </c>
      <c r="E60" s="16" t="str">
        <f>"0,9210"</f>
        <v>0,9210</v>
      </c>
      <c r="F60" s="16" t="s">
        <v>14</v>
      </c>
      <c r="G60" s="16" t="s">
        <v>3196</v>
      </c>
      <c r="H60" s="40" t="s">
        <v>24</v>
      </c>
      <c r="I60" s="36" t="s">
        <v>24</v>
      </c>
      <c r="J60" s="36" t="s">
        <v>220</v>
      </c>
      <c r="K60" s="24"/>
      <c r="L60" s="36" t="s">
        <v>36</v>
      </c>
      <c r="M60" s="40" t="s">
        <v>149</v>
      </c>
      <c r="N60" s="40" t="s">
        <v>149</v>
      </c>
      <c r="O60" s="24"/>
      <c r="P60" s="36" t="s">
        <v>17</v>
      </c>
      <c r="Q60" s="40" t="s">
        <v>511</v>
      </c>
      <c r="R60" s="40" t="s">
        <v>511</v>
      </c>
      <c r="S60" s="24"/>
      <c r="T60" s="30">
        <v>645</v>
      </c>
      <c r="U60" s="23" t="str">
        <f>"594,0450"</f>
        <v>594,0450</v>
      </c>
      <c r="V60" s="16" t="s">
        <v>3391</v>
      </c>
    </row>
    <row r="61" spans="1:22" x14ac:dyDescent="0.2">
      <c r="A61" s="43">
        <v>4</v>
      </c>
      <c r="B61" s="16" t="s">
        <v>961</v>
      </c>
      <c r="C61" s="235" t="s">
        <v>962</v>
      </c>
      <c r="D61" s="16" t="s">
        <v>957</v>
      </c>
      <c r="E61" s="16" t="str">
        <f>"0,9202"</f>
        <v>0,9202</v>
      </c>
      <c r="F61" s="16" t="s">
        <v>4020</v>
      </c>
      <c r="G61" s="16" t="s">
        <v>889</v>
      </c>
      <c r="H61" s="36" t="s">
        <v>140</v>
      </c>
      <c r="I61" s="36" t="s">
        <v>143</v>
      </c>
      <c r="J61" s="36" t="s">
        <v>24</v>
      </c>
      <c r="K61" s="24"/>
      <c r="L61" s="36" t="s">
        <v>126</v>
      </c>
      <c r="M61" s="40" t="s">
        <v>36</v>
      </c>
      <c r="N61" s="36" t="s">
        <v>36</v>
      </c>
      <c r="O61" s="24"/>
      <c r="P61" s="36" t="s">
        <v>221</v>
      </c>
      <c r="Q61" s="36" t="s">
        <v>15</v>
      </c>
      <c r="R61" s="40" t="s">
        <v>35</v>
      </c>
      <c r="S61" s="24"/>
      <c r="T61" s="30">
        <v>635</v>
      </c>
      <c r="U61" s="23" t="str">
        <f>"584,3270"</f>
        <v>584,3270</v>
      </c>
      <c r="V61" s="16" t="s">
        <v>1067</v>
      </c>
    </row>
    <row r="62" spans="1:22" x14ac:dyDescent="0.2">
      <c r="A62" s="43">
        <v>5</v>
      </c>
      <c r="B62" s="16" t="s">
        <v>963</v>
      </c>
      <c r="C62" s="235" t="s">
        <v>964</v>
      </c>
      <c r="D62" s="16" t="s">
        <v>965</v>
      </c>
      <c r="E62" s="16" t="str">
        <f>"0,9306"</f>
        <v>0,9306</v>
      </c>
      <c r="F62" s="16" t="s">
        <v>4020</v>
      </c>
      <c r="G62" s="16" t="s">
        <v>796</v>
      </c>
      <c r="H62" s="36" t="s">
        <v>143</v>
      </c>
      <c r="I62" s="36" t="s">
        <v>24</v>
      </c>
      <c r="J62" s="40" t="s">
        <v>246</v>
      </c>
      <c r="K62" s="24"/>
      <c r="L62" s="36" t="s">
        <v>116</v>
      </c>
      <c r="M62" s="40" t="s">
        <v>126</v>
      </c>
      <c r="N62" s="36" t="s">
        <v>126</v>
      </c>
      <c r="O62" s="24"/>
      <c r="P62" s="36" t="s">
        <v>144</v>
      </c>
      <c r="Q62" s="36" t="s">
        <v>253</v>
      </c>
      <c r="R62" s="40" t="s">
        <v>208</v>
      </c>
      <c r="S62" s="24"/>
      <c r="T62" s="30">
        <v>605</v>
      </c>
      <c r="U62" s="23" t="str">
        <f>"563,0130"</f>
        <v>563,0130</v>
      </c>
      <c r="V62" s="16" t="s">
        <v>1068</v>
      </c>
    </row>
    <row r="63" spans="1:22" x14ac:dyDescent="0.2">
      <c r="A63" s="43">
        <v>6</v>
      </c>
      <c r="B63" s="16" t="s">
        <v>966</v>
      </c>
      <c r="C63" s="235" t="s">
        <v>967</v>
      </c>
      <c r="D63" s="16" t="s">
        <v>651</v>
      </c>
      <c r="E63" s="16" t="str">
        <f>"0,9406"</f>
        <v>0,9406</v>
      </c>
      <c r="F63" s="16" t="s">
        <v>4020</v>
      </c>
      <c r="G63" s="16" t="s">
        <v>3193</v>
      </c>
      <c r="H63" s="36" t="s">
        <v>166</v>
      </c>
      <c r="I63" s="36" t="s">
        <v>143</v>
      </c>
      <c r="J63" s="36" t="s">
        <v>24</v>
      </c>
      <c r="K63" s="24"/>
      <c r="L63" s="36" t="s">
        <v>105</v>
      </c>
      <c r="M63" s="36" t="s">
        <v>126</v>
      </c>
      <c r="N63" s="36" t="s">
        <v>36</v>
      </c>
      <c r="O63" s="24"/>
      <c r="P63" s="36" t="s">
        <v>187</v>
      </c>
      <c r="Q63" s="40" t="s">
        <v>144</v>
      </c>
      <c r="R63" s="36" t="s">
        <v>144</v>
      </c>
      <c r="S63" s="24"/>
      <c r="T63" s="30">
        <v>600</v>
      </c>
      <c r="U63" s="23" t="str">
        <f>"564,3600"</f>
        <v>564,3600</v>
      </c>
      <c r="V63" s="16" t="s">
        <v>772</v>
      </c>
    </row>
    <row r="64" spans="1:22" x14ac:dyDescent="0.2">
      <c r="A64" s="43">
        <v>1</v>
      </c>
      <c r="B64" s="16" t="s">
        <v>968</v>
      </c>
      <c r="C64" s="235" t="s">
        <v>969</v>
      </c>
      <c r="D64" s="16" t="s">
        <v>473</v>
      </c>
      <c r="E64" s="16" t="str">
        <f>"0,9198"</f>
        <v>0,9198</v>
      </c>
      <c r="F64" s="16" t="s">
        <v>859</v>
      </c>
      <c r="G64" s="16" t="s">
        <v>804</v>
      </c>
      <c r="H64" s="36" t="s">
        <v>202</v>
      </c>
      <c r="I64" s="36" t="s">
        <v>273</v>
      </c>
      <c r="J64" s="36" t="s">
        <v>511</v>
      </c>
      <c r="K64" s="24"/>
      <c r="L64" s="36" t="s">
        <v>30</v>
      </c>
      <c r="M64" s="36" t="s">
        <v>260</v>
      </c>
      <c r="N64" s="40" t="s">
        <v>106</v>
      </c>
      <c r="O64" s="24"/>
      <c r="P64" s="40" t="s">
        <v>928</v>
      </c>
      <c r="Q64" s="36" t="s">
        <v>928</v>
      </c>
      <c r="R64" s="40" t="s">
        <v>970</v>
      </c>
      <c r="S64" s="24"/>
      <c r="T64" s="30">
        <v>717.5</v>
      </c>
      <c r="U64" s="23" t="str">
        <f>"659,9565"</f>
        <v>659,9565</v>
      </c>
      <c r="V64" s="16" t="s">
        <v>3391</v>
      </c>
    </row>
    <row r="65" spans="1:22" x14ac:dyDescent="0.2">
      <c r="A65" s="43">
        <v>2</v>
      </c>
      <c r="B65" s="16" t="s">
        <v>971</v>
      </c>
      <c r="C65" s="235" t="s">
        <v>972</v>
      </c>
      <c r="D65" s="16" t="s">
        <v>973</v>
      </c>
      <c r="E65" s="16" t="str">
        <f>"0,9238"</f>
        <v>0,9238</v>
      </c>
      <c r="F65" s="16" t="s">
        <v>862</v>
      </c>
      <c r="G65" s="16" t="s">
        <v>3194</v>
      </c>
      <c r="H65" s="36" t="s">
        <v>187</v>
      </c>
      <c r="I65" s="36" t="s">
        <v>246</v>
      </c>
      <c r="J65" s="36" t="s">
        <v>188</v>
      </c>
      <c r="K65" s="24"/>
      <c r="L65" s="36" t="s">
        <v>206</v>
      </c>
      <c r="M65" s="36" t="s">
        <v>207</v>
      </c>
      <c r="N65" s="36" t="s">
        <v>107</v>
      </c>
      <c r="O65" s="24"/>
      <c r="P65" s="36" t="s">
        <v>253</v>
      </c>
      <c r="Q65" s="36" t="s">
        <v>261</v>
      </c>
      <c r="R65" s="36" t="s">
        <v>17</v>
      </c>
      <c r="S65" s="24"/>
      <c r="T65" s="30">
        <v>682.5</v>
      </c>
      <c r="U65" s="23" t="str">
        <f>"633,6460"</f>
        <v>633,6460</v>
      </c>
      <c r="V65" s="16" t="s">
        <v>3391</v>
      </c>
    </row>
    <row r="66" spans="1:22" x14ac:dyDescent="0.2">
      <c r="A66" s="43">
        <v>3</v>
      </c>
      <c r="B66" s="16" t="s">
        <v>974</v>
      </c>
      <c r="C66" s="235" t="s">
        <v>975</v>
      </c>
      <c r="D66" s="16" t="s">
        <v>647</v>
      </c>
      <c r="E66" s="16" t="str">
        <f>"0,9290"</f>
        <v>0,9290</v>
      </c>
      <c r="F66" s="16" t="s">
        <v>861</v>
      </c>
      <c r="G66" s="16" t="s">
        <v>3195</v>
      </c>
      <c r="H66" s="36" t="s">
        <v>296</v>
      </c>
      <c r="I66" s="40" t="s">
        <v>400</v>
      </c>
      <c r="J66" s="36" t="s">
        <v>400</v>
      </c>
      <c r="K66" s="24"/>
      <c r="L66" s="36" t="s">
        <v>36</v>
      </c>
      <c r="M66" s="36" t="s">
        <v>149</v>
      </c>
      <c r="N66" s="40" t="s">
        <v>155</v>
      </c>
      <c r="O66" s="24"/>
      <c r="P66" s="36" t="s">
        <v>24</v>
      </c>
      <c r="Q66" s="36" t="s">
        <v>144</v>
      </c>
      <c r="R66" s="36" t="s">
        <v>253</v>
      </c>
      <c r="S66" s="36" t="s">
        <v>976</v>
      </c>
      <c r="T66" s="30">
        <v>625</v>
      </c>
      <c r="U66" s="23" t="str">
        <f>"583,5281"</f>
        <v>583,5281</v>
      </c>
      <c r="V66" s="16" t="s">
        <v>3391</v>
      </c>
    </row>
    <row r="67" spans="1:22" x14ac:dyDescent="0.2">
      <c r="A67" s="43">
        <v>1</v>
      </c>
      <c r="B67" s="17" t="s">
        <v>977</v>
      </c>
      <c r="C67" s="234" t="s">
        <v>978</v>
      </c>
      <c r="D67" s="17" t="s">
        <v>979</v>
      </c>
      <c r="E67" s="17" t="str">
        <f>"0,9250"</f>
        <v>0,9250</v>
      </c>
      <c r="F67" s="17" t="s">
        <v>1506</v>
      </c>
      <c r="G67" s="17" t="s">
        <v>3182</v>
      </c>
      <c r="H67" s="37" t="s">
        <v>107</v>
      </c>
      <c r="I67" s="37" t="s">
        <v>187</v>
      </c>
      <c r="J67" s="39" t="s">
        <v>246</v>
      </c>
      <c r="K67" s="26"/>
      <c r="L67" s="37" t="s">
        <v>23</v>
      </c>
      <c r="M67" s="37" t="s">
        <v>126</v>
      </c>
      <c r="N67" s="37" t="s">
        <v>25</v>
      </c>
      <c r="O67" s="26"/>
      <c r="P67" s="37" t="s">
        <v>24</v>
      </c>
      <c r="Q67" s="39" t="s">
        <v>37</v>
      </c>
      <c r="R67" s="39" t="s">
        <v>15</v>
      </c>
      <c r="S67" s="26"/>
      <c r="T67" s="31">
        <v>590</v>
      </c>
      <c r="U67" s="25" t="str">
        <f>"647,8053"</f>
        <v>647,8053</v>
      </c>
      <c r="V67" s="17" t="s">
        <v>977</v>
      </c>
    </row>
    <row r="69" spans="1:22" ht="15" x14ac:dyDescent="0.2">
      <c r="B69" s="294" t="s">
        <v>4012</v>
      </c>
      <c r="C69" s="294"/>
      <c r="D69" s="294"/>
      <c r="E69" s="294"/>
      <c r="F69" s="294"/>
      <c r="G69" s="294"/>
      <c r="H69" s="294"/>
      <c r="I69" s="294"/>
      <c r="J69" s="294"/>
      <c r="K69" s="294"/>
      <c r="L69" s="294"/>
      <c r="M69" s="294"/>
      <c r="N69" s="294"/>
      <c r="O69" s="294"/>
      <c r="P69" s="294"/>
      <c r="Q69" s="294"/>
      <c r="R69" s="294"/>
      <c r="S69" s="294"/>
      <c r="T69" s="294"/>
      <c r="U69" s="294"/>
    </row>
    <row r="70" spans="1:22" x14ac:dyDescent="0.2">
      <c r="A70" s="43">
        <v>1</v>
      </c>
      <c r="B70" s="15" t="s">
        <v>1004</v>
      </c>
      <c r="C70" s="233" t="s">
        <v>980</v>
      </c>
      <c r="D70" s="15" t="s">
        <v>981</v>
      </c>
      <c r="E70" s="15" t="str">
        <f>"0,9030"</f>
        <v>0,9030</v>
      </c>
      <c r="F70" s="15" t="s">
        <v>4020</v>
      </c>
      <c r="G70" s="15" t="s">
        <v>3190</v>
      </c>
      <c r="H70" s="35" t="s">
        <v>140</v>
      </c>
      <c r="I70" s="35" t="s">
        <v>143</v>
      </c>
      <c r="J70" s="35" t="s">
        <v>24</v>
      </c>
      <c r="K70" s="22"/>
      <c r="L70" s="35" t="s">
        <v>71</v>
      </c>
      <c r="M70" s="35" t="s">
        <v>104</v>
      </c>
      <c r="N70" s="38" t="s">
        <v>105</v>
      </c>
      <c r="O70" s="22"/>
      <c r="P70" s="35" t="s">
        <v>107</v>
      </c>
      <c r="Q70" s="35" t="s">
        <v>135</v>
      </c>
      <c r="R70" s="35" t="s">
        <v>24</v>
      </c>
      <c r="S70" s="22"/>
      <c r="T70" s="29">
        <v>570</v>
      </c>
      <c r="U70" s="21" t="str">
        <f>"514,7100"</f>
        <v>514,7100</v>
      </c>
      <c r="V70" s="15" t="s">
        <v>1069</v>
      </c>
    </row>
    <row r="71" spans="1:22" x14ac:dyDescent="0.2">
      <c r="A71" s="43">
        <v>1</v>
      </c>
      <c r="B71" s="16" t="s">
        <v>1050</v>
      </c>
      <c r="C71" s="235" t="s">
        <v>982</v>
      </c>
      <c r="D71" s="16" t="s">
        <v>983</v>
      </c>
      <c r="E71" s="16" t="str">
        <f>"0,9110"</f>
        <v>0,9110</v>
      </c>
      <c r="F71" s="16" t="s">
        <v>4020</v>
      </c>
      <c r="G71" s="16" t="s">
        <v>805</v>
      </c>
      <c r="H71" s="36" t="s">
        <v>287</v>
      </c>
      <c r="I71" s="40" t="s">
        <v>644</v>
      </c>
      <c r="J71" s="40" t="s">
        <v>644</v>
      </c>
      <c r="K71" s="24"/>
      <c r="L71" s="36" t="s">
        <v>107</v>
      </c>
      <c r="M71" s="36" t="s">
        <v>135</v>
      </c>
      <c r="N71" s="40" t="s">
        <v>378</v>
      </c>
      <c r="O71" s="24"/>
      <c r="P71" s="36" t="s">
        <v>35</v>
      </c>
      <c r="Q71" s="36" t="s">
        <v>926</v>
      </c>
      <c r="R71" s="36" t="s">
        <v>644</v>
      </c>
      <c r="S71" s="24"/>
      <c r="T71" s="30">
        <v>800</v>
      </c>
      <c r="U71" s="23" t="str">
        <f>"728,8000"</f>
        <v>728,8000</v>
      </c>
      <c r="V71" s="16" t="s">
        <v>1070</v>
      </c>
    </row>
    <row r="72" spans="1:22" x14ac:dyDescent="0.2">
      <c r="A72" s="43">
        <v>2</v>
      </c>
      <c r="B72" s="16" t="s">
        <v>1051</v>
      </c>
      <c r="C72" s="235" t="s">
        <v>984</v>
      </c>
      <c r="D72" s="16" t="s">
        <v>654</v>
      </c>
      <c r="E72" s="16" t="str">
        <f>"0,8940"</f>
        <v>0,8940</v>
      </c>
      <c r="F72" s="16" t="s">
        <v>4020</v>
      </c>
      <c r="G72" s="16" t="s">
        <v>3197</v>
      </c>
      <c r="H72" s="36" t="s">
        <v>202</v>
      </c>
      <c r="I72" s="36" t="s">
        <v>374</v>
      </c>
      <c r="J72" s="40" t="s">
        <v>16</v>
      </c>
      <c r="K72" s="24"/>
      <c r="L72" s="36" t="s">
        <v>106</v>
      </c>
      <c r="M72" s="40" t="s">
        <v>166</v>
      </c>
      <c r="N72" s="36" t="s">
        <v>166</v>
      </c>
      <c r="O72" s="24"/>
      <c r="P72" s="40" t="s">
        <v>253</v>
      </c>
      <c r="Q72" s="36" t="s">
        <v>253</v>
      </c>
      <c r="R72" s="36" t="s">
        <v>17</v>
      </c>
      <c r="S72" s="24"/>
      <c r="T72" s="30">
        <v>717.5</v>
      </c>
      <c r="U72" s="23" t="str">
        <f>"641,4450"</f>
        <v>641,4450</v>
      </c>
      <c r="V72" s="16" t="s">
        <v>1071</v>
      </c>
    </row>
    <row r="73" spans="1:22" x14ac:dyDescent="0.2">
      <c r="A73" s="43">
        <v>3</v>
      </c>
      <c r="B73" s="16" t="s">
        <v>1052</v>
      </c>
      <c r="C73" s="235" t="s">
        <v>985</v>
      </c>
      <c r="D73" s="16" t="s">
        <v>986</v>
      </c>
      <c r="E73" s="16" t="str">
        <f>"0,8860"</f>
        <v>0,8860</v>
      </c>
      <c r="F73" s="16" t="s">
        <v>4020</v>
      </c>
      <c r="G73" s="16" t="s">
        <v>798</v>
      </c>
      <c r="H73" s="36" t="s">
        <v>144</v>
      </c>
      <c r="I73" s="36" t="s">
        <v>189</v>
      </c>
      <c r="J73" s="36" t="s">
        <v>202</v>
      </c>
      <c r="K73" s="24"/>
      <c r="L73" s="36" t="s">
        <v>239</v>
      </c>
      <c r="M73" s="36" t="s">
        <v>260</v>
      </c>
      <c r="N73" s="36" t="s">
        <v>11</v>
      </c>
      <c r="O73" s="24"/>
      <c r="P73" s="40" t="s">
        <v>17</v>
      </c>
      <c r="Q73" s="36" t="s">
        <v>17</v>
      </c>
      <c r="R73" s="40" t="s">
        <v>681</v>
      </c>
      <c r="S73" s="24"/>
      <c r="T73" s="30">
        <v>682.5</v>
      </c>
      <c r="U73" s="23" t="str">
        <f>"604,6950"</f>
        <v>604,6950</v>
      </c>
      <c r="V73" s="16" t="s">
        <v>1072</v>
      </c>
    </row>
    <row r="74" spans="1:22" x14ac:dyDescent="0.2">
      <c r="A74" s="43">
        <v>1</v>
      </c>
      <c r="B74" s="17" t="s">
        <v>1053</v>
      </c>
      <c r="C74" s="234" t="s">
        <v>987</v>
      </c>
      <c r="D74" s="17" t="s">
        <v>988</v>
      </c>
      <c r="E74" s="17" t="str">
        <f>"0,8852"</f>
        <v>0,8852</v>
      </c>
      <c r="F74" s="17" t="s">
        <v>1057</v>
      </c>
      <c r="G74" s="17" t="s">
        <v>800</v>
      </c>
      <c r="H74" s="37" t="s">
        <v>253</v>
      </c>
      <c r="I74" s="37" t="s">
        <v>261</v>
      </c>
      <c r="J74" s="39" t="s">
        <v>17</v>
      </c>
      <c r="K74" s="26"/>
      <c r="L74" s="37" t="s">
        <v>106</v>
      </c>
      <c r="M74" s="39" t="s">
        <v>166</v>
      </c>
      <c r="N74" s="39" t="s">
        <v>166</v>
      </c>
      <c r="O74" s="26"/>
      <c r="P74" s="39" t="s">
        <v>17</v>
      </c>
      <c r="Q74" s="39" t="s">
        <v>17</v>
      </c>
      <c r="R74" s="37" t="s">
        <v>17</v>
      </c>
      <c r="S74" s="26"/>
      <c r="T74" s="31">
        <v>700</v>
      </c>
      <c r="U74" s="25" t="str">
        <f>"656,8184"</f>
        <v>656,8184</v>
      </c>
      <c r="V74" s="17" t="s">
        <v>737</v>
      </c>
    </row>
    <row r="76" spans="1:22" ht="15" x14ac:dyDescent="0.2">
      <c r="B76" s="294" t="s">
        <v>4013</v>
      </c>
      <c r="C76" s="294"/>
      <c r="D76" s="294"/>
      <c r="E76" s="294"/>
      <c r="F76" s="294"/>
      <c r="G76" s="294"/>
      <c r="H76" s="294"/>
      <c r="I76" s="294"/>
      <c r="J76" s="294"/>
      <c r="K76" s="294"/>
      <c r="L76" s="294"/>
      <c r="M76" s="294"/>
      <c r="N76" s="294"/>
      <c r="O76" s="294"/>
      <c r="P76" s="294"/>
      <c r="Q76" s="294"/>
      <c r="R76" s="294"/>
      <c r="S76" s="294"/>
      <c r="T76" s="294"/>
      <c r="U76" s="294"/>
      <c r="V76" s="50"/>
    </row>
    <row r="77" spans="1:22" x14ac:dyDescent="0.2">
      <c r="A77" s="43">
        <v>1</v>
      </c>
      <c r="B77" s="15" t="s">
        <v>1054</v>
      </c>
      <c r="C77" s="233" t="s">
        <v>989</v>
      </c>
      <c r="D77" s="15" t="s">
        <v>990</v>
      </c>
      <c r="E77" s="15" t="str">
        <f>"0,8810"</f>
        <v>0,8810</v>
      </c>
      <c r="F77" s="15" t="s">
        <v>4020</v>
      </c>
      <c r="G77" s="15" t="s">
        <v>796</v>
      </c>
      <c r="H77" s="35" t="s">
        <v>16</v>
      </c>
      <c r="I77" s="38" t="s">
        <v>287</v>
      </c>
      <c r="J77" s="35" t="s">
        <v>926</v>
      </c>
      <c r="K77" s="22"/>
      <c r="L77" s="35" t="s">
        <v>11</v>
      </c>
      <c r="M77" s="35" t="s">
        <v>106</v>
      </c>
      <c r="N77" s="38" t="s">
        <v>166</v>
      </c>
      <c r="O77" s="22"/>
      <c r="P77" s="35" t="s">
        <v>287</v>
      </c>
      <c r="Q77" s="35" t="s">
        <v>644</v>
      </c>
      <c r="R77" s="35" t="s">
        <v>275</v>
      </c>
      <c r="S77" s="22"/>
      <c r="T77" s="29">
        <v>795</v>
      </c>
      <c r="U77" s="21" t="str">
        <f>"700,3950"</f>
        <v>700,3950</v>
      </c>
      <c r="V77" s="16" t="s">
        <v>3391</v>
      </c>
    </row>
    <row r="78" spans="1:22" x14ac:dyDescent="0.2">
      <c r="A78" s="43">
        <v>2</v>
      </c>
      <c r="B78" s="17" t="s">
        <v>1018</v>
      </c>
      <c r="C78" s="234" t="s">
        <v>991</v>
      </c>
      <c r="D78" s="17" t="s">
        <v>992</v>
      </c>
      <c r="E78" s="17" t="str">
        <f>"0,8770"</f>
        <v>0,8770</v>
      </c>
      <c r="F78" s="17" t="s">
        <v>4020</v>
      </c>
      <c r="G78" s="17" t="s">
        <v>890</v>
      </c>
      <c r="H78" s="37" t="s">
        <v>253</v>
      </c>
      <c r="I78" s="37" t="s">
        <v>261</v>
      </c>
      <c r="J78" s="39" t="s">
        <v>15</v>
      </c>
      <c r="K78" s="26"/>
      <c r="L78" s="37" t="s">
        <v>11</v>
      </c>
      <c r="M78" s="37" t="s">
        <v>140</v>
      </c>
      <c r="N78" s="39" t="s">
        <v>135</v>
      </c>
      <c r="O78" s="26"/>
      <c r="P78" s="37" t="s">
        <v>26</v>
      </c>
      <c r="Q78" s="37" t="s">
        <v>287</v>
      </c>
      <c r="R78" s="39" t="s">
        <v>274</v>
      </c>
      <c r="S78" s="26"/>
      <c r="T78" s="31">
        <v>745</v>
      </c>
      <c r="U78" s="25" t="str">
        <f>"653,3650"</f>
        <v>653,3650</v>
      </c>
      <c r="V78" s="17" t="s">
        <v>3391</v>
      </c>
    </row>
    <row r="80" spans="1:22" ht="15" x14ac:dyDescent="0.2">
      <c r="B80" s="294" t="s">
        <v>4016</v>
      </c>
      <c r="C80" s="294"/>
      <c r="D80" s="294"/>
      <c r="E80" s="294"/>
      <c r="F80" s="294"/>
      <c r="G80" s="294"/>
      <c r="H80" s="294"/>
      <c r="I80" s="294"/>
      <c r="J80" s="294"/>
      <c r="K80" s="294"/>
      <c r="L80" s="294"/>
      <c r="M80" s="294"/>
      <c r="N80" s="294"/>
      <c r="O80" s="294"/>
      <c r="P80" s="294"/>
      <c r="Q80" s="294"/>
      <c r="R80" s="294"/>
      <c r="S80" s="294"/>
      <c r="T80" s="294"/>
      <c r="U80" s="294"/>
    </row>
    <row r="81" spans="1:22" x14ac:dyDescent="0.2">
      <c r="A81" s="43">
        <v>1</v>
      </c>
      <c r="B81" s="7" t="s">
        <v>1055</v>
      </c>
      <c r="C81" s="202" t="s">
        <v>993</v>
      </c>
      <c r="D81" s="7" t="s">
        <v>994</v>
      </c>
      <c r="E81" s="7" t="str">
        <f>"0,8470"</f>
        <v>0,8470</v>
      </c>
      <c r="F81" s="7" t="s">
        <v>855</v>
      </c>
      <c r="G81" s="7" t="s">
        <v>3194</v>
      </c>
      <c r="H81" s="34" t="s">
        <v>143</v>
      </c>
      <c r="I81" s="34" t="s">
        <v>24</v>
      </c>
      <c r="J81" s="34" t="s">
        <v>144</v>
      </c>
      <c r="K81" s="20"/>
      <c r="L81" s="34" t="s">
        <v>36</v>
      </c>
      <c r="M81" s="34" t="s">
        <v>25</v>
      </c>
      <c r="N81" s="34" t="s">
        <v>127</v>
      </c>
      <c r="O81" s="20"/>
      <c r="P81" s="34" t="s">
        <v>143</v>
      </c>
      <c r="Q81" s="34" t="s">
        <v>246</v>
      </c>
      <c r="R81" s="34" t="s">
        <v>253</v>
      </c>
      <c r="S81" s="20"/>
      <c r="T81" s="28">
        <v>630</v>
      </c>
      <c r="U81" s="19" t="str">
        <f>"533,6100"</f>
        <v>533,6100</v>
      </c>
      <c r="V81" s="7" t="s">
        <v>755</v>
      </c>
    </row>
    <row r="83" spans="1:22" ht="18" x14ac:dyDescent="0.25">
      <c r="B83" s="8" t="s">
        <v>4022</v>
      </c>
      <c r="C83" s="236"/>
    </row>
    <row r="84" spans="1:22" ht="15" x14ac:dyDescent="0.2">
      <c r="B84" s="9" t="s">
        <v>283</v>
      </c>
      <c r="C84" s="237"/>
    </row>
    <row r="85" spans="1:22" ht="14.25" x14ac:dyDescent="0.2">
      <c r="B85" s="11"/>
      <c r="C85" s="238" t="s">
        <v>18</v>
      </c>
    </row>
    <row r="86" spans="1:22" ht="15" x14ac:dyDescent="0.2">
      <c r="B86" s="13" t="s">
        <v>0</v>
      </c>
      <c r="C86" s="13" t="s">
        <v>19</v>
      </c>
      <c r="D86" s="13" t="s">
        <v>20</v>
      </c>
      <c r="E86" s="13" t="s">
        <v>3593</v>
      </c>
      <c r="F86" s="13" t="s">
        <v>9</v>
      </c>
    </row>
    <row r="87" spans="1:22" x14ac:dyDescent="0.2">
      <c r="A87" s="43">
        <v>1</v>
      </c>
      <c r="B87" s="10" t="s">
        <v>995</v>
      </c>
      <c r="C87" s="18" t="s">
        <v>18</v>
      </c>
      <c r="D87" s="27" t="s">
        <v>46</v>
      </c>
      <c r="E87" s="27" t="s">
        <v>996</v>
      </c>
      <c r="F87" s="27" t="s">
        <v>997</v>
      </c>
    </row>
    <row r="88" spans="1:22" x14ac:dyDescent="0.2">
      <c r="A88" s="43">
        <v>2</v>
      </c>
      <c r="B88" s="10" t="s">
        <v>908</v>
      </c>
      <c r="C88" s="18" t="s">
        <v>18</v>
      </c>
      <c r="D88" s="27" t="s">
        <v>998</v>
      </c>
      <c r="E88" s="27" t="s">
        <v>999</v>
      </c>
      <c r="F88" s="27" t="s">
        <v>1000</v>
      </c>
    </row>
    <row r="89" spans="1:22" x14ac:dyDescent="0.2">
      <c r="A89" s="43">
        <v>3</v>
      </c>
      <c r="B89" s="10" t="s">
        <v>1001</v>
      </c>
      <c r="C89" s="18" t="s">
        <v>18</v>
      </c>
      <c r="D89" s="27" t="s">
        <v>68</v>
      </c>
      <c r="E89" s="27" t="s">
        <v>557</v>
      </c>
      <c r="F89" s="27" t="s">
        <v>1002</v>
      </c>
    </row>
    <row r="90" spans="1:22" x14ac:dyDescent="0.2">
      <c r="B90" s="10"/>
      <c r="C90" s="18"/>
      <c r="F90" s="14"/>
    </row>
    <row r="91" spans="1:22" ht="15" x14ac:dyDescent="0.2">
      <c r="B91" s="9" t="s">
        <v>3499</v>
      </c>
      <c r="C91" s="203"/>
    </row>
    <row r="92" spans="1:22" ht="14.25" x14ac:dyDescent="0.2">
      <c r="B92" s="11"/>
      <c r="C92" s="240" t="s">
        <v>18</v>
      </c>
    </row>
    <row r="93" spans="1:22" ht="15" x14ac:dyDescent="0.2">
      <c r="B93" s="13" t="s">
        <v>0</v>
      </c>
      <c r="C93" s="13" t="s">
        <v>19</v>
      </c>
      <c r="D93" s="13" t="s">
        <v>20</v>
      </c>
      <c r="E93" s="13" t="s">
        <v>3593</v>
      </c>
      <c r="F93" s="13" t="s">
        <v>9</v>
      </c>
    </row>
    <row r="94" spans="1:22" x14ac:dyDescent="0.2">
      <c r="A94" s="43">
        <v>1</v>
      </c>
      <c r="B94" s="10" t="s">
        <v>1008</v>
      </c>
      <c r="C94" s="18" t="s">
        <v>18</v>
      </c>
      <c r="D94" s="27" t="s">
        <v>43</v>
      </c>
      <c r="E94" s="27" t="s">
        <v>1009</v>
      </c>
      <c r="F94" s="27" t="s">
        <v>1010</v>
      </c>
    </row>
    <row r="95" spans="1:22" x14ac:dyDescent="0.2">
      <c r="A95" s="43">
        <v>2</v>
      </c>
      <c r="B95" s="10" t="s">
        <v>1011</v>
      </c>
      <c r="C95" s="18" t="s">
        <v>18</v>
      </c>
      <c r="D95" s="27" t="s">
        <v>69</v>
      </c>
      <c r="E95" s="27" t="s">
        <v>1012</v>
      </c>
      <c r="F95" s="27" t="s">
        <v>1013</v>
      </c>
    </row>
    <row r="96" spans="1:22" x14ac:dyDescent="0.2">
      <c r="A96" s="43">
        <v>3</v>
      </c>
      <c r="B96" s="10" t="s">
        <v>1014</v>
      </c>
      <c r="C96" s="18" t="s">
        <v>18</v>
      </c>
      <c r="D96" s="27" t="s">
        <v>43</v>
      </c>
      <c r="E96" s="27" t="s">
        <v>1015</v>
      </c>
      <c r="F96" s="27" t="s">
        <v>1016</v>
      </c>
    </row>
    <row r="97" spans="1:6" x14ac:dyDescent="0.2">
      <c r="B97" s="10"/>
      <c r="C97" s="18"/>
      <c r="F97" s="14"/>
    </row>
    <row r="98" spans="1:6" ht="14.25" x14ac:dyDescent="0.2">
      <c r="B98" s="11"/>
      <c r="C98" s="240" t="s">
        <v>310</v>
      </c>
    </row>
    <row r="99" spans="1:6" ht="15" x14ac:dyDescent="0.2">
      <c r="B99" s="13" t="s">
        <v>0</v>
      </c>
      <c r="C99" s="13" t="s">
        <v>19</v>
      </c>
      <c r="D99" s="13" t="s">
        <v>20</v>
      </c>
      <c r="E99" s="13" t="s">
        <v>3593</v>
      </c>
      <c r="F99" s="13" t="s">
        <v>9</v>
      </c>
    </row>
    <row r="100" spans="1:6" x14ac:dyDescent="0.2">
      <c r="A100" s="43">
        <v>1</v>
      </c>
      <c r="B100" s="10" t="s">
        <v>1019</v>
      </c>
      <c r="C100" s="18" t="s">
        <v>1020</v>
      </c>
      <c r="D100" s="27" t="s">
        <v>68</v>
      </c>
      <c r="E100" s="27" t="s">
        <v>1021</v>
      </c>
      <c r="F100" s="27" t="s">
        <v>1022</v>
      </c>
    </row>
    <row r="101" spans="1:6" x14ac:dyDescent="0.2">
      <c r="A101" s="43">
        <v>2</v>
      </c>
      <c r="B101" s="10" t="s">
        <v>1023</v>
      </c>
      <c r="C101" s="18" t="s">
        <v>313</v>
      </c>
      <c r="D101" s="27" t="s">
        <v>43</v>
      </c>
      <c r="E101" s="27" t="s">
        <v>1024</v>
      </c>
      <c r="F101" s="27" t="s">
        <v>1025</v>
      </c>
    </row>
    <row r="102" spans="1:6" x14ac:dyDescent="0.2">
      <c r="A102" s="43">
        <v>3</v>
      </c>
      <c r="B102" s="10" t="s">
        <v>968</v>
      </c>
      <c r="C102" s="18" t="s">
        <v>312</v>
      </c>
      <c r="D102" s="27" t="s">
        <v>76</v>
      </c>
      <c r="E102" s="27" t="s">
        <v>1017</v>
      </c>
      <c r="F102" s="27" t="s">
        <v>1026</v>
      </c>
    </row>
  </sheetData>
  <mergeCells count="29">
    <mergeCell ref="A3:V3"/>
    <mergeCell ref="A1:V1"/>
    <mergeCell ref="B57:U57"/>
    <mergeCell ref="B69:U69"/>
    <mergeCell ref="B76:U76"/>
    <mergeCell ref="V4:V5"/>
    <mergeCell ref="E4:E5"/>
    <mergeCell ref="F4:F5"/>
    <mergeCell ref="G4:G5"/>
    <mergeCell ref="H4:K4"/>
    <mergeCell ref="L4:O4"/>
    <mergeCell ref="P4:S4"/>
    <mergeCell ref="A2:V2"/>
    <mergeCell ref="B80:U80"/>
    <mergeCell ref="A4:A5"/>
    <mergeCell ref="B19:U19"/>
    <mergeCell ref="B22:U22"/>
    <mergeCell ref="B25:U25"/>
    <mergeCell ref="B30:U30"/>
    <mergeCell ref="B34:U34"/>
    <mergeCell ref="B46:U46"/>
    <mergeCell ref="T4:T5"/>
    <mergeCell ref="U4:U5"/>
    <mergeCell ref="B6:U6"/>
    <mergeCell ref="B10:U10"/>
    <mergeCell ref="B14:U14"/>
    <mergeCell ref="B4:B5"/>
    <mergeCell ref="C4:C5"/>
    <mergeCell ref="D4:D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topLeftCell="B9" workbookViewId="0">
      <selection sqref="A1:N1"/>
    </sheetView>
  </sheetViews>
  <sheetFormatPr defaultColWidth="8.7109375" defaultRowHeight="12.75" x14ac:dyDescent="0.2"/>
  <cols>
    <col min="1" max="1" width="6.85546875" style="42" bestFit="1" customWidth="1"/>
    <col min="2" max="2" width="22.5703125" style="75" bestFit="1" customWidth="1"/>
    <col min="3" max="3" width="21.42578125" style="65" bestFit="1" customWidth="1"/>
    <col min="4" max="4" width="8.5703125" style="65" bestFit="1" customWidth="1"/>
    <col min="5" max="5" width="7.5703125" style="65" bestFit="1" customWidth="1"/>
    <col min="6" max="6" width="12.7109375" style="65" bestFit="1" customWidth="1"/>
    <col min="7" max="7" width="41.7109375" style="65" bestFit="1" customWidth="1"/>
    <col min="8" max="10" width="6.42578125" style="86" bestFit="1" customWidth="1"/>
    <col min="11" max="11" width="4.85546875" style="86" bestFit="1" customWidth="1"/>
    <col min="12" max="12" width="6.42578125" style="96" bestFit="1" customWidth="1"/>
    <col min="13" max="13" width="9.85546875" style="86" bestFit="1" customWidth="1"/>
    <col min="14" max="14" width="20.7109375" style="65" bestFit="1" customWidth="1"/>
    <col min="15" max="257" width="8.7109375" style="1"/>
    <col min="258" max="258" width="30.28515625" style="1" bestFit="1" customWidth="1"/>
    <col min="259" max="259" width="19.140625" style="1" bestFit="1" customWidth="1"/>
    <col min="260" max="260" width="7.7109375" style="1" bestFit="1" customWidth="1"/>
    <col min="261" max="261" width="6.85546875" style="1" bestFit="1" customWidth="1"/>
    <col min="262" max="262" width="17.28515625" style="1" bestFit="1" customWidth="1"/>
    <col min="263" max="263" width="33.85546875" style="1" bestFit="1" customWidth="1"/>
    <col min="264" max="266" width="5.5703125" style="1" bestFit="1" customWidth="1"/>
    <col min="267" max="267" width="4.85546875" style="1" bestFit="1" customWidth="1"/>
    <col min="268" max="268" width="6.7109375" style="1" bestFit="1" customWidth="1"/>
    <col min="269" max="269" width="8.5703125" style="1" bestFit="1" customWidth="1"/>
    <col min="270" max="270" width="24.7109375" style="1" bestFit="1" customWidth="1"/>
    <col min="271" max="513" width="8.7109375" style="1"/>
    <col min="514" max="514" width="30.28515625" style="1" bestFit="1" customWidth="1"/>
    <col min="515" max="515" width="19.140625" style="1" bestFit="1" customWidth="1"/>
    <col min="516" max="516" width="7.7109375" style="1" bestFit="1" customWidth="1"/>
    <col min="517" max="517" width="6.85546875" style="1" bestFit="1" customWidth="1"/>
    <col min="518" max="518" width="17.28515625" style="1" bestFit="1" customWidth="1"/>
    <col min="519" max="519" width="33.85546875" style="1" bestFit="1" customWidth="1"/>
    <col min="520" max="522" width="5.5703125" style="1" bestFit="1" customWidth="1"/>
    <col min="523" max="523" width="4.85546875" style="1" bestFit="1" customWidth="1"/>
    <col min="524" max="524" width="6.7109375" style="1" bestFit="1" customWidth="1"/>
    <col min="525" max="525" width="8.5703125" style="1" bestFit="1" customWidth="1"/>
    <col min="526" max="526" width="24.7109375" style="1" bestFit="1" customWidth="1"/>
    <col min="527" max="769" width="8.7109375" style="1"/>
    <col min="770" max="770" width="30.28515625" style="1" bestFit="1" customWidth="1"/>
    <col min="771" max="771" width="19.140625" style="1" bestFit="1" customWidth="1"/>
    <col min="772" max="772" width="7.7109375" style="1" bestFit="1" customWidth="1"/>
    <col min="773" max="773" width="6.85546875" style="1" bestFit="1" customWidth="1"/>
    <col min="774" max="774" width="17.28515625" style="1" bestFit="1" customWidth="1"/>
    <col min="775" max="775" width="33.85546875" style="1" bestFit="1" customWidth="1"/>
    <col min="776" max="778" width="5.5703125" style="1" bestFit="1" customWidth="1"/>
    <col min="779" max="779" width="4.85546875" style="1" bestFit="1" customWidth="1"/>
    <col min="780" max="780" width="6.7109375" style="1" bestFit="1" customWidth="1"/>
    <col min="781" max="781" width="8.5703125" style="1" bestFit="1" customWidth="1"/>
    <col min="782" max="782" width="24.7109375" style="1" bestFit="1" customWidth="1"/>
    <col min="783" max="1025" width="8.7109375" style="1"/>
    <col min="1026" max="1026" width="30.28515625" style="1" bestFit="1" customWidth="1"/>
    <col min="1027" max="1027" width="19.140625" style="1" bestFit="1" customWidth="1"/>
    <col min="1028" max="1028" width="7.7109375" style="1" bestFit="1" customWidth="1"/>
    <col min="1029" max="1029" width="6.85546875" style="1" bestFit="1" customWidth="1"/>
    <col min="1030" max="1030" width="17.28515625" style="1" bestFit="1" customWidth="1"/>
    <col min="1031" max="1031" width="33.85546875" style="1" bestFit="1" customWidth="1"/>
    <col min="1032" max="1034" width="5.5703125" style="1" bestFit="1" customWidth="1"/>
    <col min="1035" max="1035" width="4.85546875" style="1" bestFit="1" customWidth="1"/>
    <col min="1036" max="1036" width="6.7109375" style="1" bestFit="1" customWidth="1"/>
    <col min="1037" max="1037" width="8.5703125" style="1" bestFit="1" customWidth="1"/>
    <col min="1038" max="1038" width="24.7109375" style="1" bestFit="1" customWidth="1"/>
    <col min="1039" max="1281" width="8.7109375" style="1"/>
    <col min="1282" max="1282" width="30.28515625" style="1" bestFit="1" customWidth="1"/>
    <col min="1283" max="1283" width="19.140625" style="1" bestFit="1" customWidth="1"/>
    <col min="1284" max="1284" width="7.7109375" style="1" bestFit="1" customWidth="1"/>
    <col min="1285" max="1285" width="6.85546875" style="1" bestFit="1" customWidth="1"/>
    <col min="1286" max="1286" width="17.28515625" style="1" bestFit="1" customWidth="1"/>
    <col min="1287" max="1287" width="33.85546875" style="1" bestFit="1" customWidth="1"/>
    <col min="1288" max="1290" width="5.5703125" style="1" bestFit="1" customWidth="1"/>
    <col min="1291" max="1291" width="4.85546875" style="1" bestFit="1" customWidth="1"/>
    <col min="1292" max="1292" width="6.7109375" style="1" bestFit="1" customWidth="1"/>
    <col min="1293" max="1293" width="8.5703125" style="1" bestFit="1" customWidth="1"/>
    <col min="1294" max="1294" width="24.7109375" style="1" bestFit="1" customWidth="1"/>
    <col min="1295" max="1537" width="8.7109375" style="1"/>
    <col min="1538" max="1538" width="30.28515625" style="1" bestFit="1" customWidth="1"/>
    <col min="1539" max="1539" width="19.140625" style="1" bestFit="1" customWidth="1"/>
    <col min="1540" max="1540" width="7.7109375" style="1" bestFit="1" customWidth="1"/>
    <col min="1541" max="1541" width="6.85546875" style="1" bestFit="1" customWidth="1"/>
    <col min="1542" max="1542" width="17.28515625" style="1" bestFit="1" customWidth="1"/>
    <col min="1543" max="1543" width="33.85546875" style="1" bestFit="1" customWidth="1"/>
    <col min="1544" max="1546" width="5.5703125" style="1" bestFit="1" customWidth="1"/>
    <col min="1547" max="1547" width="4.85546875" style="1" bestFit="1" customWidth="1"/>
    <col min="1548" max="1548" width="6.7109375" style="1" bestFit="1" customWidth="1"/>
    <col min="1549" max="1549" width="8.5703125" style="1" bestFit="1" customWidth="1"/>
    <col min="1550" max="1550" width="24.7109375" style="1" bestFit="1" customWidth="1"/>
    <col min="1551" max="1793" width="8.7109375" style="1"/>
    <col min="1794" max="1794" width="30.28515625" style="1" bestFit="1" customWidth="1"/>
    <col min="1795" max="1795" width="19.140625" style="1" bestFit="1" customWidth="1"/>
    <col min="1796" max="1796" width="7.7109375" style="1" bestFit="1" customWidth="1"/>
    <col min="1797" max="1797" width="6.85546875" style="1" bestFit="1" customWidth="1"/>
    <col min="1798" max="1798" width="17.28515625" style="1" bestFit="1" customWidth="1"/>
    <col min="1799" max="1799" width="33.85546875" style="1" bestFit="1" customWidth="1"/>
    <col min="1800" max="1802" width="5.5703125" style="1" bestFit="1" customWidth="1"/>
    <col min="1803" max="1803" width="4.85546875" style="1" bestFit="1" customWidth="1"/>
    <col min="1804" max="1804" width="6.7109375" style="1" bestFit="1" customWidth="1"/>
    <col min="1805" max="1805" width="8.5703125" style="1" bestFit="1" customWidth="1"/>
    <col min="1806" max="1806" width="24.7109375" style="1" bestFit="1" customWidth="1"/>
    <col min="1807" max="2049" width="8.7109375" style="1"/>
    <col min="2050" max="2050" width="30.28515625" style="1" bestFit="1" customWidth="1"/>
    <col min="2051" max="2051" width="19.140625" style="1" bestFit="1" customWidth="1"/>
    <col min="2052" max="2052" width="7.7109375" style="1" bestFit="1" customWidth="1"/>
    <col min="2053" max="2053" width="6.85546875" style="1" bestFit="1" customWidth="1"/>
    <col min="2054" max="2054" width="17.28515625" style="1" bestFit="1" customWidth="1"/>
    <col min="2055" max="2055" width="33.85546875" style="1" bestFit="1" customWidth="1"/>
    <col min="2056" max="2058" width="5.5703125" style="1" bestFit="1" customWidth="1"/>
    <col min="2059" max="2059" width="4.85546875" style="1" bestFit="1" customWidth="1"/>
    <col min="2060" max="2060" width="6.7109375" style="1" bestFit="1" customWidth="1"/>
    <col min="2061" max="2061" width="8.5703125" style="1" bestFit="1" customWidth="1"/>
    <col min="2062" max="2062" width="24.7109375" style="1" bestFit="1" customWidth="1"/>
    <col min="2063" max="2305" width="8.7109375" style="1"/>
    <col min="2306" max="2306" width="30.28515625" style="1" bestFit="1" customWidth="1"/>
    <col min="2307" max="2307" width="19.140625" style="1" bestFit="1" customWidth="1"/>
    <col min="2308" max="2308" width="7.7109375" style="1" bestFit="1" customWidth="1"/>
    <col min="2309" max="2309" width="6.85546875" style="1" bestFit="1" customWidth="1"/>
    <col min="2310" max="2310" width="17.28515625" style="1" bestFit="1" customWidth="1"/>
    <col min="2311" max="2311" width="33.85546875" style="1" bestFit="1" customWidth="1"/>
    <col min="2312" max="2314" width="5.5703125" style="1" bestFit="1" customWidth="1"/>
    <col min="2315" max="2315" width="4.85546875" style="1" bestFit="1" customWidth="1"/>
    <col min="2316" max="2316" width="6.7109375" style="1" bestFit="1" customWidth="1"/>
    <col min="2317" max="2317" width="8.5703125" style="1" bestFit="1" customWidth="1"/>
    <col min="2318" max="2318" width="24.7109375" style="1" bestFit="1" customWidth="1"/>
    <col min="2319" max="2561" width="8.7109375" style="1"/>
    <col min="2562" max="2562" width="30.28515625" style="1" bestFit="1" customWidth="1"/>
    <col min="2563" max="2563" width="19.140625" style="1" bestFit="1" customWidth="1"/>
    <col min="2564" max="2564" width="7.7109375" style="1" bestFit="1" customWidth="1"/>
    <col min="2565" max="2565" width="6.85546875" style="1" bestFit="1" customWidth="1"/>
    <col min="2566" max="2566" width="17.28515625" style="1" bestFit="1" customWidth="1"/>
    <col min="2567" max="2567" width="33.85546875" style="1" bestFit="1" customWidth="1"/>
    <col min="2568" max="2570" width="5.5703125" style="1" bestFit="1" customWidth="1"/>
    <col min="2571" max="2571" width="4.85546875" style="1" bestFit="1" customWidth="1"/>
    <col min="2572" max="2572" width="6.7109375" style="1" bestFit="1" customWidth="1"/>
    <col min="2573" max="2573" width="8.5703125" style="1" bestFit="1" customWidth="1"/>
    <col min="2574" max="2574" width="24.7109375" style="1" bestFit="1" customWidth="1"/>
    <col min="2575" max="2817" width="8.7109375" style="1"/>
    <col min="2818" max="2818" width="30.28515625" style="1" bestFit="1" customWidth="1"/>
    <col min="2819" max="2819" width="19.140625" style="1" bestFit="1" customWidth="1"/>
    <col min="2820" max="2820" width="7.7109375" style="1" bestFit="1" customWidth="1"/>
    <col min="2821" max="2821" width="6.85546875" style="1" bestFit="1" customWidth="1"/>
    <col min="2822" max="2822" width="17.28515625" style="1" bestFit="1" customWidth="1"/>
    <col min="2823" max="2823" width="33.85546875" style="1" bestFit="1" customWidth="1"/>
    <col min="2824" max="2826" width="5.5703125" style="1" bestFit="1" customWidth="1"/>
    <col min="2827" max="2827" width="4.85546875" style="1" bestFit="1" customWidth="1"/>
    <col min="2828" max="2828" width="6.7109375" style="1" bestFit="1" customWidth="1"/>
    <col min="2829" max="2829" width="8.5703125" style="1" bestFit="1" customWidth="1"/>
    <col min="2830" max="2830" width="24.7109375" style="1" bestFit="1" customWidth="1"/>
    <col min="2831" max="3073" width="8.7109375" style="1"/>
    <col min="3074" max="3074" width="30.28515625" style="1" bestFit="1" customWidth="1"/>
    <col min="3075" max="3075" width="19.140625" style="1" bestFit="1" customWidth="1"/>
    <col min="3076" max="3076" width="7.7109375" style="1" bestFit="1" customWidth="1"/>
    <col min="3077" max="3077" width="6.85546875" style="1" bestFit="1" customWidth="1"/>
    <col min="3078" max="3078" width="17.28515625" style="1" bestFit="1" customWidth="1"/>
    <col min="3079" max="3079" width="33.85546875" style="1" bestFit="1" customWidth="1"/>
    <col min="3080" max="3082" width="5.5703125" style="1" bestFit="1" customWidth="1"/>
    <col min="3083" max="3083" width="4.85546875" style="1" bestFit="1" customWidth="1"/>
    <col min="3084" max="3084" width="6.7109375" style="1" bestFit="1" customWidth="1"/>
    <col min="3085" max="3085" width="8.5703125" style="1" bestFit="1" customWidth="1"/>
    <col min="3086" max="3086" width="24.7109375" style="1" bestFit="1" customWidth="1"/>
    <col min="3087" max="3329" width="8.7109375" style="1"/>
    <col min="3330" max="3330" width="30.28515625" style="1" bestFit="1" customWidth="1"/>
    <col min="3331" max="3331" width="19.140625" style="1" bestFit="1" customWidth="1"/>
    <col min="3332" max="3332" width="7.7109375" style="1" bestFit="1" customWidth="1"/>
    <col min="3333" max="3333" width="6.85546875" style="1" bestFit="1" customWidth="1"/>
    <col min="3334" max="3334" width="17.28515625" style="1" bestFit="1" customWidth="1"/>
    <col min="3335" max="3335" width="33.85546875" style="1" bestFit="1" customWidth="1"/>
    <col min="3336" max="3338" width="5.5703125" style="1" bestFit="1" customWidth="1"/>
    <col min="3339" max="3339" width="4.85546875" style="1" bestFit="1" customWidth="1"/>
    <col min="3340" max="3340" width="6.7109375" style="1" bestFit="1" customWidth="1"/>
    <col min="3341" max="3341" width="8.5703125" style="1" bestFit="1" customWidth="1"/>
    <col min="3342" max="3342" width="24.7109375" style="1" bestFit="1" customWidth="1"/>
    <col min="3343" max="3585" width="8.7109375" style="1"/>
    <col min="3586" max="3586" width="30.28515625" style="1" bestFit="1" customWidth="1"/>
    <col min="3587" max="3587" width="19.140625" style="1" bestFit="1" customWidth="1"/>
    <col min="3588" max="3588" width="7.7109375" style="1" bestFit="1" customWidth="1"/>
    <col min="3589" max="3589" width="6.85546875" style="1" bestFit="1" customWidth="1"/>
    <col min="3590" max="3590" width="17.28515625" style="1" bestFit="1" customWidth="1"/>
    <col min="3591" max="3591" width="33.85546875" style="1" bestFit="1" customWidth="1"/>
    <col min="3592" max="3594" width="5.5703125" style="1" bestFit="1" customWidth="1"/>
    <col min="3595" max="3595" width="4.85546875" style="1" bestFit="1" customWidth="1"/>
    <col min="3596" max="3596" width="6.7109375" style="1" bestFit="1" customWidth="1"/>
    <col min="3597" max="3597" width="8.5703125" style="1" bestFit="1" customWidth="1"/>
    <col min="3598" max="3598" width="24.7109375" style="1" bestFit="1" customWidth="1"/>
    <col min="3599" max="3841" width="8.7109375" style="1"/>
    <col min="3842" max="3842" width="30.28515625" style="1" bestFit="1" customWidth="1"/>
    <col min="3843" max="3843" width="19.140625" style="1" bestFit="1" customWidth="1"/>
    <col min="3844" max="3844" width="7.7109375" style="1" bestFit="1" customWidth="1"/>
    <col min="3845" max="3845" width="6.85546875" style="1" bestFit="1" customWidth="1"/>
    <col min="3846" max="3846" width="17.28515625" style="1" bestFit="1" customWidth="1"/>
    <col min="3847" max="3847" width="33.85546875" style="1" bestFit="1" customWidth="1"/>
    <col min="3848" max="3850" width="5.5703125" style="1" bestFit="1" customWidth="1"/>
    <col min="3851" max="3851" width="4.85546875" style="1" bestFit="1" customWidth="1"/>
    <col min="3852" max="3852" width="6.7109375" style="1" bestFit="1" customWidth="1"/>
    <col min="3853" max="3853" width="8.5703125" style="1" bestFit="1" customWidth="1"/>
    <col min="3854" max="3854" width="24.7109375" style="1" bestFit="1" customWidth="1"/>
    <col min="3855" max="4097" width="8.7109375" style="1"/>
    <col min="4098" max="4098" width="30.28515625" style="1" bestFit="1" customWidth="1"/>
    <col min="4099" max="4099" width="19.140625" style="1" bestFit="1" customWidth="1"/>
    <col min="4100" max="4100" width="7.7109375" style="1" bestFit="1" customWidth="1"/>
    <col min="4101" max="4101" width="6.85546875" style="1" bestFit="1" customWidth="1"/>
    <col min="4102" max="4102" width="17.28515625" style="1" bestFit="1" customWidth="1"/>
    <col min="4103" max="4103" width="33.85546875" style="1" bestFit="1" customWidth="1"/>
    <col min="4104" max="4106" width="5.5703125" style="1" bestFit="1" customWidth="1"/>
    <col min="4107" max="4107" width="4.85546875" style="1" bestFit="1" customWidth="1"/>
    <col min="4108" max="4108" width="6.7109375" style="1" bestFit="1" customWidth="1"/>
    <col min="4109" max="4109" width="8.5703125" style="1" bestFit="1" customWidth="1"/>
    <col min="4110" max="4110" width="24.7109375" style="1" bestFit="1" customWidth="1"/>
    <col min="4111" max="4353" width="8.7109375" style="1"/>
    <col min="4354" max="4354" width="30.28515625" style="1" bestFit="1" customWidth="1"/>
    <col min="4355" max="4355" width="19.140625" style="1" bestFit="1" customWidth="1"/>
    <col min="4356" max="4356" width="7.7109375" style="1" bestFit="1" customWidth="1"/>
    <col min="4357" max="4357" width="6.85546875" style="1" bestFit="1" customWidth="1"/>
    <col min="4358" max="4358" width="17.28515625" style="1" bestFit="1" customWidth="1"/>
    <col min="4359" max="4359" width="33.85546875" style="1" bestFit="1" customWidth="1"/>
    <col min="4360" max="4362" width="5.5703125" style="1" bestFit="1" customWidth="1"/>
    <col min="4363" max="4363" width="4.85546875" style="1" bestFit="1" customWidth="1"/>
    <col min="4364" max="4364" width="6.7109375" style="1" bestFit="1" customWidth="1"/>
    <col min="4365" max="4365" width="8.5703125" style="1" bestFit="1" customWidth="1"/>
    <col min="4366" max="4366" width="24.7109375" style="1" bestFit="1" customWidth="1"/>
    <col min="4367" max="4609" width="8.7109375" style="1"/>
    <col min="4610" max="4610" width="30.28515625" style="1" bestFit="1" customWidth="1"/>
    <col min="4611" max="4611" width="19.140625" style="1" bestFit="1" customWidth="1"/>
    <col min="4612" max="4612" width="7.7109375" style="1" bestFit="1" customWidth="1"/>
    <col min="4613" max="4613" width="6.85546875" style="1" bestFit="1" customWidth="1"/>
    <col min="4614" max="4614" width="17.28515625" style="1" bestFit="1" customWidth="1"/>
    <col min="4615" max="4615" width="33.85546875" style="1" bestFit="1" customWidth="1"/>
    <col min="4616" max="4618" width="5.5703125" style="1" bestFit="1" customWidth="1"/>
    <col min="4619" max="4619" width="4.85546875" style="1" bestFit="1" customWidth="1"/>
    <col min="4620" max="4620" width="6.7109375" style="1" bestFit="1" customWidth="1"/>
    <col min="4621" max="4621" width="8.5703125" style="1" bestFit="1" customWidth="1"/>
    <col min="4622" max="4622" width="24.7109375" style="1" bestFit="1" customWidth="1"/>
    <col min="4623" max="4865" width="8.7109375" style="1"/>
    <col min="4866" max="4866" width="30.28515625" style="1" bestFit="1" customWidth="1"/>
    <col min="4867" max="4867" width="19.140625" style="1" bestFit="1" customWidth="1"/>
    <col min="4868" max="4868" width="7.7109375" style="1" bestFit="1" customWidth="1"/>
    <col min="4869" max="4869" width="6.85546875" style="1" bestFit="1" customWidth="1"/>
    <col min="4870" max="4870" width="17.28515625" style="1" bestFit="1" customWidth="1"/>
    <col min="4871" max="4871" width="33.85546875" style="1" bestFit="1" customWidth="1"/>
    <col min="4872" max="4874" width="5.5703125" style="1" bestFit="1" customWidth="1"/>
    <col min="4875" max="4875" width="4.85546875" style="1" bestFit="1" customWidth="1"/>
    <col min="4876" max="4876" width="6.7109375" style="1" bestFit="1" customWidth="1"/>
    <col min="4877" max="4877" width="8.5703125" style="1" bestFit="1" customWidth="1"/>
    <col min="4878" max="4878" width="24.7109375" style="1" bestFit="1" customWidth="1"/>
    <col min="4879" max="5121" width="8.7109375" style="1"/>
    <col min="5122" max="5122" width="30.28515625" style="1" bestFit="1" customWidth="1"/>
    <col min="5123" max="5123" width="19.140625" style="1" bestFit="1" customWidth="1"/>
    <col min="5124" max="5124" width="7.7109375" style="1" bestFit="1" customWidth="1"/>
    <col min="5125" max="5125" width="6.85546875" style="1" bestFit="1" customWidth="1"/>
    <col min="5126" max="5126" width="17.28515625" style="1" bestFit="1" customWidth="1"/>
    <col min="5127" max="5127" width="33.85546875" style="1" bestFit="1" customWidth="1"/>
    <col min="5128" max="5130" width="5.5703125" style="1" bestFit="1" customWidth="1"/>
    <col min="5131" max="5131" width="4.85546875" style="1" bestFit="1" customWidth="1"/>
    <col min="5132" max="5132" width="6.7109375" style="1" bestFit="1" customWidth="1"/>
    <col min="5133" max="5133" width="8.5703125" style="1" bestFit="1" customWidth="1"/>
    <col min="5134" max="5134" width="24.7109375" style="1" bestFit="1" customWidth="1"/>
    <col min="5135" max="5377" width="8.7109375" style="1"/>
    <col min="5378" max="5378" width="30.28515625" style="1" bestFit="1" customWidth="1"/>
    <col min="5379" max="5379" width="19.140625" style="1" bestFit="1" customWidth="1"/>
    <col min="5380" max="5380" width="7.7109375" style="1" bestFit="1" customWidth="1"/>
    <col min="5381" max="5381" width="6.85546875" style="1" bestFit="1" customWidth="1"/>
    <col min="5382" max="5382" width="17.28515625" style="1" bestFit="1" customWidth="1"/>
    <col min="5383" max="5383" width="33.85546875" style="1" bestFit="1" customWidth="1"/>
    <col min="5384" max="5386" width="5.5703125" style="1" bestFit="1" customWidth="1"/>
    <col min="5387" max="5387" width="4.85546875" style="1" bestFit="1" customWidth="1"/>
    <col min="5388" max="5388" width="6.7109375" style="1" bestFit="1" customWidth="1"/>
    <col min="5389" max="5389" width="8.5703125" style="1" bestFit="1" customWidth="1"/>
    <col min="5390" max="5390" width="24.7109375" style="1" bestFit="1" customWidth="1"/>
    <col min="5391" max="5633" width="8.7109375" style="1"/>
    <col min="5634" max="5634" width="30.28515625" style="1" bestFit="1" customWidth="1"/>
    <col min="5635" max="5635" width="19.140625" style="1" bestFit="1" customWidth="1"/>
    <col min="5636" max="5636" width="7.7109375" style="1" bestFit="1" customWidth="1"/>
    <col min="5637" max="5637" width="6.85546875" style="1" bestFit="1" customWidth="1"/>
    <col min="5638" max="5638" width="17.28515625" style="1" bestFit="1" customWidth="1"/>
    <col min="5639" max="5639" width="33.85546875" style="1" bestFit="1" customWidth="1"/>
    <col min="5640" max="5642" width="5.5703125" style="1" bestFit="1" customWidth="1"/>
    <col min="5643" max="5643" width="4.85546875" style="1" bestFit="1" customWidth="1"/>
    <col min="5644" max="5644" width="6.7109375" style="1" bestFit="1" customWidth="1"/>
    <col min="5645" max="5645" width="8.5703125" style="1" bestFit="1" customWidth="1"/>
    <col min="5646" max="5646" width="24.7109375" style="1" bestFit="1" customWidth="1"/>
    <col min="5647" max="5889" width="8.7109375" style="1"/>
    <col min="5890" max="5890" width="30.28515625" style="1" bestFit="1" customWidth="1"/>
    <col min="5891" max="5891" width="19.140625" style="1" bestFit="1" customWidth="1"/>
    <col min="5892" max="5892" width="7.7109375" style="1" bestFit="1" customWidth="1"/>
    <col min="5893" max="5893" width="6.85546875" style="1" bestFit="1" customWidth="1"/>
    <col min="5894" max="5894" width="17.28515625" style="1" bestFit="1" customWidth="1"/>
    <col min="5895" max="5895" width="33.85546875" style="1" bestFit="1" customWidth="1"/>
    <col min="5896" max="5898" width="5.5703125" style="1" bestFit="1" customWidth="1"/>
    <col min="5899" max="5899" width="4.85546875" style="1" bestFit="1" customWidth="1"/>
    <col min="5900" max="5900" width="6.7109375" style="1" bestFit="1" customWidth="1"/>
    <col min="5901" max="5901" width="8.5703125" style="1" bestFit="1" customWidth="1"/>
    <col min="5902" max="5902" width="24.7109375" style="1" bestFit="1" customWidth="1"/>
    <col min="5903" max="6145" width="8.7109375" style="1"/>
    <col min="6146" max="6146" width="30.28515625" style="1" bestFit="1" customWidth="1"/>
    <col min="6147" max="6147" width="19.140625" style="1" bestFit="1" customWidth="1"/>
    <col min="6148" max="6148" width="7.7109375" style="1" bestFit="1" customWidth="1"/>
    <col min="6149" max="6149" width="6.85546875" style="1" bestFit="1" customWidth="1"/>
    <col min="6150" max="6150" width="17.28515625" style="1" bestFit="1" customWidth="1"/>
    <col min="6151" max="6151" width="33.85546875" style="1" bestFit="1" customWidth="1"/>
    <col min="6152" max="6154" width="5.5703125" style="1" bestFit="1" customWidth="1"/>
    <col min="6155" max="6155" width="4.85546875" style="1" bestFit="1" customWidth="1"/>
    <col min="6156" max="6156" width="6.7109375" style="1" bestFit="1" customWidth="1"/>
    <col min="6157" max="6157" width="8.5703125" style="1" bestFit="1" customWidth="1"/>
    <col min="6158" max="6158" width="24.7109375" style="1" bestFit="1" customWidth="1"/>
    <col min="6159" max="6401" width="8.7109375" style="1"/>
    <col min="6402" max="6402" width="30.28515625" style="1" bestFit="1" customWidth="1"/>
    <col min="6403" max="6403" width="19.140625" style="1" bestFit="1" customWidth="1"/>
    <col min="6404" max="6404" width="7.7109375" style="1" bestFit="1" customWidth="1"/>
    <col min="6405" max="6405" width="6.85546875" style="1" bestFit="1" customWidth="1"/>
    <col min="6406" max="6406" width="17.28515625" style="1" bestFit="1" customWidth="1"/>
    <col min="6407" max="6407" width="33.85546875" style="1" bestFit="1" customWidth="1"/>
    <col min="6408" max="6410" width="5.5703125" style="1" bestFit="1" customWidth="1"/>
    <col min="6411" max="6411" width="4.85546875" style="1" bestFit="1" customWidth="1"/>
    <col min="6412" max="6412" width="6.7109375" style="1" bestFit="1" customWidth="1"/>
    <col min="6413" max="6413" width="8.5703125" style="1" bestFit="1" customWidth="1"/>
    <col min="6414" max="6414" width="24.7109375" style="1" bestFit="1" customWidth="1"/>
    <col min="6415" max="6657" width="8.7109375" style="1"/>
    <col min="6658" max="6658" width="30.28515625" style="1" bestFit="1" customWidth="1"/>
    <col min="6659" max="6659" width="19.140625" style="1" bestFit="1" customWidth="1"/>
    <col min="6660" max="6660" width="7.7109375" style="1" bestFit="1" customWidth="1"/>
    <col min="6661" max="6661" width="6.85546875" style="1" bestFit="1" customWidth="1"/>
    <col min="6662" max="6662" width="17.28515625" style="1" bestFit="1" customWidth="1"/>
    <col min="6663" max="6663" width="33.85546875" style="1" bestFit="1" customWidth="1"/>
    <col min="6664" max="6666" width="5.5703125" style="1" bestFit="1" customWidth="1"/>
    <col min="6667" max="6667" width="4.85546875" style="1" bestFit="1" customWidth="1"/>
    <col min="6668" max="6668" width="6.7109375" style="1" bestFit="1" customWidth="1"/>
    <col min="6669" max="6669" width="8.5703125" style="1" bestFit="1" customWidth="1"/>
    <col min="6670" max="6670" width="24.7109375" style="1" bestFit="1" customWidth="1"/>
    <col min="6671" max="6913" width="8.7109375" style="1"/>
    <col min="6914" max="6914" width="30.28515625" style="1" bestFit="1" customWidth="1"/>
    <col min="6915" max="6915" width="19.140625" style="1" bestFit="1" customWidth="1"/>
    <col min="6916" max="6916" width="7.7109375" style="1" bestFit="1" customWidth="1"/>
    <col min="6917" max="6917" width="6.85546875" style="1" bestFit="1" customWidth="1"/>
    <col min="6918" max="6918" width="17.28515625" style="1" bestFit="1" customWidth="1"/>
    <col min="6919" max="6919" width="33.85546875" style="1" bestFit="1" customWidth="1"/>
    <col min="6920" max="6922" width="5.5703125" style="1" bestFit="1" customWidth="1"/>
    <col min="6923" max="6923" width="4.85546875" style="1" bestFit="1" customWidth="1"/>
    <col min="6924" max="6924" width="6.7109375" style="1" bestFit="1" customWidth="1"/>
    <col min="6925" max="6925" width="8.5703125" style="1" bestFit="1" customWidth="1"/>
    <col min="6926" max="6926" width="24.7109375" style="1" bestFit="1" customWidth="1"/>
    <col min="6927" max="7169" width="8.7109375" style="1"/>
    <col min="7170" max="7170" width="30.28515625" style="1" bestFit="1" customWidth="1"/>
    <col min="7171" max="7171" width="19.140625" style="1" bestFit="1" customWidth="1"/>
    <col min="7172" max="7172" width="7.7109375" style="1" bestFit="1" customWidth="1"/>
    <col min="7173" max="7173" width="6.85546875" style="1" bestFit="1" customWidth="1"/>
    <col min="7174" max="7174" width="17.28515625" style="1" bestFit="1" customWidth="1"/>
    <col min="7175" max="7175" width="33.85546875" style="1" bestFit="1" customWidth="1"/>
    <col min="7176" max="7178" width="5.5703125" style="1" bestFit="1" customWidth="1"/>
    <col min="7179" max="7179" width="4.85546875" style="1" bestFit="1" customWidth="1"/>
    <col min="7180" max="7180" width="6.7109375" style="1" bestFit="1" customWidth="1"/>
    <col min="7181" max="7181" width="8.5703125" style="1" bestFit="1" customWidth="1"/>
    <col min="7182" max="7182" width="24.7109375" style="1" bestFit="1" customWidth="1"/>
    <col min="7183" max="7425" width="8.7109375" style="1"/>
    <col min="7426" max="7426" width="30.28515625" style="1" bestFit="1" customWidth="1"/>
    <col min="7427" max="7427" width="19.140625" style="1" bestFit="1" customWidth="1"/>
    <col min="7428" max="7428" width="7.7109375" style="1" bestFit="1" customWidth="1"/>
    <col min="7429" max="7429" width="6.85546875" style="1" bestFit="1" customWidth="1"/>
    <col min="7430" max="7430" width="17.28515625" style="1" bestFit="1" customWidth="1"/>
    <col min="7431" max="7431" width="33.85546875" style="1" bestFit="1" customWidth="1"/>
    <col min="7432" max="7434" width="5.5703125" style="1" bestFit="1" customWidth="1"/>
    <col min="7435" max="7435" width="4.85546875" style="1" bestFit="1" customWidth="1"/>
    <col min="7436" max="7436" width="6.7109375" style="1" bestFit="1" customWidth="1"/>
    <col min="7437" max="7437" width="8.5703125" style="1" bestFit="1" customWidth="1"/>
    <col min="7438" max="7438" width="24.7109375" style="1" bestFit="1" customWidth="1"/>
    <col min="7439" max="7681" width="8.7109375" style="1"/>
    <col min="7682" max="7682" width="30.28515625" style="1" bestFit="1" customWidth="1"/>
    <col min="7683" max="7683" width="19.140625" style="1" bestFit="1" customWidth="1"/>
    <col min="7684" max="7684" width="7.7109375" style="1" bestFit="1" customWidth="1"/>
    <col min="7685" max="7685" width="6.85546875" style="1" bestFit="1" customWidth="1"/>
    <col min="7686" max="7686" width="17.28515625" style="1" bestFit="1" customWidth="1"/>
    <col min="7687" max="7687" width="33.85546875" style="1" bestFit="1" customWidth="1"/>
    <col min="7688" max="7690" width="5.5703125" style="1" bestFit="1" customWidth="1"/>
    <col min="7691" max="7691" width="4.85546875" style="1" bestFit="1" customWidth="1"/>
    <col min="7692" max="7692" width="6.7109375" style="1" bestFit="1" customWidth="1"/>
    <col min="7693" max="7693" width="8.5703125" style="1" bestFit="1" customWidth="1"/>
    <col min="7694" max="7694" width="24.7109375" style="1" bestFit="1" customWidth="1"/>
    <col min="7695" max="7937" width="8.7109375" style="1"/>
    <col min="7938" max="7938" width="30.28515625" style="1" bestFit="1" customWidth="1"/>
    <col min="7939" max="7939" width="19.140625" style="1" bestFit="1" customWidth="1"/>
    <col min="7940" max="7940" width="7.7109375" style="1" bestFit="1" customWidth="1"/>
    <col min="7941" max="7941" width="6.85546875" style="1" bestFit="1" customWidth="1"/>
    <col min="7942" max="7942" width="17.28515625" style="1" bestFit="1" customWidth="1"/>
    <col min="7943" max="7943" width="33.85546875" style="1" bestFit="1" customWidth="1"/>
    <col min="7944" max="7946" width="5.5703125" style="1" bestFit="1" customWidth="1"/>
    <col min="7947" max="7947" width="4.85546875" style="1" bestFit="1" customWidth="1"/>
    <col min="7948" max="7948" width="6.7109375" style="1" bestFit="1" customWidth="1"/>
    <col min="7949" max="7949" width="8.5703125" style="1" bestFit="1" customWidth="1"/>
    <col min="7950" max="7950" width="24.7109375" style="1" bestFit="1" customWidth="1"/>
    <col min="7951" max="8193" width="8.7109375" style="1"/>
    <col min="8194" max="8194" width="30.28515625" style="1" bestFit="1" customWidth="1"/>
    <col min="8195" max="8195" width="19.140625" style="1" bestFit="1" customWidth="1"/>
    <col min="8196" max="8196" width="7.7109375" style="1" bestFit="1" customWidth="1"/>
    <col min="8197" max="8197" width="6.85546875" style="1" bestFit="1" customWidth="1"/>
    <col min="8198" max="8198" width="17.28515625" style="1" bestFit="1" customWidth="1"/>
    <col min="8199" max="8199" width="33.85546875" style="1" bestFit="1" customWidth="1"/>
    <col min="8200" max="8202" width="5.5703125" style="1" bestFit="1" customWidth="1"/>
    <col min="8203" max="8203" width="4.85546875" style="1" bestFit="1" customWidth="1"/>
    <col min="8204" max="8204" width="6.7109375" style="1" bestFit="1" customWidth="1"/>
    <col min="8205" max="8205" width="8.5703125" style="1" bestFit="1" customWidth="1"/>
    <col min="8206" max="8206" width="24.7109375" style="1" bestFit="1" customWidth="1"/>
    <col min="8207" max="8449" width="8.7109375" style="1"/>
    <col min="8450" max="8450" width="30.28515625" style="1" bestFit="1" customWidth="1"/>
    <col min="8451" max="8451" width="19.140625" style="1" bestFit="1" customWidth="1"/>
    <col min="8452" max="8452" width="7.7109375" style="1" bestFit="1" customWidth="1"/>
    <col min="8453" max="8453" width="6.85546875" style="1" bestFit="1" customWidth="1"/>
    <col min="8454" max="8454" width="17.28515625" style="1" bestFit="1" customWidth="1"/>
    <col min="8455" max="8455" width="33.85546875" style="1" bestFit="1" customWidth="1"/>
    <col min="8456" max="8458" width="5.5703125" style="1" bestFit="1" customWidth="1"/>
    <col min="8459" max="8459" width="4.85546875" style="1" bestFit="1" customWidth="1"/>
    <col min="8460" max="8460" width="6.7109375" style="1" bestFit="1" customWidth="1"/>
    <col min="8461" max="8461" width="8.5703125" style="1" bestFit="1" customWidth="1"/>
    <col min="8462" max="8462" width="24.7109375" style="1" bestFit="1" customWidth="1"/>
    <col min="8463" max="8705" width="8.7109375" style="1"/>
    <col min="8706" max="8706" width="30.28515625" style="1" bestFit="1" customWidth="1"/>
    <col min="8707" max="8707" width="19.140625" style="1" bestFit="1" customWidth="1"/>
    <col min="8708" max="8708" width="7.7109375" style="1" bestFit="1" customWidth="1"/>
    <col min="8709" max="8709" width="6.85546875" style="1" bestFit="1" customWidth="1"/>
    <col min="8710" max="8710" width="17.28515625" style="1" bestFit="1" customWidth="1"/>
    <col min="8711" max="8711" width="33.85546875" style="1" bestFit="1" customWidth="1"/>
    <col min="8712" max="8714" width="5.5703125" style="1" bestFit="1" customWidth="1"/>
    <col min="8715" max="8715" width="4.85546875" style="1" bestFit="1" customWidth="1"/>
    <col min="8716" max="8716" width="6.7109375" style="1" bestFit="1" customWidth="1"/>
    <col min="8717" max="8717" width="8.5703125" style="1" bestFit="1" customWidth="1"/>
    <col min="8718" max="8718" width="24.7109375" style="1" bestFit="1" customWidth="1"/>
    <col min="8719" max="8961" width="8.7109375" style="1"/>
    <col min="8962" max="8962" width="30.28515625" style="1" bestFit="1" customWidth="1"/>
    <col min="8963" max="8963" width="19.140625" style="1" bestFit="1" customWidth="1"/>
    <col min="8964" max="8964" width="7.7109375" style="1" bestFit="1" customWidth="1"/>
    <col min="8965" max="8965" width="6.85546875" style="1" bestFit="1" customWidth="1"/>
    <col min="8966" max="8966" width="17.28515625" style="1" bestFit="1" customWidth="1"/>
    <col min="8967" max="8967" width="33.85546875" style="1" bestFit="1" customWidth="1"/>
    <col min="8968" max="8970" width="5.5703125" style="1" bestFit="1" customWidth="1"/>
    <col min="8971" max="8971" width="4.85546875" style="1" bestFit="1" customWidth="1"/>
    <col min="8972" max="8972" width="6.7109375" style="1" bestFit="1" customWidth="1"/>
    <col min="8973" max="8973" width="8.5703125" style="1" bestFit="1" customWidth="1"/>
    <col min="8974" max="8974" width="24.7109375" style="1" bestFit="1" customWidth="1"/>
    <col min="8975" max="9217" width="8.7109375" style="1"/>
    <col min="9218" max="9218" width="30.28515625" style="1" bestFit="1" customWidth="1"/>
    <col min="9219" max="9219" width="19.140625" style="1" bestFit="1" customWidth="1"/>
    <col min="9220" max="9220" width="7.7109375" style="1" bestFit="1" customWidth="1"/>
    <col min="9221" max="9221" width="6.85546875" style="1" bestFit="1" customWidth="1"/>
    <col min="9222" max="9222" width="17.28515625" style="1" bestFit="1" customWidth="1"/>
    <col min="9223" max="9223" width="33.85546875" style="1" bestFit="1" customWidth="1"/>
    <col min="9224" max="9226" width="5.5703125" style="1" bestFit="1" customWidth="1"/>
    <col min="9227" max="9227" width="4.85546875" style="1" bestFit="1" customWidth="1"/>
    <col min="9228" max="9228" width="6.7109375" style="1" bestFit="1" customWidth="1"/>
    <col min="9229" max="9229" width="8.5703125" style="1" bestFit="1" customWidth="1"/>
    <col min="9230" max="9230" width="24.7109375" style="1" bestFit="1" customWidth="1"/>
    <col min="9231" max="9473" width="8.7109375" style="1"/>
    <col min="9474" max="9474" width="30.28515625" style="1" bestFit="1" customWidth="1"/>
    <col min="9475" max="9475" width="19.140625" style="1" bestFit="1" customWidth="1"/>
    <col min="9476" max="9476" width="7.7109375" style="1" bestFit="1" customWidth="1"/>
    <col min="9477" max="9477" width="6.85546875" style="1" bestFit="1" customWidth="1"/>
    <col min="9478" max="9478" width="17.28515625" style="1" bestFit="1" customWidth="1"/>
    <col min="9479" max="9479" width="33.85546875" style="1" bestFit="1" customWidth="1"/>
    <col min="9480" max="9482" width="5.5703125" style="1" bestFit="1" customWidth="1"/>
    <col min="9483" max="9483" width="4.85546875" style="1" bestFit="1" customWidth="1"/>
    <col min="9484" max="9484" width="6.7109375" style="1" bestFit="1" customWidth="1"/>
    <col min="9485" max="9485" width="8.5703125" style="1" bestFit="1" customWidth="1"/>
    <col min="9486" max="9486" width="24.7109375" style="1" bestFit="1" customWidth="1"/>
    <col min="9487" max="9729" width="8.7109375" style="1"/>
    <col min="9730" max="9730" width="30.28515625" style="1" bestFit="1" customWidth="1"/>
    <col min="9731" max="9731" width="19.140625" style="1" bestFit="1" customWidth="1"/>
    <col min="9732" max="9732" width="7.7109375" style="1" bestFit="1" customWidth="1"/>
    <col min="9733" max="9733" width="6.85546875" style="1" bestFit="1" customWidth="1"/>
    <col min="9734" max="9734" width="17.28515625" style="1" bestFit="1" customWidth="1"/>
    <col min="9735" max="9735" width="33.85546875" style="1" bestFit="1" customWidth="1"/>
    <col min="9736" max="9738" width="5.5703125" style="1" bestFit="1" customWidth="1"/>
    <col min="9739" max="9739" width="4.85546875" style="1" bestFit="1" customWidth="1"/>
    <col min="9740" max="9740" width="6.7109375" style="1" bestFit="1" customWidth="1"/>
    <col min="9741" max="9741" width="8.5703125" style="1" bestFit="1" customWidth="1"/>
    <col min="9742" max="9742" width="24.7109375" style="1" bestFit="1" customWidth="1"/>
    <col min="9743" max="9985" width="8.7109375" style="1"/>
    <col min="9986" max="9986" width="30.28515625" style="1" bestFit="1" customWidth="1"/>
    <col min="9987" max="9987" width="19.140625" style="1" bestFit="1" customWidth="1"/>
    <col min="9988" max="9988" width="7.7109375" style="1" bestFit="1" customWidth="1"/>
    <col min="9989" max="9989" width="6.85546875" style="1" bestFit="1" customWidth="1"/>
    <col min="9990" max="9990" width="17.28515625" style="1" bestFit="1" customWidth="1"/>
    <col min="9991" max="9991" width="33.85546875" style="1" bestFit="1" customWidth="1"/>
    <col min="9992" max="9994" width="5.5703125" style="1" bestFit="1" customWidth="1"/>
    <col min="9995" max="9995" width="4.85546875" style="1" bestFit="1" customWidth="1"/>
    <col min="9996" max="9996" width="6.7109375" style="1" bestFit="1" customWidth="1"/>
    <col min="9997" max="9997" width="8.5703125" style="1" bestFit="1" customWidth="1"/>
    <col min="9998" max="9998" width="24.7109375" style="1" bestFit="1" customWidth="1"/>
    <col min="9999" max="10241" width="8.7109375" style="1"/>
    <col min="10242" max="10242" width="30.28515625" style="1" bestFit="1" customWidth="1"/>
    <col min="10243" max="10243" width="19.140625" style="1" bestFit="1" customWidth="1"/>
    <col min="10244" max="10244" width="7.7109375" style="1" bestFit="1" customWidth="1"/>
    <col min="10245" max="10245" width="6.85546875" style="1" bestFit="1" customWidth="1"/>
    <col min="10246" max="10246" width="17.28515625" style="1" bestFit="1" customWidth="1"/>
    <col min="10247" max="10247" width="33.85546875" style="1" bestFit="1" customWidth="1"/>
    <col min="10248" max="10250" width="5.5703125" style="1" bestFit="1" customWidth="1"/>
    <col min="10251" max="10251" width="4.85546875" style="1" bestFit="1" customWidth="1"/>
    <col min="10252" max="10252" width="6.7109375" style="1" bestFit="1" customWidth="1"/>
    <col min="10253" max="10253" width="8.5703125" style="1" bestFit="1" customWidth="1"/>
    <col min="10254" max="10254" width="24.7109375" style="1" bestFit="1" customWidth="1"/>
    <col min="10255" max="10497" width="8.7109375" style="1"/>
    <col min="10498" max="10498" width="30.28515625" style="1" bestFit="1" customWidth="1"/>
    <col min="10499" max="10499" width="19.140625" style="1" bestFit="1" customWidth="1"/>
    <col min="10500" max="10500" width="7.7109375" style="1" bestFit="1" customWidth="1"/>
    <col min="10501" max="10501" width="6.85546875" style="1" bestFit="1" customWidth="1"/>
    <col min="10502" max="10502" width="17.28515625" style="1" bestFit="1" customWidth="1"/>
    <col min="10503" max="10503" width="33.85546875" style="1" bestFit="1" customWidth="1"/>
    <col min="10504" max="10506" width="5.5703125" style="1" bestFit="1" customWidth="1"/>
    <col min="10507" max="10507" width="4.85546875" style="1" bestFit="1" customWidth="1"/>
    <col min="10508" max="10508" width="6.7109375" style="1" bestFit="1" customWidth="1"/>
    <col min="10509" max="10509" width="8.5703125" style="1" bestFit="1" customWidth="1"/>
    <col min="10510" max="10510" width="24.7109375" style="1" bestFit="1" customWidth="1"/>
    <col min="10511" max="10753" width="8.7109375" style="1"/>
    <col min="10754" max="10754" width="30.28515625" style="1" bestFit="1" customWidth="1"/>
    <col min="10755" max="10755" width="19.140625" style="1" bestFit="1" customWidth="1"/>
    <col min="10756" max="10756" width="7.7109375" style="1" bestFit="1" customWidth="1"/>
    <col min="10757" max="10757" width="6.85546875" style="1" bestFit="1" customWidth="1"/>
    <col min="10758" max="10758" width="17.28515625" style="1" bestFit="1" customWidth="1"/>
    <col min="10759" max="10759" width="33.85546875" style="1" bestFit="1" customWidth="1"/>
    <col min="10760" max="10762" width="5.5703125" style="1" bestFit="1" customWidth="1"/>
    <col min="10763" max="10763" width="4.85546875" style="1" bestFit="1" customWidth="1"/>
    <col min="10764" max="10764" width="6.7109375" style="1" bestFit="1" customWidth="1"/>
    <col min="10765" max="10765" width="8.5703125" style="1" bestFit="1" customWidth="1"/>
    <col min="10766" max="10766" width="24.7109375" style="1" bestFit="1" customWidth="1"/>
    <col min="10767" max="11009" width="8.7109375" style="1"/>
    <col min="11010" max="11010" width="30.28515625" style="1" bestFit="1" customWidth="1"/>
    <col min="11011" max="11011" width="19.140625" style="1" bestFit="1" customWidth="1"/>
    <col min="11012" max="11012" width="7.7109375" style="1" bestFit="1" customWidth="1"/>
    <col min="11013" max="11013" width="6.85546875" style="1" bestFit="1" customWidth="1"/>
    <col min="11014" max="11014" width="17.28515625" style="1" bestFit="1" customWidth="1"/>
    <col min="11015" max="11015" width="33.85546875" style="1" bestFit="1" customWidth="1"/>
    <col min="11016" max="11018" width="5.5703125" style="1" bestFit="1" customWidth="1"/>
    <col min="11019" max="11019" width="4.85546875" style="1" bestFit="1" customWidth="1"/>
    <col min="11020" max="11020" width="6.7109375" style="1" bestFit="1" customWidth="1"/>
    <col min="11021" max="11021" width="8.5703125" style="1" bestFit="1" customWidth="1"/>
    <col min="11022" max="11022" width="24.7109375" style="1" bestFit="1" customWidth="1"/>
    <col min="11023" max="11265" width="8.7109375" style="1"/>
    <col min="11266" max="11266" width="30.28515625" style="1" bestFit="1" customWidth="1"/>
    <col min="11267" max="11267" width="19.140625" style="1" bestFit="1" customWidth="1"/>
    <col min="11268" max="11268" width="7.7109375" style="1" bestFit="1" customWidth="1"/>
    <col min="11269" max="11269" width="6.85546875" style="1" bestFit="1" customWidth="1"/>
    <col min="11270" max="11270" width="17.28515625" style="1" bestFit="1" customWidth="1"/>
    <col min="11271" max="11271" width="33.85546875" style="1" bestFit="1" customWidth="1"/>
    <col min="11272" max="11274" width="5.5703125" style="1" bestFit="1" customWidth="1"/>
    <col min="11275" max="11275" width="4.85546875" style="1" bestFit="1" customWidth="1"/>
    <col min="11276" max="11276" width="6.7109375" style="1" bestFit="1" customWidth="1"/>
    <col min="11277" max="11277" width="8.5703125" style="1" bestFit="1" customWidth="1"/>
    <col min="11278" max="11278" width="24.7109375" style="1" bestFit="1" customWidth="1"/>
    <col min="11279" max="11521" width="8.7109375" style="1"/>
    <col min="11522" max="11522" width="30.28515625" style="1" bestFit="1" customWidth="1"/>
    <col min="11523" max="11523" width="19.140625" style="1" bestFit="1" customWidth="1"/>
    <col min="11524" max="11524" width="7.7109375" style="1" bestFit="1" customWidth="1"/>
    <col min="11525" max="11525" width="6.85546875" style="1" bestFit="1" customWidth="1"/>
    <col min="11526" max="11526" width="17.28515625" style="1" bestFit="1" customWidth="1"/>
    <col min="11527" max="11527" width="33.85546875" style="1" bestFit="1" customWidth="1"/>
    <col min="11528" max="11530" width="5.5703125" style="1" bestFit="1" customWidth="1"/>
    <col min="11531" max="11531" width="4.85546875" style="1" bestFit="1" customWidth="1"/>
    <col min="11532" max="11532" width="6.7109375" style="1" bestFit="1" customWidth="1"/>
    <col min="11533" max="11533" width="8.5703125" style="1" bestFit="1" customWidth="1"/>
    <col min="11534" max="11534" width="24.7109375" style="1" bestFit="1" customWidth="1"/>
    <col min="11535" max="11777" width="8.7109375" style="1"/>
    <col min="11778" max="11778" width="30.28515625" style="1" bestFit="1" customWidth="1"/>
    <col min="11779" max="11779" width="19.140625" style="1" bestFit="1" customWidth="1"/>
    <col min="11780" max="11780" width="7.7109375" style="1" bestFit="1" customWidth="1"/>
    <col min="11781" max="11781" width="6.85546875" style="1" bestFit="1" customWidth="1"/>
    <col min="11782" max="11782" width="17.28515625" style="1" bestFit="1" customWidth="1"/>
    <col min="11783" max="11783" width="33.85546875" style="1" bestFit="1" customWidth="1"/>
    <col min="11784" max="11786" width="5.5703125" style="1" bestFit="1" customWidth="1"/>
    <col min="11787" max="11787" width="4.85546875" style="1" bestFit="1" customWidth="1"/>
    <col min="11788" max="11788" width="6.7109375" style="1" bestFit="1" customWidth="1"/>
    <col min="11789" max="11789" width="8.5703125" style="1" bestFit="1" customWidth="1"/>
    <col min="11790" max="11790" width="24.7109375" style="1" bestFit="1" customWidth="1"/>
    <col min="11791" max="12033" width="8.7109375" style="1"/>
    <col min="12034" max="12034" width="30.28515625" style="1" bestFit="1" customWidth="1"/>
    <col min="12035" max="12035" width="19.140625" style="1" bestFit="1" customWidth="1"/>
    <col min="12036" max="12036" width="7.7109375" style="1" bestFit="1" customWidth="1"/>
    <col min="12037" max="12037" width="6.85546875" style="1" bestFit="1" customWidth="1"/>
    <col min="12038" max="12038" width="17.28515625" style="1" bestFit="1" customWidth="1"/>
    <col min="12039" max="12039" width="33.85546875" style="1" bestFit="1" customWidth="1"/>
    <col min="12040" max="12042" width="5.5703125" style="1" bestFit="1" customWidth="1"/>
    <col min="12043" max="12043" width="4.85546875" style="1" bestFit="1" customWidth="1"/>
    <col min="12044" max="12044" width="6.7109375" style="1" bestFit="1" customWidth="1"/>
    <col min="12045" max="12045" width="8.5703125" style="1" bestFit="1" customWidth="1"/>
    <col min="12046" max="12046" width="24.7109375" style="1" bestFit="1" customWidth="1"/>
    <col min="12047" max="12289" width="8.7109375" style="1"/>
    <col min="12290" max="12290" width="30.28515625" style="1" bestFit="1" customWidth="1"/>
    <col min="12291" max="12291" width="19.140625" style="1" bestFit="1" customWidth="1"/>
    <col min="12292" max="12292" width="7.7109375" style="1" bestFit="1" customWidth="1"/>
    <col min="12293" max="12293" width="6.85546875" style="1" bestFit="1" customWidth="1"/>
    <col min="12294" max="12294" width="17.28515625" style="1" bestFit="1" customWidth="1"/>
    <col min="12295" max="12295" width="33.85546875" style="1" bestFit="1" customWidth="1"/>
    <col min="12296" max="12298" width="5.5703125" style="1" bestFit="1" customWidth="1"/>
    <col min="12299" max="12299" width="4.85546875" style="1" bestFit="1" customWidth="1"/>
    <col min="12300" max="12300" width="6.7109375" style="1" bestFit="1" customWidth="1"/>
    <col min="12301" max="12301" width="8.5703125" style="1" bestFit="1" customWidth="1"/>
    <col min="12302" max="12302" width="24.7109375" style="1" bestFit="1" customWidth="1"/>
    <col min="12303" max="12545" width="8.7109375" style="1"/>
    <col min="12546" max="12546" width="30.28515625" style="1" bestFit="1" customWidth="1"/>
    <col min="12547" max="12547" width="19.140625" style="1" bestFit="1" customWidth="1"/>
    <col min="12548" max="12548" width="7.7109375" style="1" bestFit="1" customWidth="1"/>
    <col min="12549" max="12549" width="6.85546875" style="1" bestFit="1" customWidth="1"/>
    <col min="12550" max="12550" width="17.28515625" style="1" bestFit="1" customWidth="1"/>
    <col min="12551" max="12551" width="33.85546875" style="1" bestFit="1" customWidth="1"/>
    <col min="12552" max="12554" width="5.5703125" style="1" bestFit="1" customWidth="1"/>
    <col min="12555" max="12555" width="4.85546875" style="1" bestFit="1" customWidth="1"/>
    <col min="12556" max="12556" width="6.7109375" style="1" bestFit="1" customWidth="1"/>
    <col min="12557" max="12557" width="8.5703125" style="1" bestFit="1" customWidth="1"/>
    <col min="12558" max="12558" width="24.7109375" style="1" bestFit="1" customWidth="1"/>
    <col min="12559" max="12801" width="8.7109375" style="1"/>
    <col min="12802" max="12802" width="30.28515625" style="1" bestFit="1" customWidth="1"/>
    <col min="12803" max="12803" width="19.140625" style="1" bestFit="1" customWidth="1"/>
    <col min="12804" max="12804" width="7.7109375" style="1" bestFit="1" customWidth="1"/>
    <col min="12805" max="12805" width="6.85546875" style="1" bestFit="1" customWidth="1"/>
    <col min="12806" max="12806" width="17.28515625" style="1" bestFit="1" customWidth="1"/>
    <col min="12807" max="12807" width="33.85546875" style="1" bestFit="1" customWidth="1"/>
    <col min="12808" max="12810" width="5.5703125" style="1" bestFit="1" customWidth="1"/>
    <col min="12811" max="12811" width="4.85546875" style="1" bestFit="1" customWidth="1"/>
    <col min="12812" max="12812" width="6.7109375" style="1" bestFit="1" customWidth="1"/>
    <col min="12813" max="12813" width="8.5703125" style="1" bestFit="1" customWidth="1"/>
    <col min="12814" max="12814" width="24.7109375" style="1" bestFit="1" customWidth="1"/>
    <col min="12815" max="13057" width="8.7109375" style="1"/>
    <col min="13058" max="13058" width="30.28515625" style="1" bestFit="1" customWidth="1"/>
    <col min="13059" max="13059" width="19.140625" style="1" bestFit="1" customWidth="1"/>
    <col min="13060" max="13060" width="7.7109375" style="1" bestFit="1" customWidth="1"/>
    <col min="13061" max="13061" width="6.85546875" style="1" bestFit="1" customWidth="1"/>
    <col min="13062" max="13062" width="17.28515625" style="1" bestFit="1" customWidth="1"/>
    <col min="13063" max="13063" width="33.85546875" style="1" bestFit="1" customWidth="1"/>
    <col min="13064" max="13066" width="5.5703125" style="1" bestFit="1" customWidth="1"/>
    <col min="13067" max="13067" width="4.85546875" style="1" bestFit="1" customWidth="1"/>
    <col min="13068" max="13068" width="6.7109375" style="1" bestFit="1" customWidth="1"/>
    <col min="13069" max="13069" width="8.5703125" style="1" bestFit="1" customWidth="1"/>
    <col min="13070" max="13070" width="24.7109375" style="1" bestFit="1" customWidth="1"/>
    <col min="13071" max="13313" width="8.7109375" style="1"/>
    <col min="13314" max="13314" width="30.28515625" style="1" bestFit="1" customWidth="1"/>
    <col min="13315" max="13315" width="19.140625" style="1" bestFit="1" customWidth="1"/>
    <col min="13316" max="13316" width="7.7109375" style="1" bestFit="1" customWidth="1"/>
    <col min="13317" max="13317" width="6.85546875" style="1" bestFit="1" customWidth="1"/>
    <col min="13318" max="13318" width="17.28515625" style="1" bestFit="1" customWidth="1"/>
    <col min="13319" max="13319" width="33.85546875" style="1" bestFit="1" customWidth="1"/>
    <col min="13320" max="13322" width="5.5703125" style="1" bestFit="1" customWidth="1"/>
    <col min="13323" max="13323" width="4.85546875" style="1" bestFit="1" customWidth="1"/>
    <col min="13324" max="13324" width="6.7109375" style="1" bestFit="1" customWidth="1"/>
    <col min="13325" max="13325" width="8.5703125" style="1" bestFit="1" customWidth="1"/>
    <col min="13326" max="13326" width="24.7109375" style="1" bestFit="1" customWidth="1"/>
    <col min="13327" max="13569" width="8.7109375" style="1"/>
    <col min="13570" max="13570" width="30.28515625" style="1" bestFit="1" customWidth="1"/>
    <col min="13571" max="13571" width="19.140625" style="1" bestFit="1" customWidth="1"/>
    <col min="13572" max="13572" width="7.7109375" style="1" bestFit="1" customWidth="1"/>
    <col min="13573" max="13573" width="6.85546875" style="1" bestFit="1" customWidth="1"/>
    <col min="13574" max="13574" width="17.28515625" style="1" bestFit="1" customWidth="1"/>
    <col min="13575" max="13575" width="33.85546875" style="1" bestFit="1" customWidth="1"/>
    <col min="13576" max="13578" width="5.5703125" style="1" bestFit="1" customWidth="1"/>
    <col min="13579" max="13579" width="4.85546875" style="1" bestFit="1" customWidth="1"/>
    <col min="13580" max="13580" width="6.7109375" style="1" bestFit="1" customWidth="1"/>
    <col min="13581" max="13581" width="8.5703125" style="1" bestFit="1" customWidth="1"/>
    <col min="13582" max="13582" width="24.7109375" style="1" bestFit="1" customWidth="1"/>
    <col min="13583" max="13825" width="8.7109375" style="1"/>
    <col min="13826" max="13826" width="30.28515625" style="1" bestFit="1" customWidth="1"/>
    <col min="13827" max="13827" width="19.140625" style="1" bestFit="1" customWidth="1"/>
    <col min="13828" max="13828" width="7.7109375" style="1" bestFit="1" customWidth="1"/>
    <col min="13829" max="13829" width="6.85546875" style="1" bestFit="1" customWidth="1"/>
    <col min="13830" max="13830" width="17.28515625" style="1" bestFit="1" customWidth="1"/>
    <col min="13831" max="13831" width="33.85546875" style="1" bestFit="1" customWidth="1"/>
    <col min="13832" max="13834" width="5.5703125" style="1" bestFit="1" customWidth="1"/>
    <col min="13835" max="13835" width="4.85546875" style="1" bestFit="1" customWidth="1"/>
    <col min="13836" max="13836" width="6.7109375" style="1" bestFit="1" customWidth="1"/>
    <col min="13837" max="13837" width="8.5703125" style="1" bestFit="1" customWidth="1"/>
    <col min="13838" max="13838" width="24.7109375" style="1" bestFit="1" customWidth="1"/>
    <col min="13839" max="14081" width="8.7109375" style="1"/>
    <col min="14082" max="14082" width="30.28515625" style="1" bestFit="1" customWidth="1"/>
    <col min="14083" max="14083" width="19.140625" style="1" bestFit="1" customWidth="1"/>
    <col min="14084" max="14084" width="7.7109375" style="1" bestFit="1" customWidth="1"/>
    <col min="14085" max="14085" width="6.85546875" style="1" bestFit="1" customWidth="1"/>
    <col min="14086" max="14086" width="17.28515625" style="1" bestFit="1" customWidth="1"/>
    <col min="14087" max="14087" width="33.85546875" style="1" bestFit="1" customWidth="1"/>
    <col min="14088" max="14090" width="5.5703125" style="1" bestFit="1" customWidth="1"/>
    <col min="14091" max="14091" width="4.85546875" style="1" bestFit="1" customWidth="1"/>
    <col min="14092" max="14092" width="6.7109375" style="1" bestFit="1" customWidth="1"/>
    <col min="14093" max="14093" width="8.5703125" style="1" bestFit="1" customWidth="1"/>
    <col min="14094" max="14094" width="24.7109375" style="1" bestFit="1" customWidth="1"/>
    <col min="14095" max="14337" width="8.7109375" style="1"/>
    <col min="14338" max="14338" width="30.28515625" style="1" bestFit="1" customWidth="1"/>
    <col min="14339" max="14339" width="19.140625" style="1" bestFit="1" customWidth="1"/>
    <col min="14340" max="14340" width="7.7109375" style="1" bestFit="1" customWidth="1"/>
    <col min="14341" max="14341" width="6.85546875" style="1" bestFit="1" customWidth="1"/>
    <col min="14342" max="14342" width="17.28515625" style="1" bestFit="1" customWidth="1"/>
    <col min="14343" max="14343" width="33.85546875" style="1" bestFit="1" customWidth="1"/>
    <col min="14344" max="14346" width="5.5703125" style="1" bestFit="1" customWidth="1"/>
    <col min="14347" max="14347" width="4.85546875" style="1" bestFit="1" customWidth="1"/>
    <col min="14348" max="14348" width="6.7109375" style="1" bestFit="1" customWidth="1"/>
    <col min="14349" max="14349" width="8.5703125" style="1" bestFit="1" customWidth="1"/>
    <col min="14350" max="14350" width="24.7109375" style="1" bestFit="1" customWidth="1"/>
    <col min="14351" max="14593" width="8.7109375" style="1"/>
    <col min="14594" max="14594" width="30.28515625" style="1" bestFit="1" customWidth="1"/>
    <col min="14595" max="14595" width="19.140625" style="1" bestFit="1" customWidth="1"/>
    <col min="14596" max="14596" width="7.7109375" style="1" bestFit="1" customWidth="1"/>
    <col min="14597" max="14597" width="6.85546875" style="1" bestFit="1" customWidth="1"/>
    <col min="14598" max="14598" width="17.28515625" style="1" bestFit="1" customWidth="1"/>
    <col min="14599" max="14599" width="33.85546875" style="1" bestFit="1" customWidth="1"/>
    <col min="14600" max="14602" width="5.5703125" style="1" bestFit="1" customWidth="1"/>
    <col min="14603" max="14603" width="4.85546875" style="1" bestFit="1" customWidth="1"/>
    <col min="14604" max="14604" width="6.7109375" style="1" bestFit="1" customWidth="1"/>
    <col min="14605" max="14605" width="8.5703125" style="1" bestFit="1" customWidth="1"/>
    <col min="14606" max="14606" width="24.7109375" style="1" bestFit="1" customWidth="1"/>
    <col min="14607" max="14849" width="8.7109375" style="1"/>
    <col min="14850" max="14850" width="30.28515625" style="1" bestFit="1" customWidth="1"/>
    <col min="14851" max="14851" width="19.140625" style="1" bestFit="1" customWidth="1"/>
    <col min="14852" max="14852" width="7.7109375" style="1" bestFit="1" customWidth="1"/>
    <col min="14853" max="14853" width="6.85546875" style="1" bestFit="1" customWidth="1"/>
    <col min="14854" max="14854" width="17.28515625" style="1" bestFit="1" customWidth="1"/>
    <col min="14855" max="14855" width="33.85546875" style="1" bestFit="1" customWidth="1"/>
    <col min="14856" max="14858" width="5.5703125" style="1" bestFit="1" customWidth="1"/>
    <col min="14859" max="14859" width="4.85546875" style="1" bestFit="1" customWidth="1"/>
    <col min="14860" max="14860" width="6.7109375" style="1" bestFit="1" customWidth="1"/>
    <col min="14861" max="14861" width="8.5703125" style="1" bestFit="1" customWidth="1"/>
    <col min="14862" max="14862" width="24.7109375" style="1" bestFit="1" customWidth="1"/>
    <col min="14863" max="15105" width="8.7109375" style="1"/>
    <col min="15106" max="15106" width="30.28515625" style="1" bestFit="1" customWidth="1"/>
    <col min="15107" max="15107" width="19.140625" style="1" bestFit="1" customWidth="1"/>
    <col min="15108" max="15108" width="7.7109375" style="1" bestFit="1" customWidth="1"/>
    <col min="15109" max="15109" width="6.85546875" style="1" bestFit="1" customWidth="1"/>
    <col min="15110" max="15110" width="17.28515625" style="1" bestFit="1" customWidth="1"/>
    <col min="15111" max="15111" width="33.85546875" style="1" bestFit="1" customWidth="1"/>
    <col min="15112" max="15114" width="5.5703125" style="1" bestFit="1" customWidth="1"/>
    <col min="15115" max="15115" width="4.85546875" style="1" bestFit="1" customWidth="1"/>
    <col min="15116" max="15116" width="6.7109375" style="1" bestFit="1" customWidth="1"/>
    <col min="15117" max="15117" width="8.5703125" style="1" bestFit="1" customWidth="1"/>
    <col min="15118" max="15118" width="24.7109375" style="1" bestFit="1" customWidth="1"/>
    <col min="15119" max="15361" width="8.7109375" style="1"/>
    <col min="15362" max="15362" width="30.28515625" style="1" bestFit="1" customWidth="1"/>
    <col min="15363" max="15363" width="19.140625" style="1" bestFit="1" customWidth="1"/>
    <col min="15364" max="15364" width="7.7109375" style="1" bestFit="1" customWidth="1"/>
    <col min="15365" max="15365" width="6.85546875" style="1" bestFit="1" customWidth="1"/>
    <col min="15366" max="15366" width="17.28515625" style="1" bestFit="1" customWidth="1"/>
    <col min="15367" max="15367" width="33.85546875" style="1" bestFit="1" customWidth="1"/>
    <col min="15368" max="15370" width="5.5703125" style="1" bestFit="1" customWidth="1"/>
    <col min="15371" max="15371" width="4.85546875" style="1" bestFit="1" customWidth="1"/>
    <col min="15372" max="15372" width="6.7109375" style="1" bestFit="1" customWidth="1"/>
    <col min="15373" max="15373" width="8.5703125" style="1" bestFit="1" customWidth="1"/>
    <col min="15374" max="15374" width="24.7109375" style="1" bestFit="1" customWidth="1"/>
    <col min="15375" max="15617" width="8.7109375" style="1"/>
    <col min="15618" max="15618" width="30.28515625" style="1" bestFit="1" customWidth="1"/>
    <col min="15619" max="15619" width="19.140625" style="1" bestFit="1" customWidth="1"/>
    <col min="15620" max="15620" width="7.7109375" style="1" bestFit="1" customWidth="1"/>
    <col min="15621" max="15621" width="6.85546875" style="1" bestFit="1" customWidth="1"/>
    <col min="15622" max="15622" width="17.28515625" style="1" bestFit="1" customWidth="1"/>
    <col min="15623" max="15623" width="33.85546875" style="1" bestFit="1" customWidth="1"/>
    <col min="15624" max="15626" width="5.5703125" style="1" bestFit="1" customWidth="1"/>
    <col min="15627" max="15627" width="4.85546875" style="1" bestFit="1" customWidth="1"/>
    <col min="15628" max="15628" width="6.7109375" style="1" bestFit="1" customWidth="1"/>
    <col min="15629" max="15629" width="8.5703125" style="1" bestFit="1" customWidth="1"/>
    <col min="15630" max="15630" width="24.7109375" style="1" bestFit="1" customWidth="1"/>
    <col min="15631" max="15873" width="8.7109375" style="1"/>
    <col min="15874" max="15874" width="30.28515625" style="1" bestFit="1" customWidth="1"/>
    <col min="15875" max="15875" width="19.140625" style="1" bestFit="1" customWidth="1"/>
    <col min="15876" max="15876" width="7.7109375" style="1" bestFit="1" customWidth="1"/>
    <col min="15877" max="15877" width="6.85546875" style="1" bestFit="1" customWidth="1"/>
    <col min="15878" max="15878" width="17.28515625" style="1" bestFit="1" customWidth="1"/>
    <col min="15879" max="15879" width="33.85546875" style="1" bestFit="1" customWidth="1"/>
    <col min="15880" max="15882" width="5.5703125" style="1" bestFit="1" customWidth="1"/>
    <col min="15883" max="15883" width="4.85546875" style="1" bestFit="1" customWidth="1"/>
    <col min="15884" max="15884" width="6.7109375" style="1" bestFit="1" customWidth="1"/>
    <col min="15885" max="15885" width="8.5703125" style="1" bestFit="1" customWidth="1"/>
    <col min="15886" max="15886" width="24.7109375" style="1" bestFit="1" customWidth="1"/>
    <col min="15887" max="16129" width="8.7109375" style="1"/>
    <col min="16130" max="16130" width="30.28515625" style="1" bestFit="1" customWidth="1"/>
    <col min="16131" max="16131" width="19.140625" style="1" bestFit="1" customWidth="1"/>
    <col min="16132" max="16132" width="7.7109375" style="1" bestFit="1" customWidth="1"/>
    <col min="16133" max="16133" width="6.85546875" style="1" bestFit="1" customWidth="1"/>
    <col min="16134" max="16134" width="17.28515625" style="1" bestFit="1" customWidth="1"/>
    <col min="16135" max="16135" width="33.85546875" style="1" bestFit="1" customWidth="1"/>
    <col min="16136" max="16138" width="5.5703125" style="1" bestFit="1" customWidth="1"/>
    <col min="16139" max="16139" width="4.85546875" style="1" bestFit="1" customWidth="1"/>
    <col min="16140" max="16140" width="6.7109375" style="1" bestFit="1" customWidth="1"/>
    <col min="16141" max="16141" width="8.5703125" style="1" bestFit="1" customWidth="1"/>
    <col min="16142" max="16142" width="24.7109375" style="1" bestFit="1" customWidth="1"/>
    <col min="16143" max="16384" width="8.7109375" style="1"/>
  </cols>
  <sheetData>
    <row r="1" spans="1:18" ht="30" customHeight="1" x14ac:dyDescent="0.2">
      <c r="A1" s="295" t="s">
        <v>4023</v>
      </c>
      <c r="B1" s="295"/>
      <c r="C1" s="295"/>
      <c r="D1" s="295"/>
      <c r="E1" s="295"/>
      <c r="F1" s="295"/>
      <c r="G1" s="295"/>
      <c r="H1" s="295"/>
      <c r="I1" s="295"/>
      <c r="J1" s="295"/>
      <c r="K1" s="295"/>
      <c r="L1" s="295"/>
      <c r="M1" s="295"/>
      <c r="N1" s="295"/>
      <c r="O1" s="241"/>
      <c r="P1" s="241"/>
      <c r="Q1" s="241"/>
      <c r="R1" s="241"/>
    </row>
    <row r="2" spans="1:18" ht="30" customHeight="1" x14ac:dyDescent="0.2">
      <c r="A2" s="295" t="s">
        <v>4045</v>
      </c>
      <c r="B2" s="295"/>
      <c r="C2" s="295"/>
      <c r="D2" s="295"/>
      <c r="E2" s="295"/>
      <c r="F2" s="295"/>
      <c r="G2" s="295"/>
      <c r="H2" s="295"/>
      <c r="I2" s="295"/>
      <c r="J2" s="295"/>
      <c r="K2" s="295"/>
      <c r="L2" s="295"/>
      <c r="M2" s="295"/>
      <c r="N2" s="295"/>
      <c r="O2" s="241"/>
      <c r="P2" s="241"/>
      <c r="Q2" s="241"/>
      <c r="R2" s="241"/>
    </row>
    <row r="3" spans="1:18" ht="30.75" customHeight="1" thickBot="1" x14ac:dyDescent="0.25">
      <c r="A3" s="295" t="s">
        <v>3381</v>
      </c>
      <c r="B3" s="295"/>
      <c r="C3" s="295"/>
      <c r="D3" s="295"/>
      <c r="E3" s="295"/>
      <c r="F3" s="295"/>
      <c r="G3" s="295"/>
      <c r="H3" s="295"/>
      <c r="I3" s="295"/>
      <c r="J3" s="295"/>
      <c r="K3" s="295"/>
      <c r="L3" s="295"/>
      <c r="M3" s="295"/>
      <c r="N3" s="295"/>
      <c r="O3" s="241"/>
      <c r="P3" s="241"/>
      <c r="Q3" s="241"/>
      <c r="R3" s="241"/>
    </row>
    <row r="4" spans="1:18" s="5" customFormat="1" ht="12.75" customHeight="1" x14ac:dyDescent="0.2">
      <c r="A4" s="297" t="s">
        <v>719</v>
      </c>
      <c r="B4" s="300" t="s">
        <v>0</v>
      </c>
      <c r="C4" s="302" t="s">
        <v>3382</v>
      </c>
      <c r="D4" s="302" t="s">
        <v>8</v>
      </c>
      <c r="E4" s="304" t="s">
        <v>2675</v>
      </c>
      <c r="F4" s="304" t="s">
        <v>1</v>
      </c>
      <c r="G4" s="305" t="s">
        <v>795</v>
      </c>
      <c r="H4" s="300" t="s">
        <v>3</v>
      </c>
      <c r="I4" s="304"/>
      <c r="J4" s="304"/>
      <c r="K4" s="307"/>
      <c r="L4" s="308" t="s">
        <v>3593</v>
      </c>
      <c r="M4" s="304" t="s">
        <v>6</v>
      </c>
      <c r="N4" s="307" t="s">
        <v>5</v>
      </c>
    </row>
    <row r="5" spans="1:18" s="5" customFormat="1" ht="23.25" customHeight="1" thickBot="1" x14ac:dyDescent="0.25">
      <c r="A5" s="298"/>
      <c r="B5" s="301"/>
      <c r="C5" s="303"/>
      <c r="D5" s="303"/>
      <c r="E5" s="303"/>
      <c r="F5" s="303"/>
      <c r="G5" s="306"/>
      <c r="H5" s="3">
        <v>1</v>
      </c>
      <c r="I5" s="2">
        <v>2</v>
      </c>
      <c r="J5" s="2">
        <v>3</v>
      </c>
      <c r="K5" s="4" t="s">
        <v>7</v>
      </c>
      <c r="L5" s="309"/>
      <c r="M5" s="303"/>
      <c r="N5" s="310"/>
    </row>
    <row r="6" spans="1:18" s="66" customFormat="1" ht="15" x14ac:dyDescent="0.2">
      <c r="A6" s="86"/>
      <c r="B6" s="315" t="s">
        <v>4011</v>
      </c>
      <c r="C6" s="299"/>
      <c r="D6" s="299"/>
      <c r="E6" s="299"/>
      <c r="F6" s="299"/>
      <c r="G6" s="299"/>
      <c r="H6" s="299"/>
      <c r="I6" s="299"/>
      <c r="J6" s="299"/>
      <c r="K6" s="299"/>
      <c r="L6" s="299"/>
      <c r="M6" s="299"/>
      <c r="N6" s="65"/>
    </row>
    <row r="7" spans="1:18" s="66" customFormat="1" x14ac:dyDescent="0.2">
      <c r="A7" s="86" t="s">
        <v>892</v>
      </c>
      <c r="B7" s="76" t="s">
        <v>2781</v>
      </c>
      <c r="C7" s="70" t="s">
        <v>2782</v>
      </c>
      <c r="D7" s="70" t="s">
        <v>2783</v>
      </c>
      <c r="E7" s="70" t="str">
        <f>"0,5919"</f>
        <v>0,5919</v>
      </c>
      <c r="F7" s="70" t="s">
        <v>4021</v>
      </c>
      <c r="G7" s="70" t="s">
        <v>3347</v>
      </c>
      <c r="H7" s="35" t="s">
        <v>1007</v>
      </c>
      <c r="I7" s="35" t="s">
        <v>1110</v>
      </c>
      <c r="J7" s="100" t="s">
        <v>2327</v>
      </c>
      <c r="K7" s="92"/>
      <c r="L7" s="97">
        <v>330</v>
      </c>
      <c r="M7" s="88" t="str">
        <f>"195,3435"</f>
        <v>195,3435</v>
      </c>
      <c r="N7" s="70" t="s">
        <v>3391</v>
      </c>
    </row>
    <row r="8" spans="1:18" s="66" customFormat="1" x14ac:dyDescent="0.2">
      <c r="A8" s="86" t="s">
        <v>2778</v>
      </c>
      <c r="B8" s="77" t="s">
        <v>2784</v>
      </c>
      <c r="C8" s="71" t="s">
        <v>2785</v>
      </c>
      <c r="D8" s="71" t="s">
        <v>2497</v>
      </c>
      <c r="E8" s="71" t="str">
        <f>"0,5816"</f>
        <v>0,5816</v>
      </c>
      <c r="F8" s="71" t="s">
        <v>4021</v>
      </c>
      <c r="G8" s="71" t="s">
        <v>3348</v>
      </c>
      <c r="H8" s="36" t="s">
        <v>262</v>
      </c>
      <c r="I8" s="103" t="s">
        <v>926</v>
      </c>
      <c r="J8" s="36" t="s">
        <v>274</v>
      </c>
      <c r="K8" s="93"/>
      <c r="L8" s="98">
        <v>300</v>
      </c>
      <c r="M8" s="89" t="str">
        <f>"174,4650"</f>
        <v>174,4650</v>
      </c>
      <c r="N8" s="71" t="s">
        <v>3377</v>
      </c>
    </row>
    <row r="9" spans="1:18" x14ac:dyDescent="0.2">
      <c r="A9" s="42">
        <v>3</v>
      </c>
      <c r="B9" s="77" t="s">
        <v>2786</v>
      </c>
      <c r="C9" s="71" t="s">
        <v>2787</v>
      </c>
      <c r="D9" s="71" t="s">
        <v>1537</v>
      </c>
      <c r="E9" s="71" t="str">
        <f>"0,5831"</f>
        <v>0,5831</v>
      </c>
      <c r="F9" s="71" t="s">
        <v>4021</v>
      </c>
      <c r="G9" s="71" t="s">
        <v>3230</v>
      </c>
      <c r="H9" s="36" t="s">
        <v>26</v>
      </c>
      <c r="I9" s="36" t="s">
        <v>954</v>
      </c>
      <c r="J9" s="103" t="s">
        <v>679</v>
      </c>
      <c r="K9" s="93"/>
      <c r="L9" s="98">
        <v>297.5</v>
      </c>
      <c r="M9" s="89" t="str">
        <f>"173,4574"</f>
        <v>173,4574</v>
      </c>
      <c r="N9" s="71" t="s">
        <v>3391</v>
      </c>
    </row>
    <row r="10" spans="1:18" x14ac:dyDescent="0.2">
      <c r="A10" s="42">
        <v>4</v>
      </c>
      <c r="B10" s="77" t="s">
        <v>2788</v>
      </c>
      <c r="C10" s="71" t="s">
        <v>2789</v>
      </c>
      <c r="D10" s="71" t="s">
        <v>242</v>
      </c>
      <c r="E10" s="71" t="str">
        <f>"0,5946"</f>
        <v>0,5946</v>
      </c>
      <c r="F10" s="71" t="s">
        <v>4021</v>
      </c>
      <c r="G10" s="71" t="s">
        <v>796</v>
      </c>
      <c r="H10" s="36" t="s">
        <v>287</v>
      </c>
      <c r="I10" s="103" t="s">
        <v>274</v>
      </c>
      <c r="J10" s="103" t="s">
        <v>274</v>
      </c>
      <c r="K10" s="93"/>
      <c r="L10" s="98">
        <v>290</v>
      </c>
      <c r="M10" s="89" t="str">
        <f>"172,4340"</f>
        <v>172,4340</v>
      </c>
      <c r="N10" s="71" t="s">
        <v>3391</v>
      </c>
    </row>
    <row r="11" spans="1:18" x14ac:dyDescent="0.2">
      <c r="A11" s="42">
        <v>5</v>
      </c>
      <c r="B11" s="78" t="s">
        <v>2753</v>
      </c>
      <c r="C11" s="72" t="s">
        <v>2790</v>
      </c>
      <c r="D11" s="72" t="s">
        <v>1497</v>
      </c>
      <c r="E11" s="72" t="str">
        <f>"0,5813"</f>
        <v>0,5813</v>
      </c>
      <c r="F11" s="72" t="s">
        <v>4021</v>
      </c>
      <c r="G11" s="72" t="s">
        <v>3345</v>
      </c>
      <c r="H11" s="37" t="s">
        <v>35</v>
      </c>
      <c r="I11" s="37" t="s">
        <v>970</v>
      </c>
      <c r="J11" s="37" t="s">
        <v>1329</v>
      </c>
      <c r="K11" s="94"/>
      <c r="L11" s="99">
        <v>287.5</v>
      </c>
      <c r="M11" s="90" t="str">
        <f>"167,1238"</f>
        <v>167,1238</v>
      </c>
      <c r="N11" s="72" t="s">
        <v>2779</v>
      </c>
    </row>
    <row r="13" spans="1:18" ht="15" x14ac:dyDescent="0.2">
      <c r="B13" s="316" t="s">
        <v>4012</v>
      </c>
      <c r="C13" s="316"/>
      <c r="D13" s="316"/>
      <c r="E13" s="316"/>
      <c r="F13" s="316"/>
      <c r="G13" s="316"/>
      <c r="H13" s="316"/>
      <c r="I13" s="316"/>
      <c r="J13" s="316"/>
      <c r="K13" s="316"/>
      <c r="L13" s="316"/>
      <c r="M13" s="316"/>
    </row>
    <row r="14" spans="1:18" x14ac:dyDescent="0.2">
      <c r="A14" s="42">
        <v>1</v>
      </c>
      <c r="B14" s="76" t="s">
        <v>2577</v>
      </c>
      <c r="C14" s="70" t="s">
        <v>2515</v>
      </c>
      <c r="D14" s="70" t="s">
        <v>1398</v>
      </c>
      <c r="E14" s="70" t="str">
        <f>"0,5710"</f>
        <v>0,5710</v>
      </c>
      <c r="F14" s="70" t="s">
        <v>4021</v>
      </c>
      <c r="G14" s="70" t="s">
        <v>3294</v>
      </c>
      <c r="H14" s="35" t="s">
        <v>274</v>
      </c>
      <c r="I14" s="35" t="s">
        <v>679</v>
      </c>
      <c r="J14" s="35" t="s">
        <v>1007</v>
      </c>
      <c r="K14" s="92"/>
      <c r="L14" s="97">
        <v>320</v>
      </c>
      <c r="M14" s="88" t="str">
        <f>"182,7360"</f>
        <v>182,7360</v>
      </c>
      <c r="N14" s="70" t="s">
        <v>3391</v>
      </c>
    </row>
    <row r="15" spans="1:18" x14ac:dyDescent="0.2">
      <c r="A15" s="42">
        <v>2</v>
      </c>
      <c r="B15" s="77" t="s">
        <v>2791</v>
      </c>
      <c r="C15" s="71" t="s">
        <v>2792</v>
      </c>
      <c r="D15" s="71" t="s">
        <v>986</v>
      </c>
      <c r="E15" s="71" t="str">
        <f>"0,5632"</f>
        <v>0,5632</v>
      </c>
      <c r="F15" s="71" t="s">
        <v>4021</v>
      </c>
      <c r="G15" s="71" t="s">
        <v>3349</v>
      </c>
      <c r="H15" s="36" t="s">
        <v>274</v>
      </c>
      <c r="I15" s="103" t="s">
        <v>684</v>
      </c>
      <c r="J15" s="36" t="s">
        <v>2220</v>
      </c>
      <c r="K15" s="93"/>
      <c r="L15" s="98">
        <v>317.5</v>
      </c>
      <c r="M15" s="89" t="str">
        <f>"178,8160"</f>
        <v>178,8160</v>
      </c>
      <c r="N15" s="71" t="s">
        <v>4046</v>
      </c>
    </row>
    <row r="16" spans="1:18" x14ac:dyDescent="0.2">
      <c r="A16" s="42">
        <v>3</v>
      </c>
      <c r="B16" s="77" t="s">
        <v>2242</v>
      </c>
      <c r="C16" s="71" t="s">
        <v>2221</v>
      </c>
      <c r="D16" s="71" t="s">
        <v>1258</v>
      </c>
      <c r="E16" s="71" t="str">
        <f>"0,5705"</f>
        <v>0,5705</v>
      </c>
      <c r="F16" s="71" t="s">
        <v>4021</v>
      </c>
      <c r="G16" s="71" t="s">
        <v>796</v>
      </c>
      <c r="H16" s="36" t="s">
        <v>35</v>
      </c>
      <c r="I16" s="36" t="s">
        <v>26</v>
      </c>
      <c r="J16" s="36" t="s">
        <v>274</v>
      </c>
      <c r="K16" s="93"/>
      <c r="L16" s="98">
        <v>300</v>
      </c>
      <c r="M16" s="89" t="str">
        <f>"171,1500"</f>
        <v>171,1500</v>
      </c>
      <c r="N16" s="71" t="s">
        <v>3391</v>
      </c>
    </row>
    <row r="17" spans="1:14" x14ac:dyDescent="0.2">
      <c r="A17" s="42">
        <v>4</v>
      </c>
      <c r="B17" s="78" t="s">
        <v>2793</v>
      </c>
      <c r="C17" s="72" t="s">
        <v>2794</v>
      </c>
      <c r="D17" s="72" t="s">
        <v>2795</v>
      </c>
      <c r="E17" s="72" t="str">
        <f>"0,5663"</f>
        <v>0,5663</v>
      </c>
      <c r="F17" s="72" t="s">
        <v>4021</v>
      </c>
      <c r="G17" s="72" t="s">
        <v>836</v>
      </c>
      <c r="H17" s="37" t="s">
        <v>26</v>
      </c>
      <c r="I17" s="37" t="s">
        <v>287</v>
      </c>
      <c r="J17" s="101" t="s">
        <v>274</v>
      </c>
      <c r="K17" s="94"/>
      <c r="L17" s="99">
        <v>290</v>
      </c>
      <c r="M17" s="90" t="str">
        <f>"164,2270"</f>
        <v>164,2270</v>
      </c>
      <c r="N17" s="72" t="s">
        <v>1181</v>
      </c>
    </row>
    <row r="19" spans="1:14" ht="15" x14ac:dyDescent="0.2">
      <c r="B19" s="316" t="s">
        <v>4013</v>
      </c>
      <c r="C19" s="316"/>
      <c r="D19" s="316"/>
      <c r="E19" s="316"/>
      <c r="F19" s="316"/>
      <c r="G19" s="316"/>
      <c r="H19" s="316"/>
      <c r="I19" s="316"/>
      <c r="J19" s="316"/>
      <c r="K19" s="316"/>
      <c r="L19" s="316"/>
      <c r="M19" s="316"/>
    </row>
    <row r="20" spans="1:14" x14ac:dyDescent="0.2">
      <c r="A20" s="42">
        <v>1</v>
      </c>
      <c r="B20" s="76" t="s">
        <v>2797</v>
      </c>
      <c r="C20" s="70" t="s">
        <v>2798</v>
      </c>
      <c r="D20" s="70" t="s">
        <v>2768</v>
      </c>
      <c r="E20" s="70" t="str">
        <f>"0,5479"</f>
        <v>0,5479</v>
      </c>
      <c r="F20" s="70" t="s">
        <v>4021</v>
      </c>
      <c r="G20" s="70" t="s">
        <v>796</v>
      </c>
      <c r="H20" s="35" t="s">
        <v>1554</v>
      </c>
      <c r="I20" s="35" t="s">
        <v>1021</v>
      </c>
      <c r="J20" s="100" t="s">
        <v>2799</v>
      </c>
      <c r="K20" s="92"/>
      <c r="L20" s="97">
        <v>365</v>
      </c>
      <c r="M20" s="88" t="str">
        <f>"199,9835"</f>
        <v>199,9835</v>
      </c>
      <c r="N20" s="70" t="s">
        <v>3391</v>
      </c>
    </row>
    <row r="21" spans="1:14" x14ac:dyDescent="0.2">
      <c r="A21" s="42">
        <v>2</v>
      </c>
      <c r="B21" s="77" t="s">
        <v>2800</v>
      </c>
      <c r="C21" s="71" t="s">
        <v>2704</v>
      </c>
      <c r="D21" s="71" t="s">
        <v>1400</v>
      </c>
      <c r="E21" s="71" t="str">
        <f>"0,5518"</f>
        <v>0,5518</v>
      </c>
      <c r="F21" s="71" t="s">
        <v>4021</v>
      </c>
      <c r="G21" s="71" t="s">
        <v>796</v>
      </c>
      <c r="H21" s="36" t="s">
        <v>1554</v>
      </c>
      <c r="I21" s="103" t="s">
        <v>1021</v>
      </c>
      <c r="J21" s="103" t="s">
        <v>2108</v>
      </c>
      <c r="K21" s="93"/>
      <c r="L21" s="98">
        <v>350</v>
      </c>
      <c r="M21" s="89" t="str">
        <f>"193,1125"</f>
        <v>193,1125</v>
      </c>
      <c r="N21" s="71" t="s">
        <v>3391</v>
      </c>
    </row>
    <row r="22" spans="1:14" x14ac:dyDescent="0.2">
      <c r="A22" s="42">
        <v>3</v>
      </c>
      <c r="B22" s="77" t="s">
        <v>2582</v>
      </c>
      <c r="C22" s="71" t="s">
        <v>2760</v>
      </c>
      <c r="D22" s="71" t="s">
        <v>2546</v>
      </c>
      <c r="E22" s="71" t="str">
        <f>"0,5581"</f>
        <v>0,5581</v>
      </c>
      <c r="F22" s="71" t="s">
        <v>4021</v>
      </c>
      <c r="G22" s="71" t="s">
        <v>891</v>
      </c>
      <c r="H22" s="103" t="s">
        <v>679</v>
      </c>
      <c r="I22" s="36" t="s">
        <v>679</v>
      </c>
      <c r="J22" s="103" t="s">
        <v>1007</v>
      </c>
      <c r="K22" s="93"/>
      <c r="L22" s="98">
        <v>310</v>
      </c>
      <c r="M22" s="89" t="str">
        <f>"173,0265"</f>
        <v>173,0265</v>
      </c>
      <c r="N22" s="71" t="s">
        <v>3378</v>
      </c>
    </row>
    <row r="23" spans="1:14" x14ac:dyDescent="0.2">
      <c r="A23" s="42">
        <v>4</v>
      </c>
      <c r="B23" s="77" t="s">
        <v>1235</v>
      </c>
      <c r="C23" s="71" t="s">
        <v>1231</v>
      </c>
      <c r="D23" s="71" t="s">
        <v>1232</v>
      </c>
      <c r="E23" s="71" t="str">
        <f>"0,5531"</f>
        <v>0,5531</v>
      </c>
      <c r="F23" s="71" t="s">
        <v>4021</v>
      </c>
      <c r="G23" s="71" t="s">
        <v>3200</v>
      </c>
      <c r="H23" s="36" t="s">
        <v>26</v>
      </c>
      <c r="I23" s="36" t="s">
        <v>274</v>
      </c>
      <c r="J23" s="103" t="s">
        <v>1007</v>
      </c>
      <c r="K23" s="93"/>
      <c r="L23" s="98">
        <v>300</v>
      </c>
      <c r="M23" s="89" t="str">
        <f>"165,9450"</f>
        <v>165,9450</v>
      </c>
      <c r="N23" s="71" t="s">
        <v>3206</v>
      </c>
    </row>
    <row r="24" spans="1:14" x14ac:dyDescent="0.2">
      <c r="A24" s="42">
        <v>5</v>
      </c>
      <c r="B24" s="77" t="s">
        <v>2801</v>
      </c>
      <c r="C24" s="71" t="s">
        <v>2802</v>
      </c>
      <c r="D24" s="71" t="s">
        <v>2803</v>
      </c>
      <c r="E24" s="71" t="str">
        <f>"0,5515"</f>
        <v>0,5515</v>
      </c>
      <c r="F24" s="71" t="s">
        <v>4021</v>
      </c>
      <c r="G24" s="71" t="s">
        <v>841</v>
      </c>
      <c r="H24" s="36" t="s">
        <v>262</v>
      </c>
      <c r="I24" s="103" t="s">
        <v>274</v>
      </c>
      <c r="J24" s="36" t="s">
        <v>274</v>
      </c>
      <c r="K24" s="93"/>
      <c r="L24" s="98">
        <v>300</v>
      </c>
      <c r="M24" s="89" t="str">
        <f>"165,4650"</f>
        <v>165,4650</v>
      </c>
      <c r="N24" s="71" t="s">
        <v>3391</v>
      </c>
    </row>
    <row r="25" spans="1:14" x14ac:dyDescent="0.2">
      <c r="A25" s="42">
        <v>6</v>
      </c>
      <c r="B25" s="77" t="s">
        <v>2804</v>
      </c>
      <c r="C25" s="71" t="s">
        <v>2805</v>
      </c>
      <c r="D25" s="71" t="s">
        <v>2806</v>
      </c>
      <c r="E25" s="71" t="str">
        <f>"0,5576"</f>
        <v>0,5576</v>
      </c>
      <c r="F25" s="71" t="s">
        <v>4021</v>
      </c>
      <c r="G25" s="71" t="s">
        <v>3301</v>
      </c>
      <c r="H25" s="103" t="s">
        <v>35</v>
      </c>
      <c r="I25" s="103" t="s">
        <v>35</v>
      </c>
      <c r="J25" s="36" t="s">
        <v>35</v>
      </c>
      <c r="K25" s="93"/>
      <c r="L25" s="98">
        <v>270</v>
      </c>
      <c r="M25" s="89" t="str">
        <f>"150,5520"</f>
        <v>150,5520</v>
      </c>
      <c r="N25" s="71" t="s">
        <v>3391</v>
      </c>
    </row>
    <row r="26" spans="1:14" x14ac:dyDescent="0.2">
      <c r="B26" s="78" t="s">
        <v>2761</v>
      </c>
      <c r="C26" s="72" t="s">
        <v>2762</v>
      </c>
      <c r="D26" s="72" t="s">
        <v>2763</v>
      </c>
      <c r="E26" s="72" t="str">
        <f>"0,5527"</f>
        <v>0,5527</v>
      </c>
      <c r="F26" s="72" t="s">
        <v>4021</v>
      </c>
      <c r="G26" s="72" t="s">
        <v>796</v>
      </c>
      <c r="H26" s="101" t="s">
        <v>35</v>
      </c>
      <c r="I26" s="94"/>
      <c r="J26" s="94"/>
      <c r="K26" s="94"/>
      <c r="L26" s="105">
        <v>0</v>
      </c>
      <c r="M26" s="90" t="s">
        <v>720</v>
      </c>
      <c r="N26" s="72" t="s">
        <v>2068</v>
      </c>
    </row>
    <row r="28" spans="1:14" ht="15" x14ac:dyDescent="0.2">
      <c r="B28" s="316" t="s">
        <v>4016</v>
      </c>
      <c r="C28" s="316"/>
      <c r="D28" s="316"/>
      <c r="E28" s="316"/>
      <c r="F28" s="316"/>
      <c r="G28" s="316"/>
      <c r="H28" s="316"/>
      <c r="I28" s="316"/>
      <c r="J28" s="316"/>
      <c r="K28" s="316"/>
      <c r="L28" s="316"/>
      <c r="M28" s="316"/>
    </row>
    <row r="29" spans="1:14" x14ac:dyDescent="0.2">
      <c r="A29" s="42">
        <v>1</v>
      </c>
      <c r="B29" s="76" t="s">
        <v>2134</v>
      </c>
      <c r="C29" s="70" t="s">
        <v>2807</v>
      </c>
      <c r="D29" s="70" t="s">
        <v>1154</v>
      </c>
      <c r="E29" s="70" t="str">
        <f>"0,5346"</f>
        <v>0,5346</v>
      </c>
      <c r="F29" s="70" t="s">
        <v>4021</v>
      </c>
      <c r="G29" s="70" t="s">
        <v>796</v>
      </c>
      <c r="H29" s="35" t="s">
        <v>1151</v>
      </c>
      <c r="I29" s="35" t="s">
        <v>677</v>
      </c>
      <c r="J29" s="100" t="s">
        <v>1550</v>
      </c>
      <c r="K29" s="92"/>
      <c r="L29" s="97">
        <v>340</v>
      </c>
      <c r="M29" s="88" t="str">
        <f>"181,7708"</f>
        <v>181,7708</v>
      </c>
      <c r="N29" s="70" t="s">
        <v>3391</v>
      </c>
    </row>
    <row r="30" spans="1:14" x14ac:dyDescent="0.2">
      <c r="A30" s="42">
        <v>2</v>
      </c>
      <c r="B30" s="77" t="s">
        <v>2796</v>
      </c>
      <c r="C30" s="71" t="s">
        <v>2808</v>
      </c>
      <c r="D30" s="71" t="s">
        <v>2809</v>
      </c>
      <c r="E30" s="71" t="str">
        <f>"0,5382"</f>
        <v>0,5382</v>
      </c>
      <c r="F30" s="71" t="s">
        <v>4021</v>
      </c>
      <c r="G30" s="71" t="s">
        <v>836</v>
      </c>
      <c r="H30" s="36" t="s">
        <v>679</v>
      </c>
      <c r="I30" s="36" t="s">
        <v>1110</v>
      </c>
      <c r="J30" s="103" t="s">
        <v>677</v>
      </c>
      <c r="K30" s="93"/>
      <c r="L30" s="98">
        <v>330</v>
      </c>
      <c r="M30" s="89" t="str">
        <f>"177,5895"</f>
        <v>177,5895</v>
      </c>
      <c r="N30" s="71" t="s">
        <v>3391</v>
      </c>
    </row>
    <row r="31" spans="1:14" x14ac:dyDescent="0.2">
      <c r="A31" s="42">
        <v>3</v>
      </c>
      <c r="B31" s="77" t="s">
        <v>1756</v>
      </c>
      <c r="C31" s="71" t="s">
        <v>2772</v>
      </c>
      <c r="D31" s="71" t="s">
        <v>1159</v>
      </c>
      <c r="E31" s="71" t="str">
        <f>"0,5410"</f>
        <v>0,5410</v>
      </c>
      <c r="F31" s="71" t="s">
        <v>4021</v>
      </c>
      <c r="G31" s="71" t="s">
        <v>891</v>
      </c>
      <c r="H31" s="36" t="s">
        <v>644</v>
      </c>
      <c r="I31" s="36" t="s">
        <v>275</v>
      </c>
      <c r="J31" s="103" t="s">
        <v>1151</v>
      </c>
      <c r="K31" s="93"/>
      <c r="L31" s="98">
        <v>315</v>
      </c>
      <c r="M31" s="89" t="str">
        <f>"170,4118"</f>
        <v>170,4118</v>
      </c>
      <c r="N31" s="71" t="s">
        <v>3391</v>
      </c>
    </row>
    <row r="32" spans="1:14" x14ac:dyDescent="0.2">
      <c r="A32" s="42">
        <v>4</v>
      </c>
      <c r="B32" s="78" t="s">
        <v>2810</v>
      </c>
      <c r="C32" s="72" t="s">
        <v>2811</v>
      </c>
      <c r="D32" s="72" t="s">
        <v>2812</v>
      </c>
      <c r="E32" s="72" t="str">
        <f>"0,5319"</f>
        <v>0,5319</v>
      </c>
      <c r="F32" s="72" t="s">
        <v>4021</v>
      </c>
      <c r="G32" s="72" t="s">
        <v>3347</v>
      </c>
      <c r="H32" s="37" t="s">
        <v>287</v>
      </c>
      <c r="I32" s="101" t="s">
        <v>679</v>
      </c>
      <c r="J32" s="101" t="s">
        <v>275</v>
      </c>
      <c r="K32" s="94"/>
      <c r="L32" s="99">
        <v>290</v>
      </c>
      <c r="M32" s="90" t="str">
        <f>"154,2394"</f>
        <v>154,2394</v>
      </c>
      <c r="N32" s="72" t="s">
        <v>3391</v>
      </c>
    </row>
    <row r="34" spans="1:14" ht="15" x14ac:dyDescent="0.2">
      <c r="B34" s="316" t="s">
        <v>4017</v>
      </c>
      <c r="C34" s="316"/>
      <c r="D34" s="316"/>
      <c r="E34" s="316"/>
      <c r="F34" s="316"/>
      <c r="G34" s="316"/>
      <c r="H34" s="316"/>
      <c r="I34" s="316"/>
      <c r="J34" s="316"/>
      <c r="K34" s="316"/>
      <c r="L34" s="316"/>
      <c r="M34" s="316"/>
    </row>
    <row r="35" spans="1:14" x14ac:dyDescent="0.2">
      <c r="A35" s="42">
        <v>1</v>
      </c>
      <c r="B35" s="74" t="s">
        <v>2813</v>
      </c>
      <c r="C35" s="68" t="s">
        <v>2814</v>
      </c>
      <c r="D35" s="68" t="s">
        <v>2815</v>
      </c>
      <c r="E35" s="68" t="str">
        <f>"0,5194"</f>
        <v>0,5194</v>
      </c>
      <c r="F35" s="68" t="s">
        <v>4021</v>
      </c>
      <c r="G35" s="68" t="s">
        <v>796</v>
      </c>
      <c r="H35" s="34" t="s">
        <v>17</v>
      </c>
      <c r="I35" s="102" t="s">
        <v>26</v>
      </c>
      <c r="J35" s="102" t="s">
        <v>26</v>
      </c>
      <c r="K35" s="91"/>
      <c r="L35" s="95">
        <v>260</v>
      </c>
      <c r="M35" s="87" t="str">
        <f>"135,0375"</f>
        <v>135,0375</v>
      </c>
      <c r="N35" s="68" t="s">
        <v>3379</v>
      </c>
    </row>
    <row r="37" spans="1:14" ht="18" x14ac:dyDescent="0.25">
      <c r="B37" s="79" t="s">
        <v>4022</v>
      </c>
      <c r="C37" s="79"/>
    </row>
    <row r="38" spans="1:14" ht="15" x14ac:dyDescent="0.2">
      <c r="B38" s="80" t="s">
        <v>3499</v>
      </c>
      <c r="C38" s="80"/>
    </row>
    <row r="39" spans="1:14" ht="14.25" x14ac:dyDescent="0.2">
      <c r="B39" s="81"/>
      <c r="C39" s="84" t="s">
        <v>18</v>
      </c>
    </row>
    <row r="40" spans="1:14" ht="15" x14ac:dyDescent="0.2">
      <c r="B40" s="82" t="s">
        <v>0</v>
      </c>
      <c r="C40" s="85" t="s">
        <v>19</v>
      </c>
      <c r="D40" s="85" t="s">
        <v>20</v>
      </c>
      <c r="E40" s="85" t="s">
        <v>3593</v>
      </c>
      <c r="F40" s="73" t="s">
        <v>2675</v>
      </c>
    </row>
    <row r="41" spans="1:14" x14ac:dyDescent="0.2">
      <c r="A41" s="42">
        <v>1</v>
      </c>
      <c r="B41" s="83" t="s">
        <v>2797</v>
      </c>
      <c r="C41" s="66" t="s">
        <v>18</v>
      </c>
      <c r="D41" s="86" t="s">
        <v>303</v>
      </c>
      <c r="E41" s="86" t="s">
        <v>1021</v>
      </c>
      <c r="F41" s="86" t="s">
        <v>2816</v>
      </c>
    </row>
    <row r="42" spans="1:14" x14ac:dyDescent="0.2">
      <c r="A42" s="42">
        <v>2</v>
      </c>
      <c r="B42" s="83" t="s">
        <v>2781</v>
      </c>
      <c r="C42" s="66" t="s">
        <v>18</v>
      </c>
      <c r="D42" s="86" t="s">
        <v>300</v>
      </c>
      <c r="E42" s="86" t="s">
        <v>1110</v>
      </c>
      <c r="F42" s="86" t="s">
        <v>2817</v>
      </c>
    </row>
    <row r="43" spans="1:14" x14ac:dyDescent="0.2">
      <c r="A43" s="42">
        <v>3</v>
      </c>
      <c r="B43" s="83" t="s">
        <v>2800</v>
      </c>
      <c r="C43" s="66" t="s">
        <v>18</v>
      </c>
      <c r="D43" s="86" t="s">
        <v>303</v>
      </c>
      <c r="E43" s="86" t="s">
        <v>1554</v>
      </c>
      <c r="F43" s="86" t="s">
        <v>2818</v>
      </c>
    </row>
  </sheetData>
  <mergeCells count="19">
    <mergeCell ref="A1:N1"/>
    <mergeCell ref="A2:N2"/>
    <mergeCell ref="A3:N3"/>
    <mergeCell ref="A4:A5"/>
    <mergeCell ref="N4:N5"/>
    <mergeCell ref="B4:B5"/>
    <mergeCell ref="C4:C5"/>
    <mergeCell ref="D4:D5"/>
    <mergeCell ref="E4:E5"/>
    <mergeCell ref="F4:F5"/>
    <mergeCell ref="G4:G5"/>
    <mergeCell ref="H4:K4"/>
    <mergeCell ref="L4:L5"/>
    <mergeCell ref="M4:M5"/>
    <mergeCell ref="B6:M6"/>
    <mergeCell ref="B13:M13"/>
    <mergeCell ref="B19:M19"/>
    <mergeCell ref="B28:M28"/>
    <mergeCell ref="B34:M34"/>
  </mergeCells>
  <pageMargins left="0.7" right="0.7" top="0.75" bottom="0.75"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1"/>
  <sheetViews>
    <sheetView topLeftCell="B85" workbookViewId="0">
      <selection activeCell="F61" sqref="F61"/>
    </sheetView>
  </sheetViews>
  <sheetFormatPr defaultColWidth="8.7109375" defaultRowHeight="12.75" x14ac:dyDescent="0.2"/>
  <cols>
    <col min="1" max="1" width="7.140625" style="43" customWidth="1"/>
    <col min="2" max="2" width="25.42578125" style="6" bestFit="1" customWidth="1"/>
    <col min="3" max="3" width="33.42578125" style="6" bestFit="1" customWidth="1"/>
    <col min="4" max="4" width="8.5703125" style="6" bestFit="1" customWidth="1"/>
    <col min="5" max="5" width="7.5703125" style="6" bestFit="1" customWidth="1"/>
    <col min="6" max="6" width="24.140625" style="6" bestFit="1" customWidth="1"/>
    <col min="7" max="7" width="48.85546875" style="6" bestFit="1" customWidth="1"/>
    <col min="8" max="11" width="6.42578125" style="27" bestFit="1" customWidth="1"/>
    <col min="12" max="12" width="6.42578125" style="32" bestFit="1" customWidth="1"/>
    <col min="13" max="13" width="9.85546875" style="27" bestFit="1" customWidth="1"/>
    <col min="14" max="14" width="25.85546875" style="6" bestFit="1" customWidth="1"/>
  </cols>
  <sheetData>
    <row r="1" spans="1:18" s="1" customFormat="1" ht="30" customHeight="1" x14ac:dyDescent="0.2">
      <c r="A1" s="295" t="s">
        <v>4023</v>
      </c>
      <c r="B1" s="295"/>
      <c r="C1" s="295"/>
      <c r="D1" s="295"/>
      <c r="E1" s="295"/>
      <c r="F1" s="295"/>
      <c r="G1" s="295"/>
      <c r="H1" s="295"/>
      <c r="I1" s="295"/>
      <c r="J1" s="295"/>
      <c r="K1" s="295"/>
      <c r="L1" s="295"/>
      <c r="M1" s="295"/>
      <c r="N1" s="295"/>
      <c r="O1" s="241"/>
      <c r="P1" s="241"/>
      <c r="Q1" s="241"/>
      <c r="R1" s="241"/>
    </row>
    <row r="2" spans="1:18" s="1" customFormat="1" ht="30" customHeight="1" x14ac:dyDescent="0.2">
      <c r="A2" s="295" t="s">
        <v>4047</v>
      </c>
      <c r="B2" s="295"/>
      <c r="C2" s="295"/>
      <c r="D2" s="295"/>
      <c r="E2" s="295"/>
      <c r="F2" s="295"/>
      <c r="G2" s="295"/>
      <c r="H2" s="295"/>
      <c r="I2" s="295"/>
      <c r="J2" s="295"/>
      <c r="K2" s="295"/>
      <c r="L2" s="295"/>
      <c r="M2" s="295"/>
      <c r="N2" s="295"/>
      <c r="O2" s="241"/>
      <c r="P2" s="241"/>
      <c r="Q2" s="241"/>
      <c r="R2" s="241"/>
    </row>
    <row r="3" spans="1:18" s="1" customFormat="1" ht="30.75" customHeight="1" thickBot="1" x14ac:dyDescent="0.25">
      <c r="A3" s="295" t="s">
        <v>3381</v>
      </c>
      <c r="B3" s="295"/>
      <c r="C3" s="295"/>
      <c r="D3" s="295"/>
      <c r="E3" s="295"/>
      <c r="F3" s="295"/>
      <c r="G3" s="295"/>
      <c r="H3" s="295"/>
      <c r="I3" s="295"/>
      <c r="J3" s="295"/>
      <c r="K3" s="295"/>
      <c r="L3" s="295"/>
      <c r="M3" s="295"/>
      <c r="N3" s="295"/>
      <c r="O3" s="241"/>
      <c r="P3" s="241"/>
      <c r="Q3" s="241"/>
      <c r="R3" s="241"/>
    </row>
    <row r="4" spans="1:18" s="5" customFormat="1" ht="12.75" customHeight="1" x14ac:dyDescent="0.2">
      <c r="A4" s="297" t="s">
        <v>719</v>
      </c>
      <c r="B4" s="312" t="s">
        <v>0</v>
      </c>
      <c r="C4" s="302" t="s">
        <v>3382</v>
      </c>
      <c r="D4" s="302" t="s">
        <v>8</v>
      </c>
      <c r="E4" s="304" t="s">
        <v>9</v>
      </c>
      <c r="F4" s="304" t="s">
        <v>1</v>
      </c>
      <c r="G4" s="305" t="s">
        <v>795</v>
      </c>
      <c r="H4" s="300" t="s">
        <v>4</v>
      </c>
      <c r="I4" s="304"/>
      <c r="J4" s="304"/>
      <c r="K4" s="307"/>
      <c r="L4" s="308" t="s">
        <v>3593</v>
      </c>
      <c r="M4" s="304" t="s">
        <v>6</v>
      </c>
      <c r="N4" s="307" t="s">
        <v>5</v>
      </c>
    </row>
    <row r="5" spans="1:18" s="5" customFormat="1" ht="23.25" customHeight="1" thickBot="1" x14ac:dyDescent="0.25">
      <c r="A5" s="298"/>
      <c r="B5" s="313"/>
      <c r="C5" s="303"/>
      <c r="D5" s="303"/>
      <c r="E5" s="303"/>
      <c r="F5" s="303"/>
      <c r="G5" s="306"/>
      <c r="H5" s="3">
        <v>1</v>
      </c>
      <c r="I5" s="2">
        <v>2</v>
      </c>
      <c r="J5" s="2">
        <v>3</v>
      </c>
      <c r="K5" s="4" t="s">
        <v>7</v>
      </c>
      <c r="L5" s="309"/>
      <c r="M5" s="303"/>
      <c r="N5" s="310"/>
    </row>
    <row r="6" spans="1:18" ht="15" x14ac:dyDescent="0.2">
      <c r="B6" s="299" t="s">
        <v>4018</v>
      </c>
      <c r="C6" s="299"/>
      <c r="D6" s="299"/>
      <c r="E6" s="299"/>
      <c r="F6" s="299"/>
      <c r="G6" s="299"/>
      <c r="H6" s="299"/>
      <c r="I6" s="299"/>
      <c r="J6" s="299"/>
      <c r="K6" s="299"/>
      <c r="L6" s="299"/>
      <c r="M6" s="299"/>
    </row>
    <row r="7" spans="1:18" x14ac:dyDescent="0.2">
      <c r="B7" s="7" t="s">
        <v>315</v>
      </c>
      <c r="C7" s="7" t="s">
        <v>316</v>
      </c>
      <c r="D7" s="7" t="s">
        <v>317</v>
      </c>
      <c r="E7" s="7" t="str">
        <f>"2,6810"</f>
        <v>2,6810</v>
      </c>
      <c r="F7" s="7" t="s">
        <v>4020</v>
      </c>
      <c r="G7" s="7" t="s">
        <v>796</v>
      </c>
      <c r="H7" s="41" t="s">
        <v>54</v>
      </c>
      <c r="I7" s="41" t="s">
        <v>54</v>
      </c>
      <c r="J7" s="20"/>
      <c r="K7" s="20"/>
      <c r="L7" s="52">
        <v>0</v>
      </c>
      <c r="M7" s="19" t="s">
        <v>720</v>
      </c>
      <c r="N7" s="7" t="s">
        <v>753</v>
      </c>
    </row>
    <row r="9" spans="1:18" ht="15" x14ac:dyDescent="0.2">
      <c r="B9" s="294" t="s">
        <v>4005</v>
      </c>
      <c r="C9" s="294"/>
      <c r="D9" s="294"/>
      <c r="E9" s="294"/>
      <c r="F9" s="294"/>
      <c r="G9" s="294"/>
      <c r="H9" s="294"/>
      <c r="I9" s="294"/>
      <c r="J9" s="294"/>
      <c r="K9" s="294"/>
      <c r="L9" s="294"/>
      <c r="M9" s="294"/>
    </row>
    <row r="10" spans="1:18" x14ac:dyDescent="0.2">
      <c r="A10" s="43">
        <v>1</v>
      </c>
      <c r="B10" s="15" t="s">
        <v>318</v>
      </c>
      <c r="C10" s="15" t="s">
        <v>319</v>
      </c>
      <c r="D10" s="15" t="s">
        <v>320</v>
      </c>
      <c r="E10" s="15" t="str">
        <f>"2,1162"</f>
        <v>2,1162</v>
      </c>
      <c r="F10" s="15" t="s">
        <v>868</v>
      </c>
      <c r="G10" s="15" t="s">
        <v>876</v>
      </c>
      <c r="H10" s="38" t="s">
        <v>93</v>
      </c>
      <c r="I10" s="35" t="s">
        <v>93</v>
      </c>
      <c r="J10" s="35" t="s">
        <v>86</v>
      </c>
      <c r="K10" s="22"/>
      <c r="L10" s="29">
        <v>60</v>
      </c>
      <c r="M10" s="21" t="str">
        <f>"126,9720"</f>
        <v>126,9720</v>
      </c>
      <c r="N10" s="15" t="s">
        <v>754</v>
      </c>
    </row>
    <row r="11" spans="1:18" x14ac:dyDescent="0.2">
      <c r="A11" s="43">
        <v>1</v>
      </c>
      <c r="B11" s="17" t="s">
        <v>94</v>
      </c>
      <c r="C11" s="17" t="s">
        <v>95</v>
      </c>
      <c r="D11" s="17" t="s">
        <v>96</v>
      </c>
      <c r="E11" s="17" t="str">
        <f>"2,2780"</f>
        <v>2,2780</v>
      </c>
      <c r="F11" s="17" t="s">
        <v>4020</v>
      </c>
      <c r="G11" s="17" t="s">
        <v>842</v>
      </c>
      <c r="H11" s="37" t="s">
        <v>46</v>
      </c>
      <c r="I11" s="37" t="s">
        <v>76</v>
      </c>
      <c r="J11" s="39" t="s">
        <v>97</v>
      </c>
      <c r="K11" s="26"/>
      <c r="L11" s="31">
        <v>100</v>
      </c>
      <c r="M11" s="25" t="str">
        <f>"227,8000"</f>
        <v>227,8000</v>
      </c>
      <c r="N11" s="17" t="s">
        <v>755</v>
      </c>
    </row>
    <row r="13" spans="1:18" ht="15" x14ac:dyDescent="0.2">
      <c r="B13" s="294" t="s">
        <v>4014</v>
      </c>
      <c r="C13" s="294"/>
      <c r="D13" s="294"/>
      <c r="E13" s="294"/>
      <c r="F13" s="294"/>
      <c r="G13" s="294"/>
      <c r="H13" s="294"/>
      <c r="I13" s="294"/>
      <c r="J13" s="294"/>
      <c r="K13" s="294"/>
      <c r="L13" s="294"/>
      <c r="M13" s="294"/>
    </row>
    <row r="14" spans="1:18" x14ac:dyDescent="0.2">
      <c r="A14" s="43">
        <v>1</v>
      </c>
      <c r="B14" s="15" t="s">
        <v>321</v>
      </c>
      <c r="C14" s="15" t="s">
        <v>322</v>
      </c>
      <c r="D14" s="15" t="s">
        <v>323</v>
      </c>
      <c r="E14" s="15" t="str">
        <f>"1,9302"</f>
        <v>1,9302</v>
      </c>
      <c r="F14" s="15" t="s">
        <v>855</v>
      </c>
      <c r="G14" s="15" t="s">
        <v>877</v>
      </c>
      <c r="H14" s="35" t="s">
        <v>70</v>
      </c>
      <c r="I14" s="35" t="s">
        <v>71</v>
      </c>
      <c r="J14" s="38" t="s">
        <v>112</v>
      </c>
      <c r="K14" s="22"/>
      <c r="L14" s="29">
        <v>120</v>
      </c>
      <c r="M14" s="21" t="str">
        <f>"231,6240"</f>
        <v>231,6240</v>
      </c>
      <c r="N14" s="15" t="s">
        <v>756</v>
      </c>
    </row>
    <row r="15" spans="1:18" x14ac:dyDescent="0.2">
      <c r="A15" s="43">
        <v>2</v>
      </c>
      <c r="B15" s="17" t="s">
        <v>324</v>
      </c>
      <c r="C15" s="17" t="s">
        <v>325</v>
      </c>
      <c r="D15" s="17" t="s">
        <v>326</v>
      </c>
      <c r="E15" s="17" t="str">
        <f>"2,0040"</f>
        <v>2,0040</v>
      </c>
      <c r="F15" s="17" t="s">
        <v>4020</v>
      </c>
      <c r="G15" s="17" t="s">
        <v>878</v>
      </c>
      <c r="H15" s="39" t="s">
        <v>76</v>
      </c>
      <c r="I15" s="37" t="s">
        <v>76</v>
      </c>
      <c r="J15" s="37" t="s">
        <v>69</v>
      </c>
      <c r="K15" s="26"/>
      <c r="L15" s="31">
        <v>110</v>
      </c>
      <c r="M15" s="25" t="str">
        <f>"220,4400"</f>
        <v>220,4400</v>
      </c>
      <c r="N15" s="17" t="s">
        <v>757</v>
      </c>
    </row>
    <row r="17" spans="1:14" ht="15" x14ac:dyDescent="0.2">
      <c r="B17" s="294" t="s">
        <v>4006</v>
      </c>
      <c r="C17" s="294"/>
      <c r="D17" s="294"/>
      <c r="E17" s="294"/>
      <c r="F17" s="294"/>
      <c r="G17" s="294"/>
      <c r="H17" s="294"/>
      <c r="I17" s="294"/>
      <c r="J17" s="294"/>
      <c r="K17" s="294"/>
      <c r="L17" s="294"/>
      <c r="M17" s="294"/>
    </row>
    <row r="18" spans="1:14" x14ac:dyDescent="0.2">
      <c r="A18" s="43">
        <v>1</v>
      </c>
      <c r="B18" s="15" t="s">
        <v>327</v>
      </c>
      <c r="C18" s="15" t="s">
        <v>328</v>
      </c>
      <c r="D18" s="15" t="s">
        <v>329</v>
      </c>
      <c r="E18" s="15" t="str">
        <f>"1,7978"</f>
        <v>1,7978</v>
      </c>
      <c r="F18" s="15" t="s">
        <v>4020</v>
      </c>
      <c r="G18" s="15" t="s">
        <v>813</v>
      </c>
      <c r="H18" s="35" t="s">
        <v>70</v>
      </c>
      <c r="I18" s="38" t="s">
        <v>71</v>
      </c>
      <c r="J18" s="35" t="s">
        <v>71</v>
      </c>
      <c r="K18" s="22"/>
      <c r="L18" s="29">
        <v>120</v>
      </c>
      <c r="M18" s="21" t="str">
        <f>"215,7360"</f>
        <v>215,7360</v>
      </c>
      <c r="N18" s="15" t="s">
        <v>731</v>
      </c>
    </row>
    <row r="19" spans="1:14" x14ac:dyDescent="0.2">
      <c r="A19" s="43">
        <v>1</v>
      </c>
      <c r="B19" s="16" t="s">
        <v>330</v>
      </c>
      <c r="C19" s="16" t="s">
        <v>331</v>
      </c>
      <c r="D19" s="16" t="s">
        <v>332</v>
      </c>
      <c r="E19" s="16" t="str">
        <f>"1,7950"</f>
        <v>1,7950</v>
      </c>
      <c r="F19" s="16" t="s">
        <v>855</v>
      </c>
      <c r="G19" s="16" t="s">
        <v>796</v>
      </c>
      <c r="H19" s="36" t="s">
        <v>126</v>
      </c>
      <c r="I19" s="36" t="s">
        <v>36</v>
      </c>
      <c r="J19" s="36" t="s">
        <v>25</v>
      </c>
      <c r="K19" s="24"/>
      <c r="L19" s="30">
        <v>155</v>
      </c>
      <c r="M19" s="23" t="str">
        <f>"278,2250"</f>
        <v>278,2250</v>
      </c>
      <c r="N19" s="16" t="s">
        <v>758</v>
      </c>
    </row>
    <row r="20" spans="1:14" x14ac:dyDescent="0.2">
      <c r="A20" s="43">
        <v>1</v>
      </c>
      <c r="B20" s="16" t="s">
        <v>101</v>
      </c>
      <c r="C20" s="16" t="s">
        <v>102</v>
      </c>
      <c r="D20" s="16" t="s">
        <v>103</v>
      </c>
      <c r="E20" s="16" t="str">
        <f>"1,8186"</f>
        <v>1,8186</v>
      </c>
      <c r="F20" s="16" t="s">
        <v>855</v>
      </c>
      <c r="G20" s="16" t="s">
        <v>802</v>
      </c>
      <c r="H20" s="36" t="s">
        <v>11</v>
      </c>
      <c r="I20" s="36" t="s">
        <v>106</v>
      </c>
      <c r="J20" s="40" t="s">
        <v>107</v>
      </c>
      <c r="K20" s="24"/>
      <c r="L20" s="30">
        <v>185</v>
      </c>
      <c r="M20" s="23" t="str">
        <f>"336,4410"</f>
        <v>336,4410</v>
      </c>
      <c r="N20" s="16" t="s">
        <v>759</v>
      </c>
    </row>
    <row r="21" spans="1:14" x14ac:dyDescent="0.2">
      <c r="A21" s="43">
        <v>2</v>
      </c>
      <c r="B21" s="16" t="s">
        <v>330</v>
      </c>
      <c r="C21" s="16" t="s">
        <v>333</v>
      </c>
      <c r="D21" s="16" t="s">
        <v>332</v>
      </c>
      <c r="E21" s="16" t="str">
        <f>"1,7950"</f>
        <v>1,7950</v>
      </c>
      <c r="F21" s="16" t="s">
        <v>855</v>
      </c>
      <c r="G21" s="16" t="s">
        <v>796</v>
      </c>
      <c r="H21" s="36" t="s">
        <v>126</v>
      </c>
      <c r="I21" s="36" t="s">
        <v>36</v>
      </c>
      <c r="J21" s="36" t="s">
        <v>25</v>
      </c>
      <c r="K21" s="24"/>
      <c r="L21" s="30">
        <v>155</v>
      </c>
      <c r="M21" s="23" t="str">
        <f>"278,2250"</f>
        <v>278,2250</v>
      </c>
      <c r="N21" s="16" t="s">
        <v>758</v>
      </c>
    </row>
    <row r="22" spans="1:14" x14ac:dyDescent="0.2">
      <c r="A22" s="43">
        <v>1</v>
      </c>
      <c r="B22" s="16" t="s">
        <v>334</v>
      </c>
      <c r="C22" s="16" t="s">
        <v>335</v>
      </c>
      <c r="D22" s="16" t="s">
        <v>336</v>
      </c>
      <c r="E22" s="16" t="str">
        <f>"1,8032"</f>
        <v>1,8032</v>
      </c>
      <c r="F22" s="16" t="s">
        <v>4020</v>
      </c>
      <c r="G22" s="16" t="s">
        <v>879</v>
      </c>
      <c r="H22" s="36" t="s">
        <v>71</v>
      </c>
      <c r="I22" s="36" t="s">
        <v>158</v>
      </c>
      <c r="J22" s="36" t="s">
        <v>165</v>
      </c>
      <c r="K22" s="24"/>
      <c r="L22" s="30">
        <v>132.5</v>
      </c>
      <c r="M22" s="23" t="str">
        <f>"238,9240"</f>
        <v>238,9240</v>
      </c>
      <c r="N22" s="16" t="s">
        <v>3391</v>
      </c>
    </row>
    <row r="23" spans="1:14" x14ac:dyDescent="0.2">
      <c r="A23" s="43">
        <v>1</v>
      </c>
      <c r="B23" s="17" t="s">
        <v>337</v>
      </c>
      <c r="C23" s="17" t="s">
        <v>338</v>
      </c>
      <c r="D23" s="17" t="s">
        <v>339</v>
      </c>
      <c r="E23" s="17" t="str">
        <f>"1,8080"</f>
        <v>1,8080</v>
      </c>
      <c r="F23" s="17" t="s">
        <v>4020</v>
      </c>
      <c r="G23" s="17" t="s">
        <v>840</v>
      </c>
      <c r="H23" s="37" t="s">
        <v>46</v>
      </c>
      <c r="I23" s="37" t="s">
        <v>61</v>
      </c>
      <c r="J23" s="37" t="s">
        <v>76</v>
      </c>
      <c r="K23" s="26"/>
      <c r="L23" s="31">
        <v>100</v>
      </c>
      <c r="M23" s="25" t="str">
        <f>"244,0800"</f>
        <v>244,0800</v>
      </c>
      <c r="N23" s="17" t="s">
        <v>760</v>
      </c>
    </row>
    <row r="25" spans="1:14" ht="15" x14ac:dyDescent="0.2">
      <c r="B25" s="294" t="s">
        <v>4007</v>
      </c>
      <c r="C25" s="294"/>
      <c r="D25" s="294"/>
      <c r="E25" s="294"/>
      <c r="F25" s="294"/>
      <c r="G25" s="294"/>
      <c r="H25" s="294"/>
      <c r="I25" s="294"/>
      <c r="J25" s="294"/>
      <c r="K25" s="294"/>
      <c r="L25" s="294"/>
      <c r="M25" s="294"/>
    </row>
    <row r="26" spans="1:14" x14ac:dyDescent="0.2">
      <c r="A26" s="43">
        <v>1</v>
      </c>
      <c r="B26" s="15" t="s">
        <v>340</v>
      </c>
      <c r="C26" s="15" t="s">
        <v>341</v>
      </c>
      <c r="D26" s="15" t="s">
        <v>342</v>
      </c>
      <c r="E26" s="15" t="str">
        <f>"1,7270"</f>
        <v>1,7270</v>
      </c>
      <c r="F26" s="15" t="s">
        <v>4020</v>
      </c>
      <c r="G26" s="15" t="s">
        <v>880</v>
      </c>
      <c r="H26" s="35" t="s">
        <v>112</v>
      </c>
      <c r="I26" s="35" t="s">
        <v>104</v>
      </c>
      <c r="J26" s="35" t="s">
        <v>23</v>
      </c>
      <c r="K26" s="22"/>
      <c r="L26" s="29">
        <v>135</v>
      </c>
      <c r="M26" s="21" t="str">
        <f>"233,1450"</f>
        <v>233,1450</v>
      </c>
      <c r="N26" s="15" t="s">
        <v>761</v>
      </c>
    </row>
    <row r="27" spans="1:14" x14ac:dyDescent="0.2">
      <c r="A27" s="43">
        <v>1</v>
      </c>
      <c r="B27" s="16" t="s">
        <v>340</v>
      </c>
      <c r="C27" s="16" t="s">
        <v>343</v>
      </c>
      <c r="D27" s="16" t="s">
        <v>342</v>
      </c>
      <c r="E27" s="16" t="str">
        <f>"1,7270"</f>
        <v>1,7270</v>
      </c>
      <c r="F27" s="16" t="s">
        <v>4020</v>
      </c>
      <c r="G27" s="16" t="s">
        <v>880</v>
      </c>
      <c r="H27" s="36" t="s">
        <v>112</v>
      </c>
      <c r="I27" s="36" t="s">
        <v>104</v>
      </c>
      <c r="J27" s="36" t="s">
        <v>23</v>
      </c>
      <c r="K27" s="24"/>
      <c r="L27" s="30">
        <v>135</v>
      </c>
      <c r="M27" s="23" t="str">
        <f>"233,1450"</f>
        <v>233,1450</v>
      </c>
      <c r="N27" s="16" t="s">
        <v>761</v>
      </c>
    </row>
    <row r="28" spans="1:14" x14ac:dyDescent="0.2">
      <c r="A28" s="43">
        <v>2</v>
      </c>
      <c r="B28" s="16" t="s">
        <v>344</v>
      </c>
      <c r="C28" s="16" t="s">
        <v>345</v>
      </c>
      <c r="D28" s="16" t="s">
        <v>346</v>
      </c>
      <c r="E28" s="16" t="str">
        <f>"1,6422"</f>
        <v>1,6422</v>
      </c>
      <c r="F28" s="16" t="s">
        <v>857</v>
      </c>
      <c r="G28" s="16" t="s">
        <v>881</v>
      </c>
      <c r="H28" s="36" t="s">
        <v>70</v>
      </c>
      <c r="I28" s="36" t="s">
        <v>157</v>
      </c>
      <c r="J28" s="40" t="s">
        <v>104</v>
      </c>
      <c r="K28" s="24"/>
      <c r="L28" s="30">
        <v>122.5</v>
      </c>
      <c r="M28" s="23" t="str">
        <f>"201,1695"</f>
        <v>201,1695</v>
      </c>
      <c r="N28" s="16" t="s">
        <v>724</v>
      </c>
    </row>
    <row r="29" spans="1:14" x14ac:dyDescent="0.2">
      <c r="A29" s="43">
        <v>3</v>
      </c>
      <c r="B29" s="16" t="s">
        <v>347</v>
      </c>
      <c r="C29" s="16" t="s">
        <v>348</v>
      </c>
      <c r="D29" s="16" t="s">
        <v>349</v>
      </c>
      <c r="E29" s="16" t="str">
        <f>"1,6900"</f>
        <v>1,6900</v>
      </c>
      <c r="F29" s="16" t="s">
        <v>4020</v>
      </c>
      <c r="G29" s="16" t="s">
        <v>796</v>
      </c>
      <c r="H29" s="36" t="s">
        <v>76</v>
      </c>
      <c r="I29" s="40" t="s">
        <v>66</v>
      </c>
      <c r="J29" s="40" t="s">
        <v>66</v>
      </c>
      <c r="K29" s="24"/>
      <c r="L29" s="30">
        <v>100</v>
      </c>
      <c r="M29" s="23" t="str">
        <f>"169,0000"</f>
        <v>169,0000</v>
      </c>
      <c r="N29" s="16" t="s">
        <v>762</v>
      </c>
    </row>
    <row r="30" spans="1:14" x14ac:dyDescent="0.2">
      <c r="A30" s="43">
        <v>1</v>
      </c>
      <c r="B30" s="17" t="s">
        <v>350</v>
      </c>
      <c r="C30" s="17" t="s">
        <v>351</v>
      </c>
      <c r="D30" s="17" t="s">
        <v>352</v>
      </c>
      <c r="E30" s="17" t="str">
        <f>"1,6704"</f>
        <v>1,6704</v>
      </c>
      <c r="F30" s="17" t="s">
        <v>4020</v>
      </c>
      <c r="G30" s="17" t="s">
        <v>813</v>
      </c>
      <c r="H30" s="37" t="s">
        <v>104</v>
      </c>
      <c r="I30" s="37" t="s">
        <v>116</v>
      </c>
      <c r="J30" s="39" t="s">
        <v>126</v>
      </c>
      <c r="K30" s="26"/>
      <c r="L30" s="31">
        <v>140</v>
      </c>
      <c r="M30" s="25" t="str">
        <f>"256,3062"</f>
        <v>256,3062</v>
      </c>
      <c r="N30" s="17" t="s">
        <v>731</v>
      </c>
    </row>
    <row r="32" spans="1:14" ht="15" x14ac:dyDescent="0.2">
      <c r="B32" s="294" t="s">
        <v>4008</v>
      </c>
      <c r="C32" s="294"/>
      <c r="D32" s="294"/>
      <c r="E32" s="294"/>
      <c r="F32" s="294"/>
      <c r="G32" s="294"/>
      <c r="H32" s="294"/>
      <c r="I32" s="294"/>
      <c r="J32" s="294"/>
      <c r="K32" s="294"/>
      <c r="L32" s="294"/>
      <c r="M32" s="294"/>
    </row>
    <row r="33" spans="1:14" x14ac:dyDescent="0.2">
      <c r="A33" s="43">
        <v>1</v>
      </c>
      <c r="B33" s="7" t="s">
        <v>353</v>
      </c>
      <c r="C33" s="7" t="s">
        <v>354</v>
      </c>
      <c r="D33" s="7" t="s">
        <v>355</v>
      </c>
      <c r="E33" s="7" t="str">
        <f>"1,5442"</f>
        <v>1,5442</v>
      </c>
      <c r="F33" s="7" t="s">
        <v>857</v>
      </c>
      <c r="G33" s="7" t="s">
        <v>801</v>
      </c>
      <c r="H33" s="34" t="s">
        <v>71</v>
      </c>
      <c r="I33" s="41" t="s">
        <v>158</v>
      </c>
      <c r="J33" s="34" t="s">
        <v>158</v>
      </c>
      <c r="K33" s="20"/>
      <c r="L33" s="28">
        <v>127.5</v>
      </c>
      <c r="M33" s="19" t="str">
        <f>"196,8855"</f>
        <v>196,8855</v>
      </c>
      <c r="N33" s="7" t="s">
        <v>3391</v>
      </c>
    </row>
    <row r="35" spans="1:14" ht="15" x14ac:dyDescent="0.2">
      <c r="B35" s="294" t="s">
        <v>4009</v>
      </c>
      <c r="C35" s="294"/>
      <c r="D35" s="294"/>
      <c r="E35" s="294"/>
      <c r="F35" s="294"/>
      <c r="G35" s="294"/>
      <c r="H35" s="294"/>
      <c r="I35" s="294"/>
      <c r="J35" s="294"/>
      <c r="K35" s="294"/>
      <c r="L35" s="294"/>
      <c r="M35" s="294"/>
    </row>
    <row r="36" spans="1:14" x14ac:dyDescent="0.2">
      <c r="A36" s="43">
        <v>1</v>
      </c>
      <c r="B36" s="7" t="s">
        <v>356</v>
      </c>
      <c r="C36" s="7" t="s">
        <v>357</v>
      </c>
      <c r="D36" s="7" t="s">
        <v>195</v>
      </c>
      <c r="E36" s="7" t="str">
        <f>"1,4970"</f>
        <v>1,4970</v>
      </c>
      <c r="F36" s="7" t="s">
        <v>857</v>
      </c>
      <c r="G36" s="7" t="s">
        <v>796</v>
      </c>
      <c r="H36" s="34" t="s">
        <v>61</v>
      </c>
      <c r="I36" s="34" t="s">
        <v>65</v>
      </c>
      <c r="J36" s="34" t="s">
        <v>66</v>
      </c>
      <c r="K36" s="20"/>
      <c r="L36" s="28">
        <v>107.5</v>
      </c>
      <c r="M36" s="19" t="str">
        <f>"160,9275"</f>
        <v>160,9275</v>
      </c>
      <c r="N36" s="7" t="s">
        <v>724</v>
      </c>
    </row>
    <row r="38" spans="1:14" ht="15" x14ac:dyDescent="0.2">
      <c r="B38" s="294" t="s">
        <v>4014</v>
      </c>
      <c r="C38" s="294"/>
      <c r="D38" s="294"/>
      <c r="E38" s="294"/>
      <c r="F38" s="294"/>
      <c r="G38" s="294"/>
      <c r="H38" s="294"/>
      <c r="I38" s="294"/>
      <c r="J38" s="294"/>
      <c r="K38" s="294"/>
      <c r="L38" s="294"/>
      <c r="M38" s="294"/>
    </row>
    <row r="39" spans="1:14" x14ac:dyDescent="0.2">
      <c r="A39" s="43">
        <v>1</v>
      </c>
      <c r="B39" s="15" t="s">
        <v>358</v>
      </c>
      <c r="C39" s="15" t="s">
        <v>359</v>
      </c>
      <c r="D39" s="15" t="s">
        <v>360</v>
      </c>
      <c r="E39" s="15" t="str">
        <f>"1,6850"</f>
        <v>1,6850</v>
      </c>
      <c r="F39" s="15" t="s">
        <v>4020</v>
      </c>
      <c r="G39" s="15" t="s">
        <v>882</v>
      </c>
      <c r="H39" s="35" t="s">
        <v>46</v>
      </c>
      <c r="I39" s="35" t="s">
        <v>76</v>
      </c>
      <c r="J39" s="35" t="s">
        <v>66</v>
      </c>
      <c r="K39" s="22"/>
      <c r="L39" s="29">
        <v>107.5</v>
      </c>
      <c r="M39" s="21" t="str">
        <f>"181,1375"</f>
        <v>181,1375</v>
      </c>
      <c r="N39" s="15" t="s">
        <v>763</v>
      </c>
    </row>
    <row r="40" spans="1:14" x14ac:dyDescent="0.2">
      <c r="A40" s="43">
        <v>1</v>
      </c>
      <c r="B40" s="17" t="s">
        <v>361</v>
      </c>
      <c r="C40" s="17" t="s">
        <v>362</v>
      </c>
      <c r="D40" s="17" t="s">
        <v>326</v>
      </c>
      <c r="E40" s="17" t="str">
        <f>"1,7270"</f>
        <v>1,7270</v>
      </c>
      <c r="F40" s="17" t="s">
        <v>861</v>
      </c>
      <c r="G40" s="17" t="s">
        <v>883</v>
      </c>
      <c r="H40" s="37" t="s">
        <v>104</v>
      </c>
      <c r="I40" s="37" t="s">
        <v>116</v>
      </c>
      <c r="J40" s="37" t="s">
        <v>126</v>
      </c>
      <c r="K40" s="26"/>
      <c r="L40" s="31">
        <v>145</v>
      </c>
      <c r="M40" s="25" t="str">
        <f>"250,4150"</f>
        <v>250,4150</v>
      </c>
      <c r="N40" s="17" t="s">
        <v>764</v>
      </c>
    </row>
    <row r="42" spans="1:14" ht="15" x14ac:dyDescent="0.2">
      <c r="B42" s="294" t="s">
        <v>4006</v>
      </c>
      <c r="C42" s="294"/>
      <c r="D42" s="294"/>
      <c r="E42" s="294"/>
      <c r="F42" s="294"/>
      <c r="G42" s="294"/>
      <c r="H42" s="294"/>
      <c r="I42" s="294"/>
      <c r="J42" s="294"/>
      <c r="K42" s="294"/>
      <c r="L42" s="294"/>
      <c r="M42" s="294"/>
    </row>
    <row r="43" spans="1:14" x14ac:dyDescent="0.2">
      <c r="A43" s="43">
        <v>1</v>
      </c>
      <c r="B43" s="7" t="s">
        <v>363</v>
      </c>
      <c r="C43" s="7" t="s">
        <v>364</v>
      </c>
      <c r="D43" s="7" t="s">
        <v>365</v>
      </c>
      <c r="E43" s="7" t="str">
        <f>"1,4230"</f>
        <v>1,4230</v>
      </c>
      <c r="F43" s="7" t="s">
        <v>266</v>
      </c>
      <c r="G43" s="7" t="s">
        <v>823</v>
      </c>
      <c r="H43" s="34" t="s">
        <v>104</v>
      </c>
      <c r="I43" s="34" t="s">
        <v>36</v>
      </c>
      <c r="J43" s="41" t="s">
        <v>127</v>
      </c>
      <c r="K43" s="20"/>
      <c r="L43" s="28">
        <v>150</v>
      </c>
      <c r="M43" s="19" t="str">
        <f>"213,4500"</f>
        <v>213,4500</v>
      </c>
      <c r="N43" s="7" t="s">
        <v>3391</v>
      </c>
    </row>
    <row r="45" spans="1:14" ht="15" x14ac:dyDescent="0.2">
      <c r="B45" s="294" t="s">
        <v>4007</v>
      </c>
      <c r="C45" s="294"/>
      <c r="D45" s="294"/>
      <c r="E45" s="294"/>
      <c r="F45" s="294"/>
      <c r="G45" s="294"/>
      <c r="H45" s="294"/>
      <c r="I45" s="294"/>
      <c r="J45" s="294"/>
      <c r="K45" s="294"/>
      <c r="L45" s="294"/>
      <c r="M45" s="294"/>
    </row>
    <row r="46" spans="1:14" x14ac:dyDescent="0.2">
      <c r="A46" s="43">
        <v>1</v>
      </c>
      <c r="B46" s="15" t="s">
        <v>366</v>
      </c>
      <c r="C46" s="15" t="s">
        <v>367</v>
      </c>
      <c r="D46" s="15" t="s">
        <v>368</v>
      </c>
      <c r="E46" s="15" t="str">
        <f>"1,3556"</f>
        <v>1,3556</v>
      </c>
      <c r="F46" s="15" t="s">
        <v>861</v>
      </c>
      <c r="G46" s="114" t="s">
        <v>883</v>
      </c>
      <c r="H46" s="120" t="s">
        <v>36</v>
      </c>
      <c r="I46" s="35" t="s">
        <v>127</v>
      </c>
      <c r="J46" s="132" t="s">
        <v>142</v>
      </c>
      <c r="K46" s="117"/>
      <c r="L46" s="29">
        <v>170</v>
      </c>
      <c r="M46" s="21" t="str">
        <f>"230,4520"</f>
        <v>230,4520</v>
      </c>
      <c r="N46" s="15" t="s">
        <v>764</v>
      </c>
    </row>
    <row r="47" spans="1:14" x14ac:dyDescent="0.2">
      <c r="A47" s="43">
        <v>2</v>
      </c>
      <c r="B47" s="16" t="s">
        <v>369</v>
      </c>
      <c r="C47" s="16" t="s">
        <v>370</v>
      </c>
      <c r="D47" s="16" t="s">
        <v>349</v>
      </c>
      <c r="E47" s="16" t="str">
        <f>"1,3000"</f>
        <v>1,3000</v>
      </c>
      <c r="F47" s="16" t="s">
        <v>4020</v>
      </c>
      <c r="G47" s="115" t="s">
        <v>796</v>
      </c>
      <c r="H47" s="123" t="s">
        <v>25</v>
      </c>
      <c r="I47" s="36" t="s">
        <v>155</v>
      </c>
      <c r="J47" s="125" t="s">
        <v>142</v>
      </c>
      <c r="K47" s="118"/>
      <c r="L47" s="30">
        <v>170</v>
      </c>
      <c r="M47" s="23" t="str">
        <f>"221,0000"</f>
        <v>221,0000</v>
      </c>
      <c r="N47" s="16" t="s">
        <v>3391</v>
      </c>
    </row>
    <row r="48" spans="1:14" x14ac:dyDescent="0.2">
      <c r="A48" s="43">
        <v>1</v>
      </c>
      <c r="B48" s="16" t="s">
        <v>371</v>
      </c>
      <c r="C48" s="16" t="s">
        <v>372</v>
      </c>
      <c r="D48" s="16" t="s">
        <v>373</v>
      </c>
      <c r="E48" s="16" t="str">
        <f>"1,2810"</f>
        <v>1,2810</v>
      </c>
      <c r="F48" s="16" t="s">
        <v>857</v>
      </c>
      <c r="G48" s="115" t="s">
        <v>884</v>
      </c>
      <c r="H48" s="123" t="s">
        <v>202</v>
      </c>
      <c r="I48" s="36" t="s">
        <v>221</v>
      </c>
      <c r="J48" s="124" t="s">
        <v>374</v>
      </c>
      <c r="K48" s="118"/>
      <c r="L48" s="30">
        <v>252.5</v>
      </c>
      <c r="M48" s="23" t="str">
        <f>"323,4525"</f>
        <v>323,4525</v>
      </c>
      <c r="N48" s="16" t="s">
        <v>724</v>
      </c>
    </row>
    <row r="49" spans="1:14" x14ac:dyDescent="0.2">
      <c r="A49" s="43">
        <v>2</v>
      </c>
      <c r="B49" s="16" t="s">
        <v>375</v>
      </c>
      <c r="C49" s="16" t="s">
        <v>376</v>
      </c>
      <c r="D49" s="16" t="s">
        <v>377</v>
      </c>
      <c r="E49" s="16" t="str">
        <f>"1,2852"</f>
        <v>1,2852</v>
      </c>
      <c r="F49" s="16" t="s">
        <v>868</v>
      </c>
      <c r="G49" s="115" t="s">
        <v>876</v>
      </c>
      <c r="H49" s="123" t="s">
        <v>378</v>
      </c>
      <c r="I49" s="36" t="s">
        <v>246</v>
      </c>
      <c r="J49" s="125" t="s">
        <v>220</v>
      </c>
      <c r="K49" s="124" t="s">
        <v>253</v>
      </c>
      <c r="L49" s="30">
        <v>235</v>
      </c>
      <c r="M49" s="23" t="str">
        <f>"302,0220"</f>
        <v>302,0220</v>
      </c>
      <c r="N49" s="16" t="s">
        <v>3391</v>
      </c>
    </row>
    <row r="50" spans="1:14" x14ac:dyDescent="0.2">
      <c r="A50" s="43">
        <v>3</v>
      </c>
      <c r="B50" s="16" t="s">
        <v>379</v>
      </c>
      <c r="C50" s="16" t="s">
        <v>380</v>
      </c>
      <c r="D50" s="16" t="s">
        <v>139</v>
      </c>
      <c r="E50" s="16" t="str">
        <f>"1,2370"</f>
        <v>1,2370</v>
      </c>
      <c r="F50" s="16" t="s">
        <v>4020</v>
      </c>
      <c r="G50" s="115" t="s">
        <v>796</v>
      </c>
      <c r="H50" s="123" t="s">
        <v>106</v>
      </c>
      <c r="I50" s="36" t="s">
        <v>381</v>
      </c>
      <c r="J50" s="125" t="s">
        <v>225</v>
      </c>
      <c r="K50" s="118"/>
      <c r="L50" s="30">
        <v>202.5</v>
      </c>
      <c r="M50" s="23" t="str">
        <f>"250,4925"</f>
        <v>250,4925</v>
      </c>
      <c r="N50" s="16" t="s">
        <v>3391</v>
      </c>
    </row>
    <row r="51" spans="1:14" x14ac:dyDescent="0.2">
      <c r="A51" s="43">
        <v>1</v>
      </c>
      <c r="B51" s="16" t="s">
        <v>375</v>
      </c>
      <c r="C51" s="16" t="s">
        <v>382</v>
      </c>
      <c r="D51" s="16" t="s">
        <v>377</v>
      </c>
      <c r="E51" s="16" t="str">
        <f>"1,2852"</f>
        <v>1,2852</v>
      </c>
      <c r="F51" s="16" t="s">
        <v>868</v>
      </c>
      <c r="G51" s="115" t="s">
        <v>876</v>
      </c>
      <c r="H51" s="123" t="s">
        <v>378</v>
      </c>
      <c r="I51" s="36" t="s">
        <v>246</v>
      </c>
      <c r="J51" s="125" t="s">
        <v>220</v>
      </c>
      <c r="K51" s="124" t="s">
        <v>253</v>
      </c>
      <c r="L51" s="30">
        <v>235</v>
      </c>
      <c r="M51" s="23" t="str">
        <f>"352,7617"</f>
        <v>352,7617</v>
      </c>
      <c r="N51" s="16" t="s">
        <v>3391</v>
      </c>
    </row>
    <row r="52" spans="1:14" x14ac:dyDescent="0.2">
      <c r="A52" s="43">
        <v>1</v>
      </c>
      <c r="B52" s="17" t="s">
        <v>383</v>
      </c>
      <c r="C52" s="17" t="s">
        <v>384</v>
      </c>
      <c r="D52" s="17" t="s">
        <v>385</v>
      </c>
      <c r="E52" s="17" t="str">
        <f>"1,2390"</f>
        <v>1,2390</v>
      </c>
      <c r="F52" s="17" t="s">
        <v>4020</v>
      </c>
      <c r="G52" s="116" t="s">
        <v>796</v>
      </c>
      <c r="H52" s="127" t="s">
        <v>127</v>
      </c>
      <c r="I52" s="37" t="s">
        <v>142</v>
      </c>
      <c r="J52" s="128" t="s">
        <v>11</v>
      </c>
      <c r="K52" s="119"/>
      <c r="L52" s="31">
        <v>180</v>
      </c>
      <c r="M52" s="25" t="str">
        <f>"327,8394"</f>
        <v>327,8394</v>
      </c>
      <c r="N52" s="17" t="s">
        <v>747</v>
      </c>
    </row>
    <row r="54" spans="1:14" ht="15" x14ac:dyDescent="0.2">
      <c r="B54" s="294" t="s">
        <v>4008</v>
      </c>
      <c r="C54" s="294"/>
      <c r="D54" s="294"/>
      <c r="E54" s="294"/>
      <c r="F54" s="294"/>
      <c r="G54" s="294"/>
      <c r="H54" s="294"/>
      <c r="I54" s="294"/>
      <c r="J54" s="294"/>
      <c r="K54" s="294"/>
      <c r="L54" s="294"/>
      <c r="M54" s="294"/>
    </row>
    <row r="55" spans="1:14" x14ac:dyDescent="0.2">
      <c r="A55" s="43">
        <v>1</v>
      </c>
      <c r="B55" s="15" t="s">
        <v>386</v>
      </c>
      <c r="C55" s="15" t="s">
        <v>387</v>
      </c>
      <c r="D55" s="15" t="s">
        <v>388</v>
      </c>
      <c r="E55" s="15" t="str">
        <f>"1,1692"</f>
        <v>1,1692</v>
      </c>
      <c r="F55" s="15" t="s">
        <v>4020</v>
      </c>
      <c r="G55" s="114" t="s">
        <v>796</v>
      </c>
      <c r="H55" s="120" t="s">
        <v>389</v>
      </c>
      <c r="I55" s="35" t="s">
        <v>187</v>
      </c>
      <c r="J55" s="132" t="s">
        <v>390</v>
      </c>
      <c r="K55" s="117"/>
      <c r="L55" s="29">
        <v>220.5</v>
      </c>
      <c r="M55" s="21" t="str">
        <f>"257,8086"</f>
        <v>257,8086</v>
      </c>
      <c r="N55" s="15" t="s">
        <v>3391</v>
      </c>
    </row>
    <row r="56" spans="1:14" x14ac:dyDescent="0.2">
      <c r="A56" s="43">
        <v>2</v>
      </c>
      <c r="B56" s="16" t="s">
        <v>391</v>
      </c>
      <c r="C56" s="16" t="s">
        <v>392</v>
      </c>
      <c r="D56" s="16" t="s">
        <v>393</v>
      </c>
      <c r="E56" s="16" t="str">
        <f>"1,1470"</f>
        <v>1,1470</v>
      </c>
      <c r="F56" s="16" t="s">
        <v>857</v>
      </c>
      <c r="G56" s="16" t="s">
        <v>796</v>
      </c>
      <c r="H56" s="36" t="s">
        <v>36</v>
      </c>
      <c r="I56" s="36" t="s">
        <v>127</v>
      </c>
      <c r="J56" s="40" t="s">
        <v>142</v>
      </c>
      <c r="K56" s="24"/>
      <c r="L56" s="30">
        <v>160</v>
      </c>
      <c r="M56" s="23" t="str">
        <f>"183,5200"</f>
        <v>183,5200</v>
      </c>
      <c r="N56" s="16" t="s">
        <v>748</v>
      </c>
    </row>
    <row r="57" spans="1:14" x14ac:dyDescent="0.2">
      <c r="A57" s="43">
        <v>1</v>
      </c>
      <c r="B57" s="16" t="s">
        <v>394</v>
      </c>
      <c r="C57" s="16" t="s">
        <v>395</v>
      </c>
      <c r="D57" s="16" t="s">
        <v>396</v>
      </c>
      <c r="E57" s="16" t="str">
        <f>"1,1748"</f>
        <v>1,1748</v>
      </c>
      <c r="F57" s="16" t="s">
        <v>492</v>
      </c>
      <c r="G57" s="16" t="s">
        <v>818</v>
      </c>
      <c r="H57" s="36" t="s">
        <v>126</v>
      </c>
      <c r="I57" s="40" t="s">
        <v>25</v>
      </c>
      <c r="J57" s="40" t="s">
        <v>25</v>
      </c>
      <c r="K57" s="24"/>
      <c r="L57" s="30">
        <v>145</v>
      </c>
      <c r="M57" s="23" t="str">
        <f>"170,3460"</f>
        <v>170,3460</v>
      </c>
      <c r="N57" s="16" t="s">
        <v>3391</v>
      </c>
    </row>
    <row r="58" spans="1:14" x14ac:dyDescent="0.2">
      <c r="A58" s="43">
        <v>1</v>
      </c>
      <c r="B58" s="16" t="s">
        <v>397</v>
      </c>
      <c r="C58" s="16" t="s">
        <v>398</v>
      </c>
      <c r="D58" s="16" t="s">
        <v>399</v>
      </c>
      <c r="E58" s="16" t="str">
        <f>"1,1518"</f>
        <v>1,1518</v>
      </c>
      <c r="F58" s="16" t="s">
        <v>869</v>
      </c>
      <c r="G58" s="16" t="s">
        <v>796</v>
      </c>
      <c r="H58" s="36" t="s">
        <v>24</v>
      </c>
      <c r="I58" s="36" t="s">
        <v>400</v>
      </c>
      <c r="J58" s="36" t="s">
        <v>188</v>
      </c>
      <c r="K58" s="24"/>
      <c r="L58" s="30">
        <v>232.5</v>
      </c>
      <c r="M58" s="23" t="str">
        <f>"267,7935"</f>
        <v>267,7935</v>
      </c>
      <c r="N58" s="16" t="s">
        <v>3391</v>
      </c>
    </row>
    <row r="59" spans="1:14" x14ac:dyDescent="0.2">
      <c r="A59" s="43">
        <v>2</v>
      </c>
      <c r="B59" s="16" t="s">
        <v>401</v>
      </c>
      <c r="C59" s="16" t="s">
        <v>402</v>
      </c>
      <c r="D59" s="16" t="s">
        <v>403</v>
      </c>
      <c r="E59" s="16" t="str">
        <f>"1,1320"</f>
        <v>1,1320</v>
      </c>
      <c r="F59" s="16" t="s">
        <v>869</v>
      </c>
      <c r="G59" s="16" t="s">
        <v>796</v>
      </c>
      <c r="H59" s="36" t="s">
        <v>24</v>
      </c>
      <c r="I59" s="36" t="s">
        <v>246</v>
      </c>
      <c r="J59" s="40" t="s">
        <v>144</v>
      </c>
      <c r="K59" s="24"/>
      <c r="L59" s="30">
        <v>225</v>
      </c>
      <c r="M59" s="23" t="str">
        <f>"254,7000"</f>
        <v>254,7000</v>
      </c>
      <c r="N59" s="16" t="s">
        <v>3391</v>
      </c>
    </row>
    <row r="60" spans="1:14" x14ac:dyDescent="0.2">
      <c r="A60" s="43">
        <v>3</v>
      </c>
      <c r="B60" s="16" t="s">
        <v>386</v>
      </c>
      <c r="C60" s="16" t="s">
        <v>404</v>
      </c>
      <c r="D60" s="16" t="s">
        <v>388</v>
      </c>
      <c r="E60" s="16" t="str">
        <f>"1,1692"</f>
        <v>1,1692</v>
      </c>
      <c r="F60" s="16" t="s">
        <v>4020</v>
      </c>
      <c r="G60" s="16" t="s">
        <v>796</v>
      </c>
      <c r="H60" s="36" t="s">
        <v>389</v>
      </c>
      <c r="I60" s="36" t="s">
        <v>187</v>
      </c>
      <c r="J60" s="36" t="s">
        <v>390</v>
      </c>
      <c r="K60" s="24"/>
      <c r="L60" s="30">
        <v>220.5</v>
      </c>
      <c r="M60" s="23" t="str">
        <f>"257,8086"</f>
        <v>257,8086</v>
      </c>
      <c r="N60" s="16" t="s">
        <v>3391</v>
      </c>
    </row>
    <row r="61" spans="1:14" x14ac:dyDescent="0.2">
      <c r="A61" s="43">
        <v>4</v>
      </c>
      <c r="B61" s="16" t="s">
        <v>405</v>
      </c>
      <c r="C61" s="16" t="s">
        <v>406</v>
      </c>
      <c r="D61" s="16" t="s">
        <v>407</v>
      </c>
      <c r="E61" s="16" t="str">
        <f>"1,1438"</f>
        <v>1,1438</v>
      </c>
      <c r="F61" s="16" t="s">
        <v>4020</v>
      </c>
      <c r="G61" s="16" t="s">
        <v>885</v>
      </c>
      <c r="H61" s="36" t="s">
        <v>11</v>
      </c>
      <c r="I61" s="36" t="s">
        <v>166</v>
      </c>
      <c r="J61" s="36" t="s">
        <v>140</v>
      </c>
      <c r="K61" s="24"/>
      <c r="L61" s="30">
        <v>200</v>
      </c>
      <c r="M61" s="23" t="str">
        <f>"228,7600"</f>
        <v>228,7600</v>
      </c>
      <c r="N61" s="16" t="s">
        <v>3391</v>
      </c>
    </row>
    <row r="62" spans="1:14" x14ac:dyDescent="0.2">
      <c r="A62" s="43">
        <v>5</v>
      </c>
      <c r="B62" s="16" t="s">
        <v>408</v>
      </c>
      <c r="C62" s="16" t="s">
        <v>409</v>
      </c>
      <c r="D62" s="16" t="s">
        <v>410</v>
      </c>
      <c r="E62" s="16" t="str">
        <f>"1,1194"</f>
        <v>1,1194</v>
      </c>
      <c r="F62" s="16" t="s">
        <v>4020</v>
      </c>
      <c r="G62" s="16" t="s">
        <v>796</v>
      </c>
      <c r="H62" s="36" t="s">
        <v>156</v>
      </c>
      <c r="I62" s="36" t="s">
        <v>206</v>
      </c>
      <c r="J62" s="36" t="s">
        <v>207</v>
      </c>
      <c r="K62" s="24"/>
      <c r="L62" s="30">
        <v>187.5</v>
      </c>
      <c r="M62" s="23" t="str">
        <f>"209,8875"</f>
        <v>209,8875</v>
      </c>
      <c r="N62" s="16" t="s">
        <v>765</v>
      </c>
    </row>
    <row r="63" spans="1:14" x14ac:dyDescent="0.2">
      <c r="A63" s="43">
        <v>1</v>
      </c>
      <c r="B63" s="16" t="s">
        <v>411</v>
      </c>
      <c r="C63" s="16" t="s">
        <v>412</v>
      </c>
      <c r="D63" s="16" t="s">
        <v>179</v>
      </c>
      <c r="E63" s="16" t="str">
        <f>"1,1486"</f>
        <v>1,1486</v>
      </c>
      <c r="F63" s="16" t="s">
        <v>492</v>
      </c>
      <c r="G63" s="16" t="s">
        <v>867</v>
      </c>
      <c r="H63" s="36" t="s">
        <v>126</v>
      </c>
      <c r="I63" s="40" t="s">
        <v>148</v>
      </c>
      <c r="J63" s="40" t="s">
        <v>148</v>
      </c>
      <c r="K63" s="24"/>
      <c r="L63" s="30">
        <v>145</v>
      </c>
      <c r="M63" s="23" t="str">
        <f>"182,5355"</f>
        <v>182,5355</v>
      </c>
      <c r="N63" s="16" t="s">
        <v>3391</v>
      </c>
    </row>
    <row r="64" spans="1:14" x14ac:dyDescent="0.2">
      <c r="A64" s="43">
        <v>1</v>
      </c>
      <c r="B64" s="17" t="s">
        <v>413</v>
      </c>
      <c r="C64" s="17" t="s">
        <v>414</v>
      </c>
      <c r="D64" s="17" t="s">
        <v>399</v>
      </c>
      <c r="E64" s="17" t="str">
        <f>"1,1518"</f>
        <v>1,1518</v>
      </c>
      <c r="F64" s="17" t="s">
        <v>827</v>
      </c>
      <c r="G64" s="17" t="s">
        <v>875</v>
      </c>
      <c r="H64" s="37" t="s">
        <v>140</v>
      </c>
      <c r="I64" s="37" t="s">
        <v>24</v>
      </c>
      <c r="J64" s="37" t="s">
        <v>144</v>
      </c>
      <c r="K64" s="26"/>
      <c r="L64" s="31">
        <v>230</v>
      </c>
      <c r="M64" s="25" t="str">
        <f>"343,5935"</f>
        <v>343,5935</v>
      </c>
      <c r="N64" s="17" t="s">
        <v>736</v>
      </c>
    </row>
    <row r="66" spans="1:14" ht="15" x14ac:dyDescent="0.2">
      <c r="B66" s="294" t="s">
        <v>4009</v>
      </c>
      <c r="C66" s="294"/>
      <c r="D66" s="294"/>
      <c r="E66" s="294"/>
      <c r="F66" s="294"/>
      <c r="G66" s="294"/>
      <c r="H66" s="294"/>
      <c r="I66" s="294"/>
      <c r="J66" s="294"/>
      <c r="K66" s="294"/>
      <c r="L66" s="294"/>
      <c r="M66" s="294"/>
    </row>
    <row r="67" spans="1:14" x14ac:dyDescent="0.2">
      <c r="A67" s="43">
        <v>1</v>
      </c>
      <c r="B67" s="15" t="s">
        <v>415</v>
      </c>
      <c r="C67" s="15" t="s">
        <v>416</v>
      </c>
      <c r="D67" s="15" t="s">
        <v>417</v>
      </c>
      <c r="E67" s="15" t="str">
        <f>"1,0306"</f>
        <v>1,0306</v>
      </c>
      <c r="F67" s="15" t="s">
        <v>4020</v>
      </c>
      <c r="G67" s="114" t="s">
        <v>796</v>
      </c>
      <c r="H67" s="120" t="s">
        <v>187</v>
      </c>
      <c r="I67" s="38" t="s">
        <v>144</v>
      </c>
      <c r="J67" s="122" t="s">
        <v>253</v>
      </c>
      <c r="K67" s="117"/>
      <c r="L67" s="29">
        <v>215</v>
      </c>
      <c r="M67" s="21" t="str">
        <f>"221,5790"</f>
        <v>221,5790</v>
      </c>
      <c r="N67" s="15" t="s">
        <v>767</v>
      </c>
    </row>
    <row r="68" spans="1:14" x14ac:dyDescent="0.2">
      <c r="A68" s="43">
        <v>1</v>
      </c>
      <c r="B68" s="16" t="s">
        <v>418</v>
      </c>
      <c r="C68" s="16" t="s">
        <v>419</v>
      </c>
      <c r="D68" s="16" t="s">
        <v>420</v>
      </c>
      <c r="E68" s="16" t="str">
        <f>"1,0356"</f>
        <v>1,0356</v>
      </c>
      <c r="F68" s="16" t="s">
        <v>863</v>
      </c>
      <c r="G68" s="115" t="s">
        <v>886</v>
      </c>
      <c r="H68" s="123" t="s">
        <v>144</v>
      </c>
      <c r="I68" s="36" t="s">
        <v>253</v>
      </c>
      <c r="J68" s="125" t="s">
        <v>37</v>
      </c>
      <c r="K68" s="118"/>
      <c r="L68" s="30">
        <v>250</v>
      </c>
      <c r="M68" s="23" t="str">
        <f>"258,9000"</f>
        <v>258,9000</v>
      </c>
      <c r="N68" s="16" t="s">
        <v>766</v>
      </c>
    </row>
    <row r="69" spans="1:14" x14ac:dyDescent="0.2">
      <c r="A69" s="43">
        <v>2</v>
      </c>
      <c r="B69" s="16" t="s">
        <v>421</v>
      </c>
      <c r="C69" s="16" t="s">
        <v>422</v>
      </c>
      <c r="D69" s="16" t="s">
        <v>423</v>
      </c>
      <c r="E69" s="16" t="str">
        <f>"1,0552"</f>
        <v>1,0552</v>
      </c>
      <c r="F69" s="16" t="s">
        <v>4020</v>
      </c>
      <c r="G69" s="115" t="s">
        <v>796</v>
      </c>
      <c r="H69" s="123" t="s">
        <v>135</v>
      </c>
      <c r="I69" s="36" t="s">
        <v>24</v>
      </c>
      <c r="J69" s="125" t="s">
        <v>400</v>
      </c>
      <c r="K69" s="118"/>
      <c r="L69" s="30">
        <v>227.5</v>
      </c>
      <c r="M69" s="23" t="str">
        <f>"240,0580"</f>
        <v>240,0580</v>
      </c>
      <c r="N69" s="16" t="s">
        <v>3391</v>
      </c>
    </row>
    <row r="70" spans="1:14" x14ac:dyDescent="0.2">
      <c r="A70" s="43">
        <v>3</v>
      </c>
      <c r="B70" s="16" t="s">
        <v>424</v>
      </c>
      <c r="C70" s="16" t="s">
        <v>425</v>
      </c>
      <c r="D70" s="16" t="s">
        <v>426</v>
      </c>
      <c r="E70" s="16" t="str">
        <f>"1,0398"</f>
        <v>1,0398</v>
      </c>
      <c r="F70" s="16" t="s">
        <v>4020</v>
      </c>
      <c r="G70" s="115" t="s">
        <v>887</v>
      </c>
      <c r="H70" s="126" t="s">
        <v>135</v>
      </c>
      <c r="I70" s="36" t="s">
        <v>135</v>
      </c>
      <c r="J70" s="125" t="s">
        <v>24</v>
      </c>
      <c r="K70" s="118"/>
      <c r="L70" s="30">
        <v>220</v>
      </c>
      <c r="M70" s="23" t="str">
        <f>"228,7560"</f>
        <v>228,7560</v>
      </c>
      <c r="N70" s="16" t="s">
        <v>768</v>
      </c>
    </row>
    <row r="71" spans="1:14" x14ac:dyDescent="0.2">
      <c r="A71" s="43">
        <v>4</v>
      </c>
      <c r="B71" s="16" t="s">
        <v>427</v>
      </c>
      <c r="C71" s="16" t="s">
        <v>428</v>
      </c>
      <c r="D71" s="16" t="s">
        <v>429</v>
      </c>
      <c r="E71" s="16" t="str">
        <f>"1,1158"</f>
        <v>1,1158</v>
      </c>
      <c r="F71" s="16" t="s">
        <v>4020</v>
      </c>
      <c r="G71" s="115" t="s">
        <v>888</v>
      </c>
      <c r="H71" s="123" t="s">
        <v>127</v>
      </c>
      <c r="I71" s="36" t="s">
        <v>156</v>
      </c>
      <c r="J71" s="125" t="s">
        <v>107</v>
      </c>
      <c r="K71" s="118"/>
      <c r="L71" s="30">
        <v>190</v>
      </c>
      <c r="M71" s="23" t="str">
        <f>"212,0020"</f>
        <v>212,0020</v>
      </c>
      <c r="N71" s="16" t="s">
        <v>3391</v>
      </c>
    </row>
    <row r="72" spans="1:14" x14ac:dyDescent="0.2">
      <c r="A72" s="43">
        <v>5</v>
      </c>
      <c r="B72" s="16" t="s">
        <v>430</v>
      </c>
      <c r="C72" s="16" t="s">
        <v>431</v>
      </c>
      <c r="D72" s="16" t="s">
        <v>13</v>
      </c>
      <c r="E72" s="16" t="str">
        <f>"1,0384"</f>
        <v>1,0384</v>
      </c>
      <c r="F72" s="16" t="s">
        <v>4020</v>
      </c>
      <c r="G72" s="115" t="s">
        <v>889</v>
      </c>
      <c r="H72" s="123" t="s">
        <v>106</v>
      </c>
      <c r="I72" s="40" t="s">
        <v>166</v>
      </c>
      <c r="J72" s="124" t="s">
        <v>166</v>
      </c>
      <c r="K72" s="118"/>
      <c r="L72" s="30">
        <v>185</v>
      </c>
      <c r="M72" s="23" t="str">
        <f>"192,1040"</f>
        <v>192,1040</v>
      </c>
      <c r="N72" s="16" t="s">
        <v>769</v>
      </c>
    </row>
    <row r="73" spans="1:14" x14ac:dyDescent="0.2">
      <c r="A73" s="43">
        <v>6</v>
      </c>
      <c r="B73" s="16" t="s">
        <v>432</v>
      </c>
      <c r="C73" s="16" t="s">
        <v>433</v>
      </c>
      <c r="D73" s="16" t="s">
        <v>434</v>
      </c>
      <c r="E73" s="16" t="str">
        <f>"1,0576"</f>
        <v>1,0576</v>
      </c>
      <c r="F73" s="16" t="s">
        <v>4020</v>
      </c>
      <c r="G73" s="115" t="s">
        <v>796</v>
      </c>
      <c r="H73" s="123" t="s">
        <v>11</v>
      </c>
      <c r="I73" s="40" t="s">
        <v>107</v>
      </c>
      <c r="J73" s="124" t="s">
        <v>107</v>
      </c>
      <c r="K73" s="118"/>
      <c r="L73" s="30">
        <v>180</v>
      </c>
      <c r="M73" s="23" t="str">
        <f>"190,3680"</f>
        <v>190,3680</v>
      </c>
      <c r="N73" s="16" t="s">
        <v>770</v>
      </c>
    </row>
    <row r="74" spans="1:14" x14ac:dyDescent="0.2">
      <c r="A74" s="43">
        <v>1</v>
      </c>
      <c r="B74" s="16" t="s">
        <v>199</v>
      </c>
      <c r="C74" s="16" t="s">
        <v>200</v>
      </c>
      <c r="D74" s="16" t="s">
        <v>201</v>
      </c>
      <c r="E74" s="16" t="str">
        <f>"1,0298"</f>
        <v>1,0298</v>
      </c>
      <c r="F74" s="16" t="s">
        <v>863</v>
      </c>
      <c r="G74" s="115" t="s">
        <v>834</v>
      </c>
      <c r="H74" s="123" t="s">
        <v>24</v>
      </c>
      <c r="I74" s="36" t="s">
        <v>144</v>
      </c>
      <c r="J74" s="125" t="s">
        <v>202</v>
      </c>
      <c r="K74" s="118"/>
      <c r="L74" s="30">
        <v>242.5</v>
      </c>
      <c r="M74" s="23" t="str">
        <f>"256,7189"</f>
        <v>256,7189</v>
      </c>
      <c r="N74" s="16" t="s">
        <v>3391</v>
      </c>
    </row>
    <row r="75" spans="1:14" x14ac:dyDescent="0.2">
      <c r="A75" s="43">
        <v>1</v>
      </c>
      <c r="B75" s="17" t="s">
        <v>435</v>
      </c>
      <c r="C75" s="17" t="s">
        <v>436</v>
      </c>
      <c r="D75" s="17" t="s">
        <v>437</v>
      </c>
      <c r="E75" s="17" t="str">
        <f>"1,0792"</f>
        <v>1,0792</v>
      </c>
      <c r="F75" s="17" t="s">
        <v>4020</v>
      </c>
      <c r="G75" s="116" t="s">
        <v>796</v>
      </c>
      <c r="H75" s="127" t="s">
        <v>97</v>
      </c>
      <c r="I75" s="37" t="s">
        <v>87</v>
      </c>
      <c r="J75" s="128" t="s">
        <v>169</v>
      </c>
      <c r="K75" s="119"/>
      <c r="L75" s="31">
        <v>117.5</v>
      </c>
      <c r="M75" s="25" t="str">
        <f>"251,0759"</f>
        <v>251,0759</v>
      </c>
      <c r="N75" s="17" t="s">
        <v>3391</v>
      </c>
    </row>
    <row r="77" spans="1:14" ht="15" x14ac:dyDescent="0.2">
      <c r="B77" s="294" t="s">
        <v>4010</v>
      </c>
      <c r="C77" s="294"/>
      <c r="D77" s="294"/>
      <c r="E77" s="294"/>
      <c r="F77" s="294"/>
      <c r="G77" s="294"/>
      <c r="H77" s="294"/>
      <c r="I77" s="294"/>
      <c r="J77" s="294"/>
      <c r="K77" s="294"/>
      <c r="L77" s="294"/>
      <c r="M77" s="294"/>
    </row>
    <row r="78" spans="1:14" x14ac:dyDescent="0.2">
      <c r="A78" s="43">
        <v>1</v>
      </c>
      <c r="B78" s="15" t="s">
        <v>203</v>
      </c>
      <c r="C78" s="15" t="s">
        <v>204</v>
      </c>
      <c r="D78" s="15" t="s">
        <v>205</v>
      </c>
      <c r="E78" s="15" t="str">
        <f>"0,9752"</f>
        <v>0,9752</v>
      </c>
      <c r="F78" s="15" t="s">
        <v>861</v>
      </c>
      <c r="G78" s="15" t="s">
        <v>839</v>
      </c>
      <c r="H78" s="35" t="s">
        <v>24</v>
      </c>
      <c r="I78" s="35" t="s">
        <v>188</v>
      </c>
      <c r="J78" s="35" t="s">
        <v>202</v>
      </c>
      <c r="K78" s="38" t="s">
        <v>208</v>
      </c>
      <c r="L78" s="29">
        <v>242.5</v>
      </c>
      <c r="M78" s="21" t="str">
        <f>"236,4860"</f>
        <v>236,4860</v>
      </c>
      <c r="N78" s="15" t="s">
        <v>771</v>
      </c>
    </row>
    <row r="79" spans="1:14" x14ac:dyDescent="0.2">
      <c r="A79" s="43">
        <v>1</v>
      </c>
      <c r="B79" s="16" t="s">
        <v>438</v>
      </c>
      <c r="C79" s="16" t="s">
        <v>439</v>
      </c>
      <c r="D79" s="16" t="s">
        <v>235</v>
      </c>
      <c r="E79" s="16" t="str">
        <f>"0,9698"</f>
        <v>0,9698</v>
      </c>
      <c r="F79" s="16" t="s">
        <v>4020</v>
      </c>
      <c r="G79" s="16" t="s">
        <v>809</v>
      </c>
      <c r="H79" s="40" t="s">
        <v>144</v>
      </c>
      <c r="I79" s="36" t="s">
        <v>253</v>
      </c>
      <c r="J79" s="36" t="s">
        <v>37</v>
      </c>
      <c r="K79" s="40" t="s">
        <v>221</v>
      </c>
      <c r="L79" s="30">
        <v>250</v>
      </c>
      <c r="M79" s="23" t="str">
        <f>"242,4500"</f>
        <v>242,4500</v>
      </c>
      <c r="N79" s="16" t="s">
        <v>734</v>
      </c>
    </row>
    <row r="80" spans="1:14" x14ac:dyDescent="0.2">
      <c r="A80" s="43">
        <v>2</v>
      </c>
      <c r="B80" s="16" t="s">
        <v>440</v>
      </c>
      <c r="C80" s="16" t="s">
        <v>441</v>
      </c>
      <c r="D80" s="16" t="s">
        <v>442</v>
      </c>
      <c r="E80" s="16" t="str">
        <f>"0,9814"</f>
        <v>0,9814</v>
      </c>
      <c r="F80" s="16" t="s">
        <v>861</v>
      </c>
      <c r="G80" s="115" t="s">
        <v>883</v>
      </c>
      <c r="H80" s="36" t="s">
        <v>253</v>
      </c>
      <c r="I80" s="137" t="s">
        <v>37</v>
      </c>
      <c r="J80" s="40" t="s">
        <v>37</v>
      </c>
      <c r="K80" s="118"/>
      <c r="L80" s="30">
        <v>240</v>
      </c>
      <c r="M80" s="23" t="str">
        <f>"235,5360"</f>
        <v>235,5360</v>
      </c>
      <c r="N80" s="16" t="s">
        <v>764</v>
      </c>
    </row>
    <row r="81" spans="1:14" x14ac:dyDescent="0.2">
      <c r="A81" s="43">
        <v>1</v>
      </c>
      <c r="B81" s="16" t="s">
        <v>443</v>
      </c>
      <c r="C81" s="16" t="s">
        <v>444</v>
      </c>
      <c r="D81" s="16" t="s">
        <v>445</v>
      </c>
      <c r="E81" s="16" t="str">
        <f>"0,9924"</f>
        <v>0,9924</v>
      </c>
      <c r="F81" s="16" t="s">
        <v>4020</v>
      </c>
      <c r="G81" s="16" t="s">
        <v>872</v>
      </c>
      <c r="H81" s="36" t="s">
        <v>35</v>
      </c>
      <c r="I81" s="36" t="s">
        <v>287</v>
      </c>
      <c r="J81" s="40" t="s">
        <v>274</v>
      </c>
      <c r="K81" s="24"/>
      <c r="L81" s="30">
        <v>300</v>
      </c>
      <c r="M81" s="23" t="str">
        <f>"297,7200"</f>
        <v>297,7200</v>
      </c>
      <c r="N81" s="16" t="s">
        <v>3391</v>
      </c>
    </row>
    <row r="82" spans="1:14" x14ac:dyDescent="0.2">
      <c r="A82" s="43">
        <v>2</v>
      </c>
      <c r="B82" s="16" t="s">
        <v>27</v>
      </c>
      <c r="C82" s="16" t="s">
        <v>28</v>
      </c>
      <c r="D82" s="16" t="s">
        <v>29</v>
      </c>
      <c r="E82" s="16" t="str">
        <f>"0,9720"</f>
        <v>0,9720</v>
      </c>
      <c r="F82" s="16" t="s">
        <v>3181</v>
      </c>
      <c r="G82" s="16" t="s">
        <v>3308</v>
      </c>
      <c r="H82" s="36" t="s">
        <v>37</v>
      </c>
      <c r="I82" s="36" t="s">
        <v>15</v>
      </c>
      <c r="J82" s="36" t="s">
        <v>16</v>
      </c>
      <c r="K82" s="24"/>
      <c r="L82" s="30">
        <v>275</v>
      </c>
      <c r="M82" s="23" t="str">
        <f>"267,3000"</f>
        <v>267,3000</v>
      </c>
      <c r="N82" s="16" t="s">
        <v>31</v>
      </c>
    </row>
    <row r="83" spans="1:14" x14ac:dyDescent="0.2">
      <c r="A83" s="43">
        <v>3</v>
      </c>
      <c r="B83" s="16" t="s">
        <v>446</v>
      </c>
      <c r="C83" s="16" t="s">
        <v>447</v>
      </c>
      <c r="D83" s="16" t="s">
        <v>448</v>
      </c>
      <c r="E83" s="16" t="str">
        <f>"0,9854"</f>
        <v>0,9854</v>
      </c>
      <c r="F83" s="16" t="s">
        <v>4020</v>
      </c>
      <c r="G83" s="16" t="s">
        <v>796</v>
      </c>
      <c r="H83" s="36" t="s">
        <v>35</v>
      </c>
      <c r="I83" s="40" t="s">
        <v>16</v>
      </c>
      <c r="J83" s="40" t="s">
        <v>16</v>
      </c>
      <c r="K83" s="24"/>
      <c r="L83" s="30">
        <v>270</v>
      </c>
      <c r="M83" s="23" t="str">
        <f>"266,0580"</f>
        <v>266,0580</v>
      </c>
      <c r="N83" s="16" t="s">
        <v>772</v>
      </c>
    </row>
    <row r="84" spans="1:14" x14ac:dyDescent="0.2">
      <c r="A84" s="43">
        <v>4</v>
      </c>
      <c r="B84" s="16" t="s">
        <v>449</v>
      </c>
      <c r="C84" s="16" t="s">
        <v>450</v>
      </c>
      <c r="D84" s="16" t="s">
        <v>451</v>
      </c>
      <c r="E84" s="16" t="str">
        <f>"0,9798"</f>
        <v>0,9798</v>
      </c>
      <c r="F84" s="16" t="s">
        <v>4020</v>
      </c>
      <c r="G84" s="16" t="s">
        <v>890</v>
      </c>
      <c r="H84" s="36" t="s">
        <v>188</v>
      </c>
      <c r="I84" s="40" t="s">
        <v>221</v>
      </c>
      <c r="J84" s="36" t="s">
        <v>221</v>
      </c>
      <c r="K84" s="24"/>
      <c r="L84" s="30">
        <v>252.5</v>
      </c>
      <c r="M84" s="23" t="str">
        <f>"247,3995"</f>
        <v>247,3995</v>
      </c>
      <c r="N84" s="16" t="s">
        <v>452</v>
      </c>
    </row>
    <row r="85" spans="1:14" x14ac:dyDescent="0.2">
      <c r="A85" s="43">
        <v>5</v>
      </c>
      <c r="B85" s="16" t="s">
        <v>453</v>
      </c>
      <c r="C85" s="16" t="s">
        <v>454</v>
      </c>
      <c r="D85" s="16" t="s">
        <v>214</v>
      </c>
      <c r="E85" s="16" t="str">
        <f>"0,9838"</f>
        <v>0,9838</v>
      </c>
      <c r="F85" s="16" t="s">
        <v>4020</v>
      </c>
      <c r="G85" s="16" t="s">
        <v>796</v>
      </c>
      <c r="H85" s="36" t="s">
        <v>187</v>
      </c>
      <c r="I85" s="40" t="s">
        <v>144</v>
      </c>
      <c r="J85" s="36" t="s">
        <v>144</v>
      </c>
      <c r="K85" s="24"/>
      <c r="L85" s="30">
        <v>230</v>
      </c>
      <c r="M85" s="23" t="str">
        <f>"226,2740"</f>
        <v>226,2740</v>
      </c>
      <c r="N85" s="16" t="s">
        <v>3391</v>
      </c>
    </row>
    <row r="86" spans="1:14" x14ac:dyDescent="0.2">
      <c r="A86" s="43">
        <v>6</v>
      </c>
      <c r="B86" s="16" t="s">
        <v>455</v>
      </c>
      <c r="C86" s="16" t="s">
        <v>456</v>
      </c>
      <c r="D86" s="16" t="s">
        <v>457</v>
      </c>
      <c r="E86" s="16" t="str">
        <f>"0,9980"</f>
        <v>0,9980</v>
      </c>
      <c r="F86" s="16" t="s">
        <v>853</v>
      </c>
      <c r="G86" s="16" t="s">
        <v>796</v>
      </c>
      <c r="H86" s="36" t="s">
        <v>142</v>
      </c>
      <c r="I86" s="36" t="s">
        <v>260</v>
      </c>
      <c r="J86" s="36" t="s">
        <v>11</v>
      </c>
      <c r="K86" s="24"/>
      <c r="L86" s="30">
        <v>180</v>
      </c>
      <c r="M86" s="23" t="str">
        <f>"179,6400"</f>
        <v>179,6400</v>
      </c>
      <c r="N86" s="16" t="s">
        <v>724</v>
      </c>
    </row>
    <row r="87" spans="1:14" x14ac:dyDescent="0.2">
      <c r="B87" s="16" t="s">
        <v>461</v>
      </c>
      <c r="C87" s="16" t="s">
        <v>462</v>
      </c>
      <c r="D87" s="16" t="s">
        <v>463</v>
      </c>
      <c r="E87" s="16" t="str">
        <f>"0,9900"</f>
        <v>0,9900</v>
      </c>
      <c r="F87" s="16" t="s">
        <v>464</v>
      </c>
      <c r="G87" s="16" t="s">
        <v>824</v>
      </c>
      <c r="H87" s="40" t="s">
        <v>127</v>
      </c>
      <c r="I87" s="40" t="s">
        <v>127</v>
      </c>
      <c r="J87" s="24"/>
      <c r="K87" s="24"/>
      <c r="L87" s="47">
        <v>0</v>
      </c>
      <c r="M87" s="23" t="s">
        <v>720</v>
      </c>
      <c r="N87" s="16" t="s">
        <v>3391</v>
      </c>
    </row>
    <row r="88" spans="1:14" x14ac:dyDescent="0.2">
      <c r="A88" s="43">
        <v>1</v>
      </c>
      <c r="B88" s="17" t="s">
        <v>465</v>
      </c>
      <c r="C88" s="17" t="s">
        <v>466</v>
      </c>
      <c r="D88" s="17" t="s">
        <v>467</v>
      </c>
      <c r="E88" s="17" t="str">
        <f>"0,9790"</f>
        <v>0,9790</v>
      </c>
      <c r="F88" s="17" t="s">
        <v>4020</v>
      </c>
      <c r="G88" s="17" t="s">
        <v>891</v>
      </c>
      <c r="H88" s="37" t="s">
        <v>296</v>
      </c>
      <c r="I88" s="127" t="s">
        <v>144</v>
      </c>
      <c r="J88" s="37" t="s">
        <v>253</v>
      </c>
      <c r="K88" s="119"/>
      <c r="L88" s="31">
        <v>240</v>
      </c>
      <c r="M88" s="25" t="str">
        <f>"360,1937"</f>
        <v>360,1937</v>
      </c>
      <c r="N88" s="17" t="s">
        <v>3391</v>
      </c>
    </row>
    <row r="90" spans="1:14" ht="15" x14ac:dyDescent="0.2">
      <c r="B90" s="294" t="s">
        <v>4011</v>
      </c>
      <c r="C90" s="294"/>
      <c r="D90" s="294"/>
      <c r="E90" s="294"/>
      <c r="F90" s="294"/>
      <c r="G90" s="294"/>
      <c r="H90" s="294"/>
      <c r="I90" s="294"/>
      <c r="J90" s="294"/>
      <c r="K90" s="294"/>
      <c r="L90" s="294"/>
      <c r="M90" s="294"/>
      <c r="N90" s="50"/>
    </row>
    <row r="91" spans="1:14" x14ac:dyDescent="0.2">
      <c r="A91" s="43">
        <v>1</v>
      </c>
      <c r="B91" s="15" t="s">
        <v>468</v>
      </c>
      <c r="C91" s="15" t="s">
        <v>469</v>
      </c>
      <c r="D91" s="15" t="s">
        <v>470</v>
      </c>
      <c r="E91" s="15" t="str">
        <f>"0,9182"</f>
        <v>0,9182</v>
      </c>
      <c r="F91" s="15" t="s">
        <v>492</v>
      </c>
      <c r="G91" s="114" t="s">
        <v>830</v>
      </c>
      <c r="H91" s="35" t="s">
        <v>644</v>
      </c>
      <c r="I91" s="38" t="s">
        <v>275</v>
      </c>
      <c r="J91" s="35" t="s">
        <v>275</v>
      </c>
      <c r="K91" s="22"/>
      <c r="L91" s="151">
        <v>315</v>
      </c>
      <c r="M91" s="21" t="str">
        <f>"289,2330"</f>
        <v>289,2330</v>
      </c>
      <c r="N91" s="16" t="s">
        <v>3391</v>
      </c>
    </row>
    <row r="92" spans="1:14" x14ac:dyDescent="0.2">
      <c r="A92" s="43">
        <v>2</v>
      </c>
      <c r="B92" s="16" t="s">
        <v>471</v>
      </c>
      <c r="C92" s="16" t="s">
        <v>472</v>
      </c>
      <c r="D92" s="16" t="s">
        <v>473</v>
      </c>
      <c r="E92" s="16" t="str">
        <f>"0,9198"</f>
        <v>0,9198</v>
      </c>
      <c r="F92" s="16" t="s">
        <v>4020</v>
      </c>
      <c r="G92" s="115" t="s">
        <v>884</v>
      </c>
      <c r="H92" s="123" t="s">
        <v>37</v>
      </c>
      <c r="I92" s="36" t="s">
        <v>15</v>
      </c>
      <c r="J92" s="124" t="s">
        <v>16</v>
      </c>
      <c r="K92" s="24"/>
      <c r="L92" s="152">
        <v>265</v>
      </c>
      <c r="M92" s="23" t="str">
        <f>"243,7470"</f>
        <v>243,7470</v>
      </c>
      <c r="N92" s="16" t="s">
        <v>3391</v>
      </c>
    </row>
    <row r="93" spans="1:14" x14ac:dyDescent="0.2">
      <c r="A93" s="43">
        <v>3</v>
      </c>
      <c r="B93" s="16" t="s">
        <v>243</v>
      </c>
      <c r="C93" s="16" t="s">
        <v>244</v>
      </c>
      <c r="D93" s="16" t="s">
        <v>245</v>
      </c>
      <c r="E93" s="16" t="str">
        <f>"0,9254"</f>
        <v>0,9254</v>
      </c>
      <c r="F93" s="16" t="s">
        <v>4020</v>
      </c>
      <c r="G93" s="115" t="s">
        <v>796</v>
      </c>
      <c r="H93" s="36" t="s">
        <v>144</v>
      </c>
      <c r="I93" s="36" t="s">
        <v>37</v>
      </c>
      <c r="J93" s="36" t="s">
        <v>17</v>
      </c>
      <c r="K93" s="24"/>
      <c r="L93" s="152">
        <v>260</v>
      </c>
      <c r="M93" s="23" t="str">
        <f>"240,6040"</f>
        <v>240,6040</v>
      </c>
      <c r="N93" s="16" t="s">
        <v>3391</v>
      </c>
    </row>
    <row r="94" spans="1:14" x14ac:dyDescent="0.2">
      <c r="A94" s="43">
        <v>4</v>
      </c>
      <c r="B94" s="16" t="s">
        <v>474</v>
      </c>
      <c r="C94" s="16" t="s">
        <v>475</v>
      </c>
      <c r="D94" s="16" t="s">
        <v>476</v>
      </c>
      <c r="E94" s="16" t="str">
        <f>"0,9174"</f>
        <v>0,9174</v>
      </c>
      <c r="F94" s="16" t="s">
        <v>111</v>
      </c>
      <c r="G94" s="115" t="s">
        <v>3249</v>
      </c>
      <c r="H94" s="160" t="s">
        <v>253</v>
      </c>
      <c r="I94" s="36" t="s">
        <v>253</v>
      </c>
      <c r="J94" s="125" t="s">
        <v>37</v>
      </c>
      <c r="K94" s="36" t="s">
        <v>261</v>
      </c>
      <c r="L94" s="152">
        <v>250</v>
      </c>
      <c r="M94" s="23" t="str">
        <f>"229,3500"</f>
        <v>229,3500</v>
      </c>
      <c r="N94" s="16" t="s">
        <v>3391</v>
      </c>
    </row>
    <row r="95" spans="1:14" x14ac:dyDescent="0.2">
      <c r="A95" s="43">
        <v>5</v>
      </c>
      <c r="B95" s="16" t="s">
        <v>477</v>
      </c>
      <c r="C95" s="16" t="s">
        <v>478</v>
      </c>
      <c r="D95" s="16" t="s">
        <v>479</v>
      </c>
      <c r="E95" s="16" t="str">
        <f>"0,9416"</f>
        <v>0,9416</v>
      </c>
      <c r="F95" s="16" t="s">
        <v>855</v>
      </c>
      <c r="G95" s="115" t="s">
        <v>796</v>
      </c>
      <c r="H95" s="126" t="s">
        <v>253</v>
      </c>
      <c r="I95" s="40" t="s">
        <v>253</v>
      </c>
      <c r="J95" s="125" t="s">
        <v>253</v>
      </c>
      <c r="K95" s="24"/>
      <c r="L95" s="152">
        <v>240</v>
      </c>
      <c r="M95" s="23" t="str">
        <f>"225,9840"</f>
        <v>225,9840</v>
      </c>
      <c r="N95" s="16" t="s">
        <v>756</v>
      </c>
    </row>
    <row r="96" spans="1:14" x14ac:dyDescent="0.2">
      <c r="A96" s="43">
        <v>1</v>
      </c>
      <c r="B96" s="16" t="s">
        <v>483</v>
      </c>
      <c r="C96" s="16" t="s">
        <v>484</v>
      </c>
      <c r="D96" s="16" t="s">
        <v>485</v>
      </c>
      <c r="E96" s="16" t="str">
        <f>"0,9206"</f>
        <v>0,9206</v>
      </c>
      <c r="F96" s="16" t="s">
        <v>266</v>
      </c>
      <c r="G96" s="115" t="s">
        <v>874</v>
      </c>
      <c r="H96" s="123" t="s">
        <v>144</v>
      </c>
      <c r="I96" s="36" t="s">
        <v>253</v>
      </c>
      <c r="J96" s="124" t="s">
        <v>37</v>
      </c>
      <c r="K96" s="24"/>
      <c r="L96" s="152">
        <v>240</v>
      </c>
      <c r="M96" s="23" t="str">
        <f>"220,9440"</f>
        <v>220,9440</v>
      </c>
      <c r="N96" s="16" t="s">
        <v>3391</v>
      </c>
    </row>
    <row r="97" spans="1:14" x14ac:dyDescent="0.2">
      <c r="A97" s="43">
        <v>1</v>
      </c>
      <c r="B97" s="16" t="s">
        <v>486</v>
      </c>
      <c r="C97" s="16" t="s">
        <v>487</v>
      </c>
      <c r="D97" s="16" t="s">
        <v>488</v>
      </c>
      <c r="E97" s="16" t="str">
        <f>"0,9324"</f>
        <v>0,9324</v>
      </c>
      <c r="F97" s="16" t="s">
        <v>4020</v>
      </c>
      <c r="G97" s="115" t="s">
        <v>796</v>
      </c>
      <c r="H97" s="123" t="s">
        <v>24</v>
      </c>
      <c r="I97" s="36" t="s">
        <v>253</v>
      </c>
      <c r="J97" s="125" t="s">
        <v>37</v>
      </c>
      <c r="K97" s="24"/>
      <c r="L97" s="152">
        <v>250</v>
      </c>
      <c r="M97" s="23" t="str">
        <f>"234,2655"</f>
        <v>234,2655</v>
      </c>
      <c r="N97" s="16" t="s">
        <v>3391</v>
      </c>
    </row>
    <row r="98" spans="1:14" x14ac:dyDescent="0.2">
      <c r="A98" s="43">
        <v>1</v>
      </c>
      <c r="B98" s="16" t="s">
        <v>489</v>
      </c>
      <c r="C98" s="16" t="s">
        <v>490</v>
      </c>
      <c r="D98" s="16" t="s">
        <v>491</v>
      </c>
      <c r="E98" s="16" t="str">
        <f>"0,9226"</f>
        <v>0,9226</v>
      </c>
      <c r="F98" s="16" t="s">
        <v>492</v>
      </c>
      <c r="G98" s="115" t="s">
        <v>829</v>
      </c>
      <c r="H98" s="36" t="s">
        <v>253</v>
      </c>
      <c r="I98" s="36" t="s">
        <v>37</v>
      </c>
      <c r="J98" s="36" t="s">
        <v>17</v>
      </c>
      <c r="K98" s="24"/>
      <c r="L98" s="152">
        <v>260</v>
      </c>
      <c r="M98" s="23" t="str">
        <f>"267,2219"</f>
        <v>267,2219</v>
      </c>
      <c r="N98" s="16" t="s">
        <v>815</v>
      </c>
    </row>
    <row r="99" spans="1:14" x14ac:dyDescent="0.2">
      <c r="A99" s="43">
        <v>2</v>
      </c>
      <c r="B99" s="17" t="s">
        <v>474</v>
      </c>
      <c r="C99" s="17" t="s">
        <v>493</v>
      </c>
      <c r="D99" s="17" t="s">
        <v>476</v>
      </c>
      <c r="E99" s="17" t="str">
        <f>"0,9174"</f>
        <v>0,9174</v>
      </c>
      <c r="F99" s="17" t="s">
        <v>111</v>
      </c>
      <c r="G99" s="116" t="s">
        <v>3249</v>
      </c>
      <c r="H99" s="161" t="s">
        <v>253</v>
      </c>
      <c r="I99" s="37" t="s">
        <v>253</v>
      </c>
      <c r="J99" s="128" t="s">
        <v>37</v>
      </c>
      <c r="K99" s="37" t="s">
        <v>261</v>
      </c>
      <c r="L99" s="153">
        <v>250</v>
      </c>
      <c r="M99" s="25" t="str">
        <f>"243,1110"</f>
        <v>243,1110</v>
      </c>
      <c r="N99" s="17" t="s">
        <v>3391</v>
      </c>
    </row>
    <row r="101" spans="1:14" ht="15" x14ac:dyDescent="0.2">
      <c r="B101" s="311" t="s">
        <v>4012</v>
      </c>
      <c r="C101" s="311"/>
      <c r="D101" s="311"/>
      <c r="E101" s="311"/>
      <c r="F101" s="311"/>
      <c r="G101" s="311"/>
      <c r="H101" s="314"/>
      <c r="I101" s="314"/>
      <c r="J101" s="314"/>
      <c r="K101" s="311"/>
      <c r="L101" s="311"/>
      <c r="M101" s="311"/>
      <c r="N101" s="50"/>
    </row>
    <row r="102" spans="1:14" x14ac:dyDescent="0.2">
      <c r="A102" s="43">
        <v>1</v>
      </c>
      <c r="B102" s="16" t="s">
        <v>494</v>
      </c>
      <c r="C102" s="16" t="s">
        <v>495</v>
      </c>
      <c r="D102" s="16" t="s">
        <v>496</v>
      </c>
      <c r="E102" s="16" t="str">
        <f>"0,9090"</f>
        <v>0,9090</v>
      </c>
      <c r="F102" s="16" t="s">
        <v>869</v>
      </c>
      <c r="G102" s="115" t="s">
        <v>796</v>
      </c>
      <c r="H102" s="120" t="s">
        <v>24</v>
      </c>
      <c r="I102" s="35" t="s">
        <v>253</v>
      </c>
      <c r="J102" s="132" t="s">
        <v>37</v>
      </c>
      <c r="K102" s="118"/>
      <c r="L102" s="30">
        <v>250</v>
      </c>
      <c r="M102" s="23" t="str">
        <f>"230,4315"</f>
        <v>230,4315</v>
      </c>
      <c r="N102" s="16" t="s">
        <v>3391</v>
      </c>
    </row>
    <row r="103" spans="1:14" x14ac:dyDescent="0.2">
      <c r="A103" s="43">
        <v>1</v>
      </c>
      <c r="B103" s="17" t="s">
        <v>497</v>
      </c>
      <c r="C103" s="17" t="s">
        <v>498</v>
      </c>
      <c r="D103" s="17" t="s">
        <v>499</v>
      </c>
      <c r="E103" s="17" t="str">
        <f>"0,8920"</f>
        <v>0,8920</v>
      </c>
      <c r="F103" s="17" t="s">
        <v>4020</v>
      </c>
      <c r="G103" s="116" t="s">
        <v>796</v>
      </c>
      <c r="H103" s="127" t="s">
        <v>116</v>
      </c>
      <c r="I103" s="37" t="s">
        <v>36</v>
      </c>
      <c r="J103" s="128" t="s">
        <v>127</v>
      </c>
      <c r="K103" s="119"/>
      <c r="L103" s="31">
        <v>160</v>
      </c>
      <c r="M103" s="25" t="str">
        <f>"201,2352"</f>
        <v>201,2352</v>
      </c>
      <c r="N103" s="17" t="s">
        <v>773</v>
      </c>
    </row>
    <row r="104" spans="1:14" x14ac:dyDescent="0.2">
      <c r="I104" s="51"/>
      <c r="J104" s="51"/>
    </row>
    <row r="105" spans="1:14" ht="15" x14ac:dyDescent="0.2">
      <c r="B105" s="294" t="s">
        <v>4013</v>
      </c>
      <c r="C105" s="294"/>
      <c r="D105" s="294"/>
      <c r="E105" s="294"/>
      <c r="F105" s="294"/>
      <c r="G105" s="294"/>
      <c r="H105" s="294"/>
      <c r="I105" s="294"/>
      <c r="J105" s="294"/>
      <c r="K105" s="294"/>
      <c r="L105" s="294"/>
      <c r="M105" s="294"/>
    </row>
    <row r="106" spans="1:14" x14ac:dyDescent="0.2">
      <c r="A106" s="43">
        <v>1</v>
      </c>
      <c r="B106" s="15" t="s">
        <v>500</v>
      </c>
      <c r="C106" s="15" t="s">
        <v>501</v>
      </c>
      <c r="D106" s="15" t="s">
        <v>502</v>
      </c>
      <c r="E106" s="15" t="str">
        <f>"0,8824"</f>
        <v>0,8824</v>
      </c>
      <c r="F106" s="15" t="s">
        <v>14</v>
      </c>
      <c r="G106" s="15" t="s">
        <v>822</v>
      </c>
      <c r="H106" s="35" t="s">
        <v>287</v>
      </c>
      <c r="I106" s="35" t="s">
        <v>274</v>
      </c>
      <c r="J106" s="38" t="s">
        <v>644</v>
      </c>
      <c r="K106" s="22"/>
      <c r="L106" s="29">
        <v>300</v>
      </c>
      <c r="M106" s="21" t="str">
        <f>"264,7200"</f>
        <v>264,7200</v>
      </c>
      <c r="N106" s="15" t="s">
        <v>774</v>
      </c>
    </row>
    <row r="107" spans="1:14" x14ac:dyDescent="0.2">
      <c r="A107" s="43">
        <v>2</v>
      </c>
      <c r="B107" s="16" t="s">
        <v>503</v>
      </c>
      <c r="C107" s="16" t="s">
        <v>504</v>
      </c>
      <c r="D107" s="16" t="s">
        <v>505</v>
      </c>
      <c r="E107" s="16" t="str">
        <f>"0,8692"</f>
        <v>0,8692</v>
      </c>
      <c r="F107" s="16" t="s">
        <v>4020</v>
      </c>
      <c r="G107" s="16" t="s">
        <v>890</v>
      </c>
      <c r="H107" s="36" t="s">
        <v>37</v>
      </c>
      <c r="I107" s="36" t="s">
        <v>17</v>
      </c>
      <c r="J107" s="40" t="s">
        <v>35</v>
      </c>
      <c r="K107" s="24"/>
      <c r="L107" s="30">
        <v>260</v>
      </c>
      <c r="M107" s="23" t="str">
        <f>"225,9920"</f>
        <v>225,9920</v>
      </c>
      <c r="N107" s="16" t="s">
        <v>3391</v>
      </c>
    </row>
    <row r="108" spans="1:14" x14ac:dyDescent="0.2">
      <c r="A108" s="43">
        <v>1</v>
      </c>
      <c r="B108" s="17" t="s">
        <v>280</v>
      </c>
      <c r="C108" s="17" t="s">
        <v>281</v>
      </c>
      <c r="D108" s="17" t="s">
        <v>282</v>
      </c>
      <c r="E108" s="17" t="str">
        <f>"0,8820"</f>
        <v>0,8820</v>
      </c>
      <c r="F108" s="17" t="s">
        <v>853</v>
      </c>
      <c r="G108" s="17" t="s">
        <v>838</v>
      </c>
      <c r="H108" s="37" t="s">
        <v>135</v>
      </c>
      <c r="I108" s="37" t="s">
        <v>208</v>
      </c>
      <c r="J108" s="37" t="s">
        <v>15</v>
      </c>
      <c r="K108" s="26"/>
      <c r="L108" s="31">
        <v>265</v>
      </c>
      <c r="M108" s="25" t="str">
        <f>"287,0204"</f>
        <v>287,0204</v>
      </c>
      <c r="N108" s="17" t="s">
        <v>722</v>
      </c>
    </row>
    <row r="110" spans="1:14" ht="15" x14ac:dyDescent="0.2">
      <c r="B110" s="294" t="s">
        <v>4017</v>
      </c>
      <c r="C110" s="294"/>
      <c r="D110" s="294"/>
      <c r="E110" s="294"/>
      <c r="F110" s="294"/>
      <c r="G110" s="294"/>
      <c r="H110" s="294"/>
      <c r="I110" s="294"/>
      <c r="J110" s="294"/>
      <c r="K110" s="294"/>
      <c r="L110" s="294"/>
      <c r="M110" s="294"/>
    </row>
    <row r="111" spans="1:14" x14ac:dyDescent="0.2">
      <c r="A111" s="43">
        <v>1</v>
      </c>
      <c r="B111" s="7" t="s">
        <v>508</v>
      </c>
      <c r="C111" s="7" t="s">
        <v>509</v>
      </c>
      <c r="D111" s="7" t="s">
        <v>510</v>
      </c>
      <c r="E111" s="7" t="str">
        <f>"0,8380"</f>
        <v>0,8380</v>
      </c>
      <c r="F111" s="7" t="s">
        <v>492</v>
      </c>
      <c r="G111" s="7" t="s">
        <v>821</v>
      </c>
      <c r="H111" s="34" t="s">
        <v>261</v>
      </c>
      <c r="I111" s="34" t="s">
        <v>511</v>
      </c>
      <c r="J111" s="41" t="s">
        <v>16</v>
      </c>
      <c r="K111" s="20"/>
      <c r="L111" s="28">
        <v>272.5</v>
      </c>
      <c r="M111" s="19" t="str">
        <f>"228,3550"</f>
        <v>228,3550</v>
      </c>
      <c r="N111" s="7" t="s">
        <v>3391</v>
      </c>
    </row>
    <row r="113" spans="1:6" ht="18" x14ac:dyDescent="0.25">
      <c r="B113" s="8" t="s">
        <v>4022</v>
      </c>
      <c r="C113" s="8"/>
    </row>
    <row r="114" spans="1:6" ht="15" x14ac:dyDescent="0.2">
      <c r="B114" s="9" t="s">
        <v>283</v>
      </c>
      <c r="C114" s="9"/>
    </row>
    <row r="115" spans="1:6" ht="14.25" x14ac:dyDescent="0.2">
      <c r="B115" s="11"/>
      <c r="C115" s="12" t="s">
        <v>18</v>
      </c>
    </row>
    <row r="116" spans="1:6" ht="15" x14ac:dyDescent="0.2">
      <c r="B116" s="13" t="s">
        <v>0</v>
      </c>
      <c r="C116" s="13" t="s">
        <v>19</v>
      </c>
      <c r="D116" s="13" t="s">
        <v>20</v>
      </c>
      <c r="E116" s="13" t="s">
        <v>3593</v>
      </c>
      <c r="F116" s="13" t="s">
        <v>9</v>
      </c>
    </row>
    <row r="117" spans="1:6" x14ac:dyDescent="0.2">
      <c r="A117" s="43">
        <v>1</v>
      </c>
      <c r="B117" s="10" t="s">
        <v>101</v>
      </c>
      <c r="C117" s="18" t="s">
        <v>18</v>
      </c>
      <c r="D117" s="27" t="s">
        <v>86</v>
      </c>
      <c r="E117" s="27" t="s">
        <v>106</v>
      </c>
      <c r="F117" s="27" t="s">
        <v>514</v>
      </c>
    </row>
    <row r="118" spans="1:6" x14ac:dyDescent="0.2">
      <c r="A118" s="43">
        <v>2</v>
      </c>
      <c r="B118" s="10" t="s">
        <v>330</v>
      </c>
      <c r="C118" s="18" t="s">
        <v>18</v>
      </c>
      <c r="D118" s="27" t="s">
        <v>86</v>
      </c>
      <c r="E118" s="27" t="s">
        <v>25</v>
      </c>
      <c r="F118" s="27" t="s">
        <v>512</v>
      </c>
    </row>
    <row r="119" spans="1:6" x14ac:dyDescent="0.2">
      <c r="A119" s="43">
        <v>3</v>
      </c>
      <c r="B119" s="10" t="s">
        <v>340</v>
      </c>
      <c r="C119" s="18" t="s">
        <v>18</v>
      </c>
      <c r="D119" s="27" t="s">
        <v>68</v>
      </c>
      <c r="E119" s="27" t="s">
        <v>23</v>
      </c>
      <c r="F119" s="27" t="s">
        <v>513</v>
      </c>
    </row>
    <row r="120" spans="1:6" ht="15" x14ac:dyDescent="0.2">
      <c r="B120" s="9" t="s">
        <v>3499</v>
      </c>
      <c r="C120" s="9"/>
    </row>
    <row r="121" spans="1:6" ht="14.25" x14ac:dyDescent="0.2">
      <c r="B121" s="11"/>
      <c r="C121" s="12" t="s">
        <v>18</v>
      </c>
    </row>
    <row r="122" spans="1:6" ht="15" x14ac:dyDescent="0.2">
      <c r="B122" s="13" t="s">
        <v>0</v>
      </c>
      <c r="C122" s="13" t="s">
        <v>19</v>
      </c>
      <c r="D122" s="13" t="s">
        <v>20</v>
      </c>
      <c r="E122" s="13" t="s">
        <v>3593</v>
      </c>
      <c r="F122" s="13" t="s">
        <v>9</v>
      </c>
    </row>
    <row r="123" spans="1:6" x14ac:dyDescent="0.2">
      <c r="A123" s="43">
        <v>1</v>
      </c>
      <c r="B123" s="10" t="s">
        <v>371</v>
      </c>
      <c r="C123" s="18" t="s">
        <v>18</v>
      </c>
      <c r="D123" s="27" t="s">
        <v>68</v>
      </c>
      <c r="E123" s="27" t="s">
        <v>221</v>
      </c>
      <c r="F123" s="27" t="s">
        <v>516</v>
      </c>
    </row>
    <row r="124" spans="1:6" x14ac:dyDescent="0.2">
      <c r="A124" s="43">
        <v>2</v>
      </c>
      <c r="B124" s="10" t="s">
        <v>375</v>
      </c>
      <c r="C124" s="18" t="s">
        <v>18</v>
      </c>
      <c r="D124" s="27" t="s">
        <v>68</v>
      </c>
      <c r="E124" s="27" t="s">
        <v>220</v>
      </c>
      <c r="F124" s="27" t="s">
        <v>517</v>
      </c>
    </row>
    <row r="125" spans="1:6" x14ac:dyDescent="0.2">
      <c r="A125" s="43">
        <v>3</v>
      </c>
      <c r="B125" s="10" t="s">
        <v>443</v>
      </c>
      <c r="C125" s="18" t="s">
        <v>18</v>
      </c>
      <c r="D125" s="27" t="s">
        <v>46</v>
      </c>
      <c r="E125" s="27" t="s">
        <v>274</v>
      </c>
      <c r="F125" s="27" t="s">
        <v>518</v>
      </c>
    </row>
    <row r="127" spans="1:6" ht="14.25" x14ac:dyDescent="0.2">
      <c r="B127" s="11"/>
      <c r="C127" s="12" t="s">
        <v>310</v>
      </c>
    </row>
    <row r="128" spans="1:6" ht="15" x14ac:dyDescent="0.2">
      <c r="B128" s="13" t="s">
        <v>0</v>
      </c>
      <c r="C128" s="13" t="s">
        <v>19</v>
      </c>
      <c r="D128" s="13" t="s">
        <v>20</v>
      </c>
      <c r="E128" s="13" t="s">
        <v>3593</v>
      </c>
      <c r="F128" s="13" t="s">
        <v>9</v>
      </c>
    </row>
    <row r="129" spans="1:6" x14ac:dyDescent="0.2">
      <c r="A129" s="43">
        <v>1</v>
      </c>
      <c r="B129" s="10" t="s">
        <v>465</v>
      </c>
      <c r="C129" s="18" t="s">
        <v>520</v>
      </c>
      <c r="D129" s="27" t="s">
        <v>46</v>
      </c>
      <c r="E129" s="27" t="s">
        <v>253</v>
      </c>
      <c r="F129" s="27" t="s">
        <v>521</v>
      </c>
    </row>
    <row r="130" spans="1:6" x14ac:dyDescent="0.2">
      <c r="A130" s="43">
        <v>2</v>
      </c>
      <c r="B130" s="10" t="s">
        <v>375</v>
      </c>
      <c r="C130" s="18" t="s">
        <v>311</v>
      </c>
      <c r="D130" s="27" t="s">
        <v>68</v>
      </c>
      <c r="E130" s="27" t="s">
        <v>220</v>
      </c>
      <c r="F130" s="27" t="s">
        <v>522</v>
      </c>
    </row>
    <row r="131" spans="1:6" x14ac:dyDescent="0.2">
      <c r="A131" s="43">
        <v>3</v>
      </c>
      <c r="B131" s="10" t="s">
        <v>413</v>
      </c>
      <c r="C131" s="18" t="s">
        <v>313</v>
      </c>
      <c r="D131" s="27" t="s">
        <v>41</v>
      </c>
      <c r="E131" s="27" t="s">
        <v>144</v>
      </c>
      <c r="F131" s="27" t="s">
        <v>523</v>
      </c>
    </row>
  </sheetData>
  <mergeCells count="31">
    <mergeCell ref="A1:N1"/>
    <mergeCell ref="A2:N2"/>
    <mergeCell ref="A3:N3"/>
    <mergeCell ref="A4:A5"/>
    <mergeCell ref="B4:B5"/>
    <mergeCell ref="C4:C5"/>
    <mergeCell ref="D4:D5"/>
    <mergeCell ref="E4:E5"/>
    <mergeCell ref="F4:F5"/>
    <mergeCell ref="G4:G5"/>
    <mergeCell ref="H4:K4"/>
    <mergeCell ref="N4:N5"/>
    <mergeCell ref="B105:M105"/>
    <mergeCell ref="B110:M110"/>
    <mergeCell ref="B45:M45"/>
    <mergeCell ref="B54:M54"/>
    <mergeCell ref="B66:M66"/>
    <mergeCell ref="B77:M77"/>
    <mergeCell ref="B90:M90"/>
    <mergeCell ref="B101:M101"/>
    <mergeCell ref="B42:M42"/>
    <mergeCell ref="L4:L5"/>
    <mergeCell ref="M4:M5"/>
    <mergeCell ref="B25:M25"/>
    <mergeCell ref="B32:M32"/>
    <mergeCell ref="B35:M35"/>
    <mergeCell ref="B38:M38"/>
    <mergeCell ref="B6:M6"/>
    <mergeCell ref="B9:M9"/>
    <mergeCell ref="B13:M13"/>
    <mergeCell ref="B17:M17"/>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topLeftCell="B69" workbookViewId="0">
      <selection activeCell="F70" sqref="F70"/>
    </sheetView>
  </sheetViews>
  <sheetFormatPr defaultColWidth="8.7109375" defaultRowHeight="12.75" x14ac:dyDescent="0.2"/>
  <cols>
    <col min="1" max="1" width="6.85546875" style="43" bestFit="1" customWidth="1"/>
    <col min="2" max="2" width="35.7109375" style="6" bestFit="1" customWidth="1"/>
    <col min="3" max="3" width="33.42578125" style="6" bestFit="1" customWidth="1"/>
    <col min="4" max="4" width="8.5703125" style="6" bestFit="1" customWidth="1"/>
    <col min="5" max="5" width="7.5703125" style="6" bestFit="1" customWidth="1"/>
    <col min="6" max="6" width="20" style="6" bestFit="1" customWidth="1"/>
    <col min="7" max="7" width="46.28515625" style="6" bestFit="1" customWidth="1"/>
    <col min="8" max="11" width="6.42578125" style="27" bestFit="1" customWidth="1"/>
    <col min="12" max="12" width="6.42578125" style="32" bestFit="1" customWidth="1"/>
    <col min="13" max="13" width="9.85546875" style="27" bestFit="1" customWidth="1"/>
    <col min="14" max="14" width="28.7109375" style="6" bestFit="1" customWidth="1"/>
    <col min="258" max="258" width="38.28515625" bestFit="1" customWidth="1"/>
    <col min="259" max="259" width="30.85546875" bestFit="1" customWidth="1"/>
    <col min="260" max="260" width="7.7109375" bestFit="1" customWidth="1"/>
    <col min="261" max="261" width="6.7109375" bestFit="1" customWidth="1"/>
    <col min="262" max="262" width="19.85546875" bestFit="1" customWidth="1"/>
    <col min="263" max="263" width="36.5703125" bestFit="1" customWidth="1"/>
    <col min="264" max="267" width="5.5703125" bestFit="1" customWidth="1"/>
    <col min="268" max="268" width="6.7109375" bestFit="1" customWidth="1"/>
    <col min="269" max="269" width="8.5703125" bestFit="1" customWidth="1"/>
    <col min="270" max="270" width="30.85546875" bestFit="1" customWidth="1"/>
    <col min="514" max="514" width="38.28515625" bestFit="1" customWidth="1"/>
    <col min="515" max="515" width="30.85546875" bestFit="1" customWidth="1"/>
    <col min="516" max="516" width="7.7109375" bestFit="1" customWidth="1"/>
    <col min="517" max="517" width="6.7109375" bestFit="1" customWidth="1"/>
    <col min="518" max="518" width="19.85546875" bestFit="1" customWidth="1"/>
    <col min="519" max="519" width="36.5703125" bestFit="1" customWidth="1"/>
    <col min="520" max="523" width="5.5703125" bestFit="1" customWidth="1"/>
    <col min="524" max="524" width="6.7109375" bestFit="1" customWidth="1"/>
    <col min="525" max="525" width="8.5703125" bestFit="1" customWidth="1"/>
    <col min="526" max="526" width="30.85546875" bestFit="1" customWidth="1"/>
    <col min="770" max="770" width="38.28515625" bestFit="1" customWidth="1"/>
    <col min="771" max="771" width="30.85546875" bestFit="1" customWidth="1"/>
    <col min="772" max="772" width="7.7109375" bestFit="1" customWidth="1"/>
    <col min="773" max="773" width="6.7109375" bestFit="1" customWidth="1"/>
    <col min="774" max="774" width="19.85546875" bestFit="1" customWidth="1"/>
    <col min="775" max="775" width="36.5703125" bestFit="1" customWidth="1"/>
    <col min="776" max="779" width="5.5703125" bestFit="1" customWidth="1"/>
    <col min="780" max="780" width="6.7109375" bestFit="1" customWidth="1"/>
    <col min="781" max="781" width="8.5703125" bestFit="1" customWidth="1"/>
    <col min="782" max="782" width="30.85546875" bestFit="1" customWidth="1"/>
    <col min="1026" max="1026" width="38.28515625" bestFit="1" customWidth="1"/>
    <col min="1027" max="1027" width="30.85546875" bestFit="1" customWidth="1"/>
    <col min="1028" max="1028" width="7.7109375" bestFit="1" customWidth="1"/>
    <col min="1029" max="1029" width="6.7109375" bestFit="1" customWidth="1"/>
    <col min="1030" max="1030" width="19.85546875" bestFit="1" customWidth="1"/>
    <col min="1031" max="1031" width="36.5703125" bestFit="1" customWidth="1"/>
    <col min="1032" max="1035" width="5.5703125" bestFit="1" customWidth="1"/>
    <col min="1036" max="1036" width="6.7109375" bestFit="1" customWidth="1"/>
    <col min="1037" max="1037" width="8.5703125" bestFit="1" customWidth="1"/>
    <col min="1038" max="1038" width="30.85546875" bestFit="1" customWidth="1"/>
    <col min="1282" max="1282" width="38.28515625" bestFit="1" customWidth="1"/>
    <col min="1283" max="1283" width="30.85546875" bestFit="1" customWidth="1"/>
    <col min="1284" max="1284" width="7.7109375" bestFit="1" customWidth="1"/>
    <col min="1285" max="1285" width="6.7109375" bestFit="1" customWidth="1"/>
    <col min="1286" max="1286" width="19.85546875" bestFit="1" customWidth="1"/>
    <col min="1287" max="1287" width="36.5703125" bestFit="1" customWidth="1"/>
    <col min="1288" max="1291" width="5.5703125" bestFit="1" customWidth="1"/>
    <col min="1292" max="1292" width="6.7109375" bestFit="1" customWidth="1"/>
    <col min="1293" max="1293" width="8.5703125" bestFit="1" customWidth="1"/>
    <col min="1294" max="1294" width="30.85546875" bestFit="1" customWidth="1"/>
    <col min="1538" max="1538" width="38.28515625" bestFit="1" customWidth="1"/>
    <col min="1539" max="1539" width="30.85546875" bestFit="1" customWidth="1"/>
    <col min="1540" max="1540" width="7.7109375" bestFit="1" customWidth="1"/>
    <col min="1541" max="1541" width="6.7109375" bestFit="1" customWidth="1"/>
    <col min="1542" max="1542" width="19.85546875" bestFit="1" customWidth="1"/>
    <col min="1543" max="1543" width="36.5703125" bestFit="1" customWidth="1"/>
    <col min="1544" max="1547" width="5.5703125" bestFit="1" customWidth="1"/>
    <col min="1548" max="1548" width="6.7109375" bestFit="1" customWidth="1"/>
    <col min="1549" max="1549" width="8.5703125" bestFit="1" customWidth="1"/>
    <col min="1550" max="1550" width="30.85546875" bestFit="1" customWidth="1"/>
    <col min="1794" max="1794" width="38.28515625" bestFit="1" customWidth="1"/>
    <col min="1795" max="1795" width="30.85546875" bestFit="1" customWidth="1"/>
    <col min="1796" max="1796" width="7.7109375" bestFit="1" customWidth="1"/>
    <col min="1797" max="1797" width="6.7109375" bestFit="1" customWidth="1"/>
    <col min="1798" max="1798" width="19.85546875" bestFit="1" customWidth="1"/>
    <col min="1799" max="1799" width="36.5703125" bestFit="1" customWidth="1"/>
    <col min="1800" max="1803" width="5.5703125" bestFit="1" customWidth="1"/>
    <col min="1804" max="1804" width="6.7109375" bestFit="1" customWidth="1"/>
    <col min="1805" max="1805" width="8.5703125" bestFit="1" customWidth="1"/>
    <col min="1806" max="1806" width="30.85546875" bestFit="1" customWidth="1"/>
    <col min="2050" max="2050" width="38.28515625" bestFit="1" customWidth="1"/>
    <col min="2051" max="2051" width="30.85546875" bestFit="1" customWidth="1"/>
    <col min="2052" max="2052" width="7.7109375" bestFit="1" customWidth="1"/>
    <col min="2053" max="2053" width="6.7109375" bestFit="1" customWidth="1"/>
    <col min="2054" max="2054" width="19.85546875" bestFit="1" customWidth="1"/>
    <col min="2055" max="2055" width="36.5703125" bestFit="1" customWidth="1"/>
    <col min="2056" max="2059" width="5.5703125" bestFit="1" customWidth="1"/>
    <col min="2060" max="2060" width="6.7109375" bestFit="1" customWidth="1"/>
    <col min="2061" max="2061" width="8.5703125" bestFit="1" customWidth="1"/>
    <col min="2062" max="2062" width="30.85546875" bestFit="1" customWidth="1"/>
    <col min="2306" max="2306" width="38.28515625" bestFit="1" customWidth="1"/>
    <col min="2307" max="2307" width="30.85546875" bestFit="1" customWidth="1"/>
    <col min="2308" max="2308" width="7.7109375" bestFit="1" customWidth="1"/>
    <col min="2309" max="2309" width="6.7109375" bestFit="1" customWidth="1"/>
    <col min="2310" max="2310" width="19.85546875" bestFit="1" customWidth="1"/>
    <col min="2311" max="2311" width="36.5703125" bestFit="1" customWidth="1"/>
    <col min="2312" max="2315" width="5.5703125" bestFit="1" customWidth="1"/>
    <col min="2316" max="2316" width="6.7109375" bestFit="1" customWidth="1"/>
    <col min="2317" max="2317" width="8.5703125" bestFit="1" customWidth="1"/>
    <col min="2318" max="2318" width="30.85546875" bestFit="1" customWidth="1"/>
    <col min="2562" max="2562" width="38.28515625" bestFit="1" customWidth="1"/>
    <col min="2563" max="2563" width="30.85546875" bestFit="1" customWidth="1"/>
    <col min="2564" max="2564" width="7.7109375" bestFit="1" customWidth="1"/>
    <col min="2565" max="2565" width="6.7109375" bestFit="1" customWidth="1"/>
    <col min="2566" max="2566" width="19.85546875" bestFit="1" customWidth="1"/>
    <col min="2567" max="2567" width="36.5703125" bestFit="1" customWidth="1"/>
    <col min="2568" max="2571" width="5.5703125" bestFit="1" customWidth="1"/>
    <col min="2572" max="2572" width="6.7109375" bestFit="1" customWidth="1"/>
    <col min="2573" max="2573" width="8.5703125" bestFit="1" customWidth="1"/>
    <col min="2574" max="2574" width="30.85546875" bestFit="1" customWidth="1"/>
    <col min="2818" max="2818" width="38.28515625" bestFit="1" customWidth="1"/>
    <col min="2819" max="2819" width="30.85546875" bestFit="1" customWidth="1"/>
    <col min="2820" max="2820" width="7.7109375" bestFit="1" customWidth="1"/>
    <col min="2821" max="2821" width="6.7109375" bestFit="1" customWidth="1"/>
    <col min="2822" max="2822" width="19.85546875" bestFit="1" customWidth="1"/>
    <col min="2823" max="2823" width="36.5703125" bestFit="1" customWidth="1"/>
    <col min="2824" max="2827" width="5.5703125" bestFit="1" customWidth="1"/>
    <col min="2828" max="2828" width="6.7109375" bestFit="1" customWidth="1"/>
    <col min="2829" max="2829" width="8.5703125" bestFit="1" customWidth="1"/>
    <col min="2830" max="2830" width="30.85546875" bestFit="1" customWidth="1"/>
    <col min="3074" max="3074" width="38.28515625" bestFit="1" customWidth="1"/>
    <col min="3075" max="3075" width="30.85546875" bestFit="1" customWidth="1"/>
    <col min="3076" max="3076" width="7.7109375" bestFit="1" customWidth="1"/>
    <col min="3077" max="3077" width="6.7109375" bestFit="1" customWidth="1"/>
    <col min="3078" max="3078" width="19.85546875" bestFit="1" customWidth="1"/>
    <col min="3079" max="3079" width="36.5703125" bestFit="1" customWidth="1"/>
    <col min="3080" max="3083" width="5.5703125" bestFit="1" customWidth="1"/>
    <col min="3084" max="3084" width="6.7109375" bestFit="1" customWidth="1"/>
    <col min="3085" max="3085" width="8.5703125" bestFit="1" customWidth="1"/>
    <col min="3086" max="3086" width="30.85546875" bestFit="1" customWidth="1"/>
    <col min="3330" max="3330" width="38.28515625" bestFit="1" customWidth="1"/>
    <col min="3331" max="3331" width="30.85546875" bestFit="1" customWidth="1"/>
    <col min="3332" max="3332" width="7.7109375" bestFit="1" customWidth="1"/>
    <col min="3333" max="3333" width="6.7109375" bestFit="1" customWidth="1"/>
    <col min="3334" max="3334" width="19.85546875" bestFit="1" customWidth="1"/>
    <col min="3335" max="3335" width="36.5703125" bestFit="1" customWidth="1"/>
    <col min="3336" max="3339" width="5.5703125" bestFit="1" customWidth="1"/>
    <col min="3340" max="3340" width="6.7109375" bestFit="1" customWidth="1"/>
    <col min="3341" max="3341" width="8.5703125" bestFit="1" customWidth="1"/>
    <col min="3342" max="3342" width="30.85546875" bestFit="1" customWidth="1"/>
    <col min="3586" max="3586" width="38.28515625" bestFit="1" customWidth="1"/>
    <col min="3587" max="3587" width="30.85546875" bestFit="1" customWidth="1"/>
    <col min="3588" max="3588" width="7.7109375" bestFit="1" customWidth="1"/>
    <col min="3589" max="3589" width="6.7109375" bestFit="1" customWidth="1"/>
    <col min="3590" max="3590" width="19.85546875" bestFit="1" customWidth="1"/>
    <col min="3591" max="3591" width="36.5703125" bestFit="1" customWidth="1"/>
    <col min="3592" max="3595" width="5.5703125" bestFit="1" customWidth="1"/>
    <col min="3596" max="3596" width="6.7109375" bestFit="1" customWidth="1"/>
    <col min="3597" max="3597" width="8.5703125" bestFit="1" customWidth="1"/>
    <col min="3598" max="3598" width="30.85546875" bestFit="1" customWidth="1"/>
    <col min="3842" max="3842" width="38.28515625" bestFit="1" customWidth="1"/>
    <col min="3843" max="3843" width="30.85546875" bestFit="1" customWidth="1"/>
    <col min="3844" max="3844" width="7.7109375" bestFit="1" customWidth="1"/>
    <col min="3845" max="3845" width="6.7109375" bestFit="1" customWidth="1"/>
    <col min="3846" max="3846" width="19.85546875" bestFit="1" customWidth="1"/>
    <col min="3847" max="3847" width="36.5703125" bestFit="1" customWidth="1"/>
    <col min="3848" max="3851" width="5.5703125" bestFit="1" customWidth="1"/>
    <col min="3852" max="3852" width="6.7109375" bestFit="1" customWidth="1"/>
    <col min="3853" max="3853" width="8.5703125" bestFit="1" customWidth="1"/>
    <col min="3854" max="3854" width="30.85546875" bestFit="1" customWidth="1"/>
    <col min="4098" max="4098" width="38.28515625" bestFit="1" customWidth="1"/>
    <col min="4099" max="4099" width="30.85546875" bestFit="1" customWidth="1"/>
    <col min="4100" max="4100" width="7.7109375" bestFit="1" customWidth="1"/>
    <col min="4101" max="4101" width="6.7109375" bestFit="1" customWidth="1"/>
    <col min="4102" max="4102" width="19.85546875" bestFit="1" customWidth="1"/>
    <col min="4103" max="4103" width="36.5703125" bestFit="1" customWidth="1"/>
    <col min="4104" max="4107" width="5.5703125" bestFit="1" customWidth="1"/>
    <col min="4108" max="4108" width="6.7109375" bestFit="1" customWidth="1"/>
    <col min="4109" max="4109" width="8.5703125" bestFit="1" customWidth="1"/>
    <col min="4110" max="4110" width="30.85546875" bestFit="1" customWidth="1"/>
    <col min="4354" max="4354" width="38.28515625" bestFit="1" customWidth="1"/>
    <col min="4355" max="4355" width="30.85546875" bestFit="1" customWidth="1"/>
    <col min="4356" max="4356" width="7.7109375" bestFit="1" customWidth="1"/>
    <col min="4357" max="4357" width="6.7109375" bestFit="1" customWidth="1"/>
    <col min="4358" max="4358" width="19.85546875" bestFit="1" customWidth="1"/>
    <col min="4359" max="4359" width="36.5703125" bestFit="1" customWidth="1"/>
    <col min="4360" max="4363" width="5.5703125" bestFit="1" customWidth="1"/>
    <col min="4364" max="4364" width="6.7109375" bestFit="1" customWidth="1"/>
    <col min="4365" max="4365" width="8.5703125" bestFit="1" customWidth="1"/>
    <col min="4366" max="4366" width="30.85546875" bestFit="1" customWidth="1"/>
    <col min="4610" max="4610" width="38.28515625" bestFit="1" customWidth="1"/>
    <col min="4611" max="4611" width="30.85546875" bestFit="1" customWidth="1"/>
    <col min="4612" max="4612" width="7.7109375" bestFit="1" customWidth="1"/>
    <col min="4613" max="4613" width="6.7109375" bestFit="1" customWidth="1"/>
    <col min="4614" max="4614" width="19.85546875" bestFit="1" customWidth="1"/>
    <col min="4615" max="4615" width="36.5703125" bestFit="1" customWidth="1"/>
    <col min="4616" max="4619" width="5.5703125" bestFit="1" customWidth="1"/>
    <col min="4620" max="4620" width="6.7109375" bestFit="1" customWidth="1"/>
    <col min="4621" max="4621" width="8.5703125" bestFit="1" customWidth="1"/>
    <col min="4622" max="4622" width="30.85546875" bestFit="1" customWidth="1"/>
    <col min="4866" max="4866" width="38.28515625" bestFit="1" customWidth="1"/>
    <col min="4867" max="4867" width="30.85546875" bestFit="1" customWidth="1"/>
    <col min="4868" max="4868" width="7.7109375" bestFit="1" customWidth="1"/>
    <col min="4869" max="4869" width="6.7109375" bestFit="1" customWidth="1"/>
    <col min="4870" max="4870" width="19.85546875" bestFit="1" customWidth="1"/>
    <col min="4871" max="4871" width="36.5703125" bestFit="1" customWidth="1"/>
    <col min="4872" max="4875" width="5.5703125" bestFit="1" customWidth="1"/>
    <col min="4876" max="4876" width="6.7109375" bestFit="1" customWidth="1"/>
    <col min="4877" max="4877" width="8.5703125" bestFit="1" customWidth="1"/>
    <col min="4878" max="4878" width="30.85546875" bestFit="1" customWidth="1"/>
    <col min="5122" max="5122" width="38.28515625" bestFit="1" customWidth="1"/>
    <col min="5123" max="5123" width="30.85546875" bestFit="1" customWidth="1"/>
    <col min="5124" max="5124" width="7.7109375" bestFit="1" customWidth="1"/>
    <col min="5125" max="5125" width="6.7109375" bestFit="1" customWidth="1"/>
    <col min="5126" max="5126" width="19.85546875" bestFit="1" customWidth="1"/>
    <col min="5127" max="5127" width="36.5703125" bestFit="1" customWidth="1"/>
    <col min="5128" max="5131" width="5.5703125" bestFit="1" customWidth="1"/>
    <col min="5132" max="5132" width="6.7109375" bestFit="1" customWidth="1"/>
    <col min="5133" max="5133" width="8.5703125" bestFit="1" customWidth="1"/>
    <col min="5134" max="5134" width="30.85546875" bestFit="1" customWidth="1"/>
    <col min="5378" max="5378" width="38.28515625" bestFit="1" customWidth="1"/>
    <col min="5379" max="5379" width="30.85546875" bestFit="1" customWidth="1"/>
    <col min="5380" max="5380" width="7.7109375" bestFit="1" customWidth="1"/>
    <col min="5381" max="5381" width="6.7109375" bestFit="1" customWidth="1"/>
    <col min="5382" max="5382" width="19.85546875" bestFit="1" customWidth="1"/>
    <col min="5383" max="5383" width="36.5703125" bestFit="1" customWidth="1"/>
    <col min="5384" max="5387" width="5.5703125" bestFit="1" customWidth="1"/>
    <col min="5388" max="5388" width="6.7109375" bestFit="1" customWidth="1"/>
    <col min="5389" max="5389" width="8.5703125" bestFit="1" customWidth="1"/>
    <col min="5390" max="5390" width="30.85546875" bestFit="1" customWidth="1"/>
    <col min="5634" max="5634" width="38.28515625" bestFit="1" customWidth="1"/>
    <col min="5635" max="5635" width="30.85546875" bestFit="1" customWidth="1"/>
    <col min="5636" max="5636" width="7.7109375" bestFit="1" customWidth="1"/>
    <col min="5637" max="5637" width="6.7109375" bestFit="1" customWidth="1"/>
    <col min="5638" max="5638" width="19.85546875" bestFit="1" customWidth="1"/>
    <col min="5639" max="5639" width="36.5703125" bestFit="1" customWidth="1"/>
    <col min="5640" max="5643" width="5.5703125" bestFit="1" customWidth="1"/>
    <col min="5644" max="5644" width="6.7109375" bestFit="1" customWidth="1"/>
    <col min="5645" max="5645" width="8.5703125" bestFit="1" customWidth="1"/>
    <col min="5646" max="5646" width="30.85546875" bestFit="1" customWidth="1"/>
    <col min="5890" max="5890" width="38.28515625" bestFit="1" customWidth="1"/>
    <col min="5891" max="5891" width="30.85546875" bestFit="1" customWidth="1"/>
    <col min="5892" max="5892" width="7.7109375" bestFit="1" customWidth="1"/>
    <col min="5893" max="5893" width="6.7109375" bestFit="1" customWidth="1"/>
    <col min="5894" max="5894" width="19.85546875" bestFit="1" customWidth="1"/>
    <col min="5895" max="5895" width="36.5703125" bestFit="1" customWidth="1"/>
    <col min="5896" max="5899" width="5.5703125" bestFit="1" customWidth="1"/>
    <col min="5900" max="5900" width="6.7109375" bestFit="1" customWidth="1"/>
    <col min="5901" max="5901" width="8.5703125" bestFit="1" customWidth="1"/>
    <col min="5902" max="5902" width="30.85546875" bestFit="1" customWidth="1"/>
    <col min="6146" max="6146" width="38.28515625" bestFit="1" customWidth="1"/>
    <col min="6147" max="6147" width="30.85546875" bestFit="1" customWidth="1"/>
    <col min="6148" max="6148" width="7.7109375" bestFit="1" customWidth="1"/>
    <col min="6149" max="6149" width="6.7109375" bestFit="1" customWidth="1"/>
    <col min="6150" max="6150" width="19.85546875" bestFit="1" customWidth="1"/>
    <col min="6151" max="6151" width="36.5703125" bestFit="1" customWidth="1"/>
    <col min="6152" max="6155" width="5.5703125" bestFit="1" customWidth="1"/>
    <col min="6156" max="6156" width="6.7109375" bestFit="1" customWidth="1"/>
    <col min="6157" max="6157" width="8.5703125" bestFit="1" customWidth="1"/>
    <col min="6158" max="6158" width="30.85546875" bestFit="1" customWidth="1"/>
    <col min="6402" max="6402" width="38.28515625" bestFit="1" customWidth="1"/>
    <col min="6403" max="6403" width="30.85546875" bestFit="1" customWidth="1"/>
    <col min="6404" max="6404" width="7.7109375" bestFit="1" customWidth="1"/>
    <col min="6405" max="6405" width="6.7109375" bestFit="1" customWidth="1"/>
    <col min="6406" max="6406" width="19.85546875" bestFit="1" customWidth="1"/>
    <col min="6407" max="6407" width="36.5703125" bestFit="1" customWidth="1"/>
    <col min="6408" max="6411" width="5.5703125" bestFit="1" customWidth="1"/>
    <col min="6412" max="6412" width="6.7109375" bestFit="1" customWidth="1"/>
    <col min="6413" max="6413" width="8.5703125" bestFit="1" customWidth="1"/>
    <col min="6414" max="6414" width="30.85546875" bestFit="1" customWidth="1"/>
    <col min="6658" max="6658" width="38.28515625" bestFit="1" customWidth="1"/>
    <col min="6659" max="6659" width="30.85546875" bestFit="1" customWidth="1"/>
    <col min="6660" max="6660" width="7.7109375" bestFit="1" customWidth="1"/>
    <col min="6661" max="6661" width="6.7109375" bestFit="1" customWidth="1"/>
    <col min="6662" max="6662" width="19.85546875" bestFit="1" customWidth="1"/>
    <col min="6663" max="6663" width="36.5703125" bestFit="1" customWidth="1"/>
    <col min="6664" max="6667" width="5.5703125" bestFit="1" customWidth="1"/>
    <col min="6668" max="6668" width="6.7109375" bestFit="1" customWidth="1"/>
    <col min="6669" max="6669" width="8.5703125" bestFit="1" customWidth="1"/>
    <col min="6670" max="6670" width="30.85546875" bestFit="1" customWidth="1"/>
    <col min="6914" max="6914" width="38.28515625" bestFit="1" customWidth="1"/>
    <col min="6915" max="6915" width="30.85546875" bestFit="1" customWidth="1"/>
    <col min="6916" max="6916" width="7.7109375" bestFit="1" customWidth="1"/>
    <col min="6917" max="6917" width="6.7109375" bestFit="1" customWidth="1"/>
    <col min="6918" max="6918" width="19.85546875" bestFit="1" customWidth="1"/>
    <col min="6919" max="6919" width="36.5703125" bestFit="1" customWidth="1"/>
    <col min="6920" max="6923" width="5.5703125" bestFit="1" customWidth="1"/>
    <col min="6924" max="6924" width="6.7109375" bestFit="1" customWidth="1"/>
    <col min="6925" max="6925" width="8.5703125" bestFit="1" customWidth="1"/>
    <col min="6926" max="6926" width="30.85546875" bestFit="1" customWidth="1"/>
    <col min="7170" max="7170" width="38.28515625" bestFit="1" customWidth="1"/>
    <col min="7171" max="7171" width="30.85546875" bestFit="1" customWidth="1"/>
    <col min="7172" max="7172" width="7.7109375" bestFit="1" customWidth="1"/>
    <col min="7173" max="7173" width="6.7109375" bestFit="1" customWidth="1"/>
    <col min="7174" max="7174" width="19.85546875" bestFit="1" customWidth="1"/>
    <col min="7175" max="7175" width="36.5703125" bestFit="1" customWidth="1"/>
    <col min="7176" max="7179" width="5.5703125" bestFit="1" customWidth="1"/>
    <col min="7180" max="7180" width="6.7109375" bestFit="1" customWidth="1"/>
    <col min="7181" max="7181" width="8.5703125" bestFit="1" customWidth="1"/>
    <col min="7182" max="7182" width="30.85546875" bestFit="1" customWidth="1"/>
    <col min="7426" max="7426" width="38.28515625" bestFit="1" customWidth="1"/>
    <col min="7427" max="7427" width="30.85546875" bestFit="1" customWidth="1"/>
    <col min="7428" max="7428" width="7.7109375" bestFit="1" customWidth="1"/>
    <col min="7429" max="7429" width="6.7109375" bestFit="1" customWidth="1"/>
    <col min="7430" max="7430" width="19.85546875" bestFit="1" customWidth="1"/>
    <col min="7431" max="7431" width="36.5703125" bestFit="1" customWidth="1"/>
    <col min="7432" max="7435" width="5.5703125" bestFit="1" customWidth="1"/>
    <col min="7436" max="7436" width="6.7109375" bestFit="1" customWidth="1"/>
    <col min="7437" max="7437" width="8.5703125" bestFit="1" customWidth="1"/>
    <col min="7438" max="7438" width="30.85546875" bestFit="1" customWidth="1"/>
    <col min="7682" max="7682" width="38.28515625" bestFit="1" customWidth="1"/>
    <col min="7683" max="7683" width="30.85546875" bestFit="1" customWidth="1"/>
    <col min="7684" max="7684" width="7.7109375" bestFit="1" customWidth="1"/>
    <col min="7685" max="7685" width="6.7109375" bestFit="1" customWidth="1"/>
    <col min="7686" max="7686" width="19.85546875" bestFit="1" customWidth="1"/>
    <col min="7687" max="7687" width="36.5703125" bestFit="1" customWidth="1"/>
    <col min="7688" max="7691" width="5.5703125" bestFit="1" customWidth="1"/>
    <col min="7692" max="7692" width="6.7109375" bestFit="1" customWidth="1"/>
    <col min="7693" max="7693" width="8.5703125" bestFit="1" customWidth="1"/>
    <col min="7694" max="7694" width="30.85546875" bestFit="1" customWidth="1"/>
    <col min="7938" max="7938" width="38.28515625" bestFit="1" customWidth="1"/>
    <col min="7939" max="7939" width="30.85546875" bestFit="1" customWidth="1"/>
    <col min="7940" max="7940" width="7.7109375" bestFit="1" customWidth="1"/>
    <col min="7941" max="7941" width="6.7109375" bestFit="1" customWidth="1"/>
    <col min="7942" max="7942" width="19.85546875" bestFit="1" customWidth="1"/>
    <col min="7943" max="7943" width="36.5703125" bestFit="1" customWidth="1"/>
    <col min="7944" max="7947" width="5.5703125" bestFit="1" customWidth="1"/>
    <col min="7948" max="7948" width="6.7109375" bestFit="1" customWidth="1"/>
    <col min="7949" max="7949" width="8.5703125" bestFit="1" customWidth="1"/>
    <col min="7950" max="7950" width="30.85546875" bestFit="1" customWidth="1"/>
    <col min="8194" max="8194" width="38.28515625" bestFit="1" customWidth="1"/>
    <col min="8195" max="8195" width="30.85546875" bestFit="1" customWidth="1"/>
    <col min="8196" max="8196" width="7.7109375" bestFit="1" customWidth="1"/>
    <col min="8197" max="8197" width="6.7109375" bestFit="1" customWidth="1"/>
    <col min="8198" max="8198" width="19.85546875" bestFit="1" customWidth="1"/>
    <col min="8199" max="8199" width="36.5703125" bestFit="1" customWidth="1"/>
    <col min="8200" max="8203" width="5.5703125" bestFit="1" customWidth="1"/>
    <col min="8204" max="8204" width="6.7109375" bestFit="1" customWidth="1"/>
    <col min="8205" max="8205" width="8.5703125" bestFit="1" customWidth="1"/>
    <col min="8206" max="8206" width="30.85546875" bestFit="1" customWidth="1"/>
    <col min="8450" max="8450" width="38.28515625" bestFit="1" customWidth="1"/>
    <col min="8451" max="8451" width="30.85546875" bestFit="1" customWidth="1"/>
    <col min="8452" max="8452" width="7.7109375" bestFit="1" customWidth="1"/>
    <col min="8453" max="8453" width="6.7109375" bestFit="1" customWidth="1"/>
    <col min="8454" max="8454" width="19.85546875" bestFit="1" customWidth="1"/>
    <col min="8455" max="8455" width="36.5703125" bestFit="1" customWidth="1"/>
    <col min="8456" max="8459" width="5.5703125" bestFit="1" customWidth="1"/>
    <col min="8460" max="8460" width="6.7109375" bestFit="1" customWidth="1"/>
    <col min="8461" max="8461" width="8.5703125" bestFit="1" customWidth="1"/>
    <col min="8462" max="8462" width="30.85546875" bestFit="1" customWidth="1"/>
    <col min="8706" max="8706" width="38.28515625" bestFit="1" customWidth="1"/>
    <col min="8707" max="8707" width="30.85546875" bestFit="1" customWidth="1"/>
    <col min="8708" max="8708" width="7.7109375" bestFit="1" customWidth="1"/>
    <col min="8709" max="8709" width="6.7109375" bestFit="1" customWidth="1"/>
    <col min="8710" max="8710" width="19.85546875" bestFit="1" customWidth="1"/>
    <col min="8711" max="8711" width="36.5703125" bestFit="1" customWidth="1"/>
    <col min="8712" max="8715" width="5.5703125" bestFit="1" customWidth="1"/>
    <col min="8716" max="8716" width="6.7109375" bestFit="1" customWidth="1"/>
    <col min="8717" max="8717" width="8.5703125" bestFit="1" customWidth="1"/>
    <col min="8718" max="8718" width="30.85546875" bestFit="1" customWidth="1"/>
    <col min="8962" max="8962" width="38.28515625" bestFit="1" customWidth="1"/>
    <col min="8963" max="8963" width="30.85546875" bestFit="1" customWidth="1"/>
    <col min="8964" max="8964" width="7.7109375" bestFit="1" customWidth="1"/>
    <col min="8965" max="8965" width="6.7109375" bestFit="1" customWidth="1"/>
    <col min="8966" max="8966" width="19.85546875" bestFit="1" customWidth="1"/>
    <col min="8967" max="8967" width="36.5703125" bestFit="1" customWidth="1"/>
    <col min="8968" max="8971" width="5.5703125" bestFit="1" customWidth="1"/>
    <col min="8972" max="8972" width="6.7109375" bestFit="1" customWidth="1"/>
    <col min="8973" max="8973" width="8.5703125" bestFit="1" customWidth="1"/>
    <col min="8974" max="8974" width="30.85546875" bestFit="1" customWidth="1"/>
    <col min="9218" max="9218" width="38.28515625" bestFit="1" customWidth="1"/>
    <col min="9219" max="9219" width="30.85546875" bestFit="1" customWidth="1"/>
    <col min="9220" max="9220" width="7.7109375" bestFit="1" customWidth="1"/>
    <col min="9221" max="9221" width="6.7109375" bestFit="1" customWidth="1"/>
    <col min="9222" max="9222" width="19.85546875" bestFit="1" customWidth="1"/>
    <col min="9223" max="9223" width="36.5703125" bestFit="1" customWidth="1"/>
    <col min="9224" max="9227" width="5.5703125" bestFit="1" customWidth="1"/>
    <col min="9228" max="9228" width="6.7109375" bestFit="1" customWidth="1"/>
    <col min="9229" max="9229" width="8.5703125" bestFit="1" customWidth="1"/>
    <col min="9230" max="9230" width="30.85546875" bestFit="1" customWidth="1"/>
    <col min="9474" max="9474" width="38.28515625" bestFit="1" customWidth="1"/>
    <col min="9475" max="9475" width="30.85546875" bestFit="1" customWidth="1"/>
    <col min="9476" max="9476" width="7.7109375" bestFit="1" customWidth="1"/>
    <col min="9477" max="9477" width="6.7109375" bestFit="1" customWidth="1"/>
    <col min="9478" max="9478" width="19.85546875" bestFit="1" customWidth="1"/>
    <col min="9479" max="9479" width="36.5703125" bestFit="1" customWidth="1"/>
    <col min="9480" max="9483" width="5.5703125" bestFit="1" customWidth="1"/>
    <col min="9484" max="9484" width="6.7109375" bestFit="1" customWidth="1"/>
    <col min="9485" max="9485" width="8.5703125" bestFit="1" customWidth="1"/>
    <col min="9486" max="9486" width="30.85546875" bestFit="1" customWidth="1"/>
    <col min="9730" max="9730" width="38.28515625" bestFit="1" customWidth="1"/>
    <col min="9731" max="9731" width="30.85546875" bestFit="1" customWidth="1"/>
    <col min="9732" max="9732" width="7.7109375" bestFit="1" customWidth="1"/>
    <col min="9733" max="9733" width="6.7109375" bestFit="1" customWidth="1"/>
    <col min="9734" max="9734" width="19.85546875" bestFit="1" customWidth="1"/>
    <col min="9735" max="9735" width="36.5703125" bestFit="1" customWidth="1"/>
    <col min="9736" max="9739" width="5.5703125" bestFit="1" customWidth="1"/>
    <col min="9740" max="9740" width="6.7109375" bestFit="1" customWidth="1"/>
    <col min="9741" max="9741" width="8.5703125" bestFit="1" customWidth="1"/>
    <col min="9742" max="9742" width="30.85546875" bestFit="1" customWidth="1"/>
    <col min="9986" max="9986" width="38.28515625" bestFit="1" customWidth="1"/>
    <col min="9987" max="9987" width="30.85546875" bestFit="1" customWidth="1"/>
    <col min="9988" max="9988" width="7.7109375" bestFit="1" customWidth="1"/>
    <col min="9989" max="9989" width="6.7109375" bestFit="1" customWidth="1"/>
    <col min="9990" max="9990" width="19.85546875" bestFit="1" customWidth="1"/>
    <col min="9991" max="9991" width="36.5703125" bestFit="1" customWidth="1"/>
    <col min="9992" max="9995" width="5.5703125" bestFit="1" customWidth="1"/>
    <col min="9996" max="9996" width="6.7109375" bestFit="1" customWidth="1"/>
    <col min="9997" max="9997" width="8.5703125" bestFit="1" customWidth="1"/>
    <col min="9998" max="9998" width="30.85546875" bestFit="1" customWidth="1"/>
    <col min="10242" max="10242" width="38.28515625" bestFit="1" customWidth="1"/>
    <col min="10243" max="10243" width="30.85546875" bestFit="1" customWidth="1"/>
    <col min="10244" max="10244" width="7.7109375" bestFit="1" customWidth="1"/>
    <col min="10245" max="10245" width="6.7109375" bestFit="1" customWidth="1"/>
    <col min="10246" max="10246" width="19.85546875" bestFit="1" customWidth="1"/>
    <col min="10247" max="10247" width="36.5703125" bestFit="1" customWidth="1"/>
    <col min="10248" max="10251" width="5.5703125" bestFit="1" customWidth="1"/>
    <col min="10252" max="10252" width="6.7109375" bestFit="1" customWidth="1"/>
    <col min="10253" max="10253" width="8.5703125" bestFit="1" customWidth="1"/>
    <col min="10254" max="10254" width="30.85546875" bestFit="1" customWidth="1"/>
    <col min="10498" max="10498" width="38.28515625" bestFit="1" customWidth="1"/>
    <col min="10499" max="10499" width="30.85546875" bestFit="1" customWidth="1"/>
    <col min="10500" max="10500" width="7.7109375" bestFit="1" customWidth="1"/>
    <col min="10501" max="10501" width="6.7109375" bestFit="1" customWidth="1"/>
    <col min="10502" max="10502" width="19.85546875" bestFit="1" customWidth="1"/>
    <col min="10503" max="10503" width="36.5703125" bestFit="1" customWidth="1"/>
    <col min="10504" max="10507" width="5.5703125" bestFit="1" customWidth="1"/>
    <col min="10508" max="10508" width="6.7109375" bestFit="1" customWidth="1"/>
    <col min="10509" max="10509" width="8.5703125" bestFit="1" customWidth="1"/>
    <col min="10510" max="10510" width="30.85546875" bestFit="1" customWidth="1"/>
    <col min="10754" max="10754" width="38.28515625" bestFit="1" customWidth="1"/>
    <col min="10755" max="10755" width="30.85546875" bestFit="1" customWidth="1"/>
    <col min="10756" max="10756" width="7.7109375" bestFit="1" customWidth="1"/>
    <col min="10757" max="10757" width="6.7109375" bestFit="1" customWidth="1"/>
    <col min="10758" max="10758" width="19.85546875" bestFit="1" customWidth="1"/>
    <col min="10759" max="10759" width="36.5703125" bestFit="1" customWidth="1"/>
    <col min="10760" max="10763" width="5.5703125" bestFit="1" customWidth="1"/>
    <col min="10764" max="10764" width="6.7109375" bestFit="1" customWidth="1"/>
    <col min="10765" max="10765" width="8.5703125" bestFit="1" customWidth="1"/>
    <col min="10766" max="10766" width="30.85546875" bestFit="1" customWidth="1"/>
    <col min="11010" max="11010" width="38.28515625" bestFit="1" customWidth="1"/>
    <col min="11011" max="11011" width="30.85546875" bestFit="1" customWidth="1"/>
    <col min="11012" max="11012" width="7.7109375" bestFit="1" customWidth="1"/>
    <col min="11013" max="11013" width="6.7109375" bestFit="1" customWidth="1"/>
    <col min="11014" max="11014" width="19.85546875" bestFit="1" customWidth="1"/>
    <col min="11015" max="11015" width="36.5703125" bestFit="1" customWidth="1"/>
    <col min="11016" max="11019" width="5.5703125" bestFit="1" customWidth="1"/>
    <col min="11020" max="11020" width="6.7109375" bestFit="1" customWidth="1"/>
    <col min="11021" max="11021" width="8.5703125" bestFit="1" customWidth="1"/>
    <col min="11022" max="11022" width="30.85546875" bestFit="1" customWidth="1"/>
    <col min="11266" max="11266" width="38.28515625" bestFit="1" customWidth="1"/>
    <col min="11267" max="11267" width="30.85546875" bestFit="1" customWidth="1"/>
    <col min="11268" max="11268" width="7.7109375" bestFit="1" customWidth="1"/>
    <col min="11269" max="11269" width="6.7109375" bestFit="1" customWidth="1"/>
    <col min="11270" max="11270" width="19.85546875" bestFit="1" customWidth="1"/>
    <col min="11271" max="11271" width="36.5703125" bestFit="1" customWidth="1"/>
    <col min="11272" max="11275" width="5.5703125" bestFit="1" customWidth="1"/>
    <col min="11276" max="11276" width="6.7109375" bestFit="1" customWidth="1"/>
    <col min="11277" max="11277" width="8.5703125" bestFit="1" customWidth="1"/>
    <col min="11278" max="11278" width="30.85546875" bestFit="1" customWidth="1"/>
    <col min="11522" max="11522" width="38.28515625" bestFit="1" customWidth="1"/>
    <col min="11523" max="11523" width="30.85546875" bestFit="1" customWidth="1"/>
    <col min="11524" max="11524" width="7.7109375" bestFit="1" customWidth="1"/>
    <col min="11525" max="11525" width="6.7109375" bestFit="1" customWidth="1"/>
    <col min="11526" max="11526" width="19.85546875" bestFit="1" customWidth="1"/>
    <col min="11527" max="11527" width="36.5703125" bestFit="1" customWidth="1"/>
    <col min="11528" max="11531" width="5.5703125" bestFit="1" customWidth="1"/>
    <col min="11532" max="11532" width="6.7109375" bestFit="1" customWidth="1"/>
    <col min="11533" max="11533" width="8.5703125" bestFit="1" customWidth="1"/>
    <col min="11534" max="11534" width="30.85546875" bestFit="1" customWidth="1"/>
    <col min="11778" max="11778" width="38.28515625" bestFit="1" customWidth="1"/>
    <col min="11779" max="11779" width="30.85546875" bestFit="1" customWidth="1"/>
    <col min="11780" max="11780" width="7.7109375" bestFit="1" customWidth="1"/>
    <col min="11781" max="11781" width="6.7109375" bestFit="1" customWidth="1"/>
    <col min="11782" max="11782" width="19.85546875" bestFit="1" customWidth="1"/>
    <col min="11783" max="11783" width="36.5703125" bestFit="1" customWidth="1"/>
    <col min="11784" max="11787" width="5.5703125" bestFit="1" customWidth="1"/>
    <col min="11788" max="11788" width="6.7109375" bestFit="1" customWidth="1"/>
    <col min="11789" max="11789" width="8.5703125" bestFit="1" customWidth="1"/>
    <col min="11790" max="11790" width="30.85546875" bestFit="1" customWidth="1"/>
    <col min="12034" max="12034" width="38.28515625" bestFit="1" customWidth="1"/>
    <col min="12035" max="12035" width="30.85546875" bestFit="1" customWidth="1"/>
    <col min="12036" max="12036" width="7.7109375" bestFit="1" customWidth="1"/>
    <col min="12037" max="12037" width="6.7109375" bestFit="1" customWidth="1"/>
    <col min="12038" max="12038" width="19.85546875" bestFit="1" customWidth="1"/>
    <col min="12039" max="12039" width="36.5703125" bestFit="1" customWidth="1"/>
    <col min="12040" max="12043" width="5.5703125" bestFit="1" customWidth="1"/>
    <col min="12044" max="12044" width="6.7109375" bestFit="1" customWidth="1"/>
    <col min="12045" max="12045" width="8.5703125" bestFit="1" customWidth="1"/>
    <col min="12046" max="12046" width="30.85546875" bestFit="1" customWidth="1"/>
    <col min="12290" max="12290" width="38.28515625" bestFit="1" customWidth="1"/>
    <col min="12291" max="12291" width="30.85546875" bestFit="1" customWidth="1"/>
    <col min="12292" max="12292" width="7.7109375" bestFit="1" customWidth="1"/>
    <col min="12293" max="12293" width="6.7109375" bestFit="1" customWidth="1"/>
    <col min="12294" max="12294" width="19.85546875" bestFit="1" customWidth="1"/>
    <col min="12295" max="12295" width="36.5703125" bestFit="1" customWidth="1"/>
    <col min="12296" max="12299" width="5.5703125" bestFit="1" customWidth="1"/>
    <col min="12300" max="12300" width="6.7109375" bestFit="1" customWidth="1"/>
    <col min="12301" max="12301" width="8.5703125" bestFit="1" customWidth="1"/>
    <col min="12302" max="12302" width="30.85546875" bestFit="1" customWidth="1"/>
    <col min="12546" max="12546" width="38.28515625" bestFit="1" customWidth="1"/>
    <col min="12547" max="12547" width="30.85546875" bestFit="1" customWidth="1"/>
    <col min="12548" max="12548" width="7.7109375" bestFit="1" customWidth="1"/>
    <col min="12549" max="12549" width="6.7109375" bestFit="1" customWidth="1"/>
    <col min="12550" max="12550" width="19.85546875" bestFit="1" customWidth="1"/>
    <col min="12551" max="12551" width="36.5703125" bestFit="1" customWidth="1"/>
    <col min="12552" max="12555" width="5.5703125" bestFit="1" customWidth="1"/>
    <col min="12556" max="12556" width="6.7109375" bestFit="1" customWidth="1"/>
    <col min="12557" max="12557" width="8.5703125" bestFit="1" customWidth="1"/>
    <col min="12558" max="12558" width="30.85546875" bestFit="1" customWidth="1"/>
    <col min="12802" max="12802" width="38.28515625" bestFit="1" customWidth="1"/>
    <col min="12803" max="12803" width="30.85546875" bestFit="1" customWidth="1"/>
    <col min="12804" max="12804" width="7.7109375" bestFit="1" customWidth="1"/>
    <col min="12805" max="12805" width="6.7109375" bestFit="1" customWidth="1"/>
    <col min="12806" max="12806" width="19.85546875" bestFit="1" customWidth="1"/>
    <col min="12807" max="12807" width="36.5703125" bestFit="1" customWidth="1"/>
    <col min="12808" max="12811" width="5.5703125" bestFit="1" customWidth="1"/>
    <col min="12812" max="12812" width="6.7109375" bestFit="1" customWidth="1"/>
    <col min="12813" max="12813" width="8.5703125" bestFit="1" customWidth="1"/>
    <col min="12814" max="12814" width="30.85546875" bestFit="1" customWidth="1"/>
    <col min="13058" max="13058" width="38.28515625" bestFit="1" customWidth="1"/>
    <col min="13059" max="13059" width="30.85546875" bestFit="1" customWidth="1"/>
    <col min="13060" max="13060" width="7.7109375" bestFit="1" customWidth="1"/>
    <col min="13061" max="13061" width="6.7109375" bestFit="1" customWidth="1"/>
    <col min="13062" max="13062" width="19.85546875" bestFit="1" customWidth="1"/>
    <col min="13063" max="13063" width="36.5703125" bestFit="1" customWidth="1"/>
    <col min="13064" max="13067" width="5.5703125" bestFit="1" customWidth="1"/>
    <col min="13068" max="13068" width="6.7109375" bestFit="1" customWidth="1"/>
    <col min="13069" max="13069" width="8.5703125" bestFit="1" customWidth="1"/>
    <col min="13070" max="13070" width="30.85546875" bestFit="1" customWidth="1"/>
    <col min="13314" max="13314" width="38.28515625" bestFit="1" customWidth="1"/>
    <col min="13315" max="13315" width="30.85546875" bestFit="1" customWidth="1"/>
    <col min="13316" max="13316" width="7.7109375" bestFit="1" customWidth="1"/>
    <col min="13317" max="13317" width="6.7109375" bestFit="1" customWidth="1"/>
    <col min="13318" max="13318" width="19.85546875" bestFit="1" customWidth="1"/>
    <col min="13319" max="13319" width="36.5703125" bestFit="1" customWidth="1"/>
    <col min="13320" max="13323" width="5.5703125" bestFit="1" customWidth="1"/>
    <col min="13324" max="13324" width="6.7109375" bestFit="1" customWidth="1"/>
    <col min="13325" max="13325" width="8.5703125" bestFit="1" customWidth="1"/>
    <col min="13326" max="13326" width="30.85546875" bestFit="1" customWidth="1"/>
    <col min="13570" max="13570" width="38.28515625" bestFit="1" customWidth="1"/>
    <col min="13571" max="13571" width="30.85546875" bestFit="1" customWidth="1"/>
    <col min="13572" max="13572" width="7.7109375" bestFit="1" customWidth="1"/>
    <col min="13573" max="13573" width="6.7109375" bestFit="1" customWidth="1"/>
    <col min="13574" max="13574" width="19.85546875" bestFit="1" customWidth="1"/>
    <col min="13575" max="13575" width="36.5703125" bestFit="1" customWidth="1"/>
    <col min="13576" max="13579" width="5.5703125" bestFit="1" customWidth="1"/>
    <col min="13580" max="13580" width="6.7109375" bestFit="1" customWidth="1"/>
    <col min="13581" max="13581" width="8.5703125" bestFit="1" customWidth="1"/>
    <col min="13582" max="13582" width="30.85546875" bestFit="1" customWidth="1"/>
    <col min="13826" max="13826" width="38.28515625" bestFit="1" customWidth="1"/>
    <col min="13827" max="13827" width="30.85546875" bestFit="1" customWidth="1"/>
    <col min="13828" max="13828" width="7.7109375" bestFit="1" customWidth="1"/>
    <col min="13829" max="13829" width="6.7109375" bestFit="1" customWidth="1"/>
    <col min="13830" max="13830" width="19.85546875" bestFit="1" customWidth="1"/>
    <col min="13831" max="13831" width="36.5703125" bestFit="1" customWidth="1"/>
    <col min="13832" max="13835" width="5.5703125" bestFit="1" customWidth="1"/>
    <col min="13836" max="13836" width="6.7109375" bestFit="1" customWidth="1"/>
    <col min="13837" max="13837" width="8.5703125" bestFit="1" customWidth="1"/>
    <col min="13838" max="13838" width="30.85546875" bestFit="1" customWidth="1"/>
    <col min="14082" max="14082" width="38.28515625" bestFit="1" customWidth="1"/>
    <col min="14083" max="14083" width="30.85546875" bestFit="1" customWidth="1"/>
    <col min="14084" max="14084" width="7.7109375" bestFit="1" customWidth="1"/>
    <col min="14085" max="14085" width="6.7109375" bestFit="1" customWidth="1"/>
    <col min="14086" max="14086" width="19.85546875" bestFit="1" customWidth="1"/>
    <col min="14087" max="14087" width="36.5703125" bestFit="1" customWidth="1"/>
    <col min="14088" max="14091" width="5.5703125" bestFit="1" customWidth="1"/>
    <col min="14092" max="14092" width="6.7109375" bestFit="1" customWidth="1"/>
    <col min="14093" max="14093" width="8.5703125" bestFit="1" customWidth="1"/>
    <col min="14094" max="14094" width="30.85546875" bestFit="1" customWidth="1"/>
    <col min="14338" max="14338" width="38.28515625" bestFit="1" customWidth="1"/>
    <col min="14339" max="14339" width="30.85546875" bestFit="1" customWidth="1"/>
    <col min="14340" max="14340" width="7.7109375" bestFit="1" customWidth="1"/>
    <col min="14341" max="14341" width="6.7109375" bestFit="1" customWidth="1"/>
    <col min="14342" max="14342" width="19.85546875" bestFit="1" customWidth="1"/>
    <col min="14343" max="14343" width="36.5703125" bestFit="1" customWidth="1"/>
    <col min="14344" max="14347" width="5.5703125" bestFit="1" customWidth="1"/>
    <col min="14348" max="14348" width="6.7109375" bestFit="1" customWidth="1"/>
    <col min="14349" max="14349" width="8.5703125" bestFit="1" customWidth="1"/>
    <col min="14350" max="14350" width="30.85546875" bestFit="1" customWidth="1"/>
    <col min="14594" max="14594" width="38.28515625" bestFit="1" customWidth="1"/>
    <col min="14595" max="14595" width="30.85546875" bestFit="1" customWidth="1"/>
    <col min="14596" max="14596" width="7.7109375" bestFit="1" customWidth="1"/>
    <col min="14597" max="14597" width="6.7109375" bestFit="1" customWidth="1"/>
    <col min="14598" max="14598" width="19.85546875" bestFit="1" customWidth="1"/>
    <col min="14599" max="14599" width="36.5703125" bestFit="1" customWidth="1"/>
    <col min="14600" max="14603" width="5.5703125" bestFit="1" customWidth="1"/>
    <col min="14604" max="14604" width="6.7109375" bestFit="1" customWidth="1"/>
    <col min="14605" max="14605" width="8.5703125" bestFit="1" customWidth="1"/>
    <col min="14606" max="14606" width="30.85546875" bestFit="1" customWidth="1"/>
    <col min="14850" max="14850" width="38.28515625" bestFit="1" customWidth="1"/>
    <col min="14851" max="14851" width="30.85546875" bestFit="1" customWidth="1"/>
    <col min="14852" max="14852" width="7.7109375" bestFit="1" customWidth="1"/>
    <col min="14853" max="14853" width="6.7109375" bestFit="1" customWidth="1"/>
    <col min="14854" max="14854" width="19.85546875" bestFit="1" customWidth="1"/>
    <col min="14855" max="14855" width="36.5703125" bestFit="1" customWidth="1"/>
    <col min="14856" max="14859" width="5.5703125" bestFit="1" customWidth="1"/>
    <col min="14860" max="14860" width="6.7109375" bestFit="1" customWidth="1"/>
    <col min="14861" max="14861" width="8.5703125" bestFit="1" customWidth="1"/>
    <col min="14862" max="14862" width="30.85546875" bestFit="1" customWidth="1"/>
    <col min="15106" max="15106" width="38.28515625" bestFit="1" customWidth="1"/>
    <col min="15107" max="15107" width="30.85546875" bestFit="1" customWidth="1"/>
    <col min="15108" max="15108" width="7.7109375" bestFit="1" customWidth="1"/>
    <col min="15109" max="15109" width="6.7109375" bestFit="1" customWidth="1"/>
    <col min="15110" max="15110" width="19.85546875" bestFit="1" customWidth="1"/>
    <col min="15111" max="15111" width="36.5703125" bestFit="1" customWidth="1"/>
    <col min="15112" max="15115" width="5.5703125" bestFit="1" customWidth="1"/>
    <col min="15116" max="15116" width="6.7109375" bestFit="1" customWidth="1"/>
    <col min="15117" max="15117" width="8.5703125" bestFit="1" customWidth="1"/>
    <col min="15118" max="15118" width="30.85546875" bestFit="1" customWidth="1"/>
    <col min="15362" max="15362" width="38.28515625" bestFit="1" customWidth="1"/>
    <col min="15363" max="15363" width="30.85546875" bestFit="1" customWidth="1"/>
    <col min="15364" max="15364" width="7.7109375" bestFit="1" customWidth="1"/>
    <col min="15365" max="15365" width="6.7109375" bestFit="1" customWidth="1"/>
    <col min="15366" max="15366" width="19.85546875" bestFit="1" customWidth="1"/>
    <col min="15367" max="15367" width="36.5703125" bestFit="1" customWidth="1"/>
    <col min="15368" max="15371" width="5.5703125" bestFit="1" customWidth="1"/>
    <col min="15372" max="15372" width="6.7109375" bestFit="1" customWidth="1"/>
    <col min="15373" max="15373" width="8.5703125" bestFit="1" customWidth="1"/>
    <col min="15374" max="15374" width="30.85546875" bestFit="1" customWidth="1"/>
    <col min="15618" max="15618" width="38.28515625" bestFit="1" customWidth="1"/>
    <col min="15619" max="15619" width="30.85546875" bestFit="1" customWidth="1"/>
    <col min="15620" max="15620" width="7.7109375" bestFit="1" customWidth="1"/>
    <col min="15621" max="15621" width="6.7109375" bestFit="1" customWidth="1"/>
    <col min="15622" max="15622" width="19.85546875" bestFit="1" customWidth="1"/>
    <col min="15623" max="15623" width="36.5703125" bestFit="1" customWidth="1"/>
    <col min="15624" max="15627" width="5.5703125" bestFit="1" customWidth="1"/>
    <col min="15628" max="15628" width="6.7109375" bestFit="1" customWidth="1"/>
    <col min="15629" max="15629" width="8.5703125" bestFit="1" customWidth="1"/>
    <col min="15630" max="15630" width="30.85546875" bestFit="1" customWidth="1"/>
    <col min="15874" max="15874" width="38.28515625" bestFit="1" customWidth="1"/>
    <col min="15875" max="15875" width="30.85546875" bestFit="1" customWidth="1"/>
    <col min="15876" max="15876" width="7.7109375" bestFit="1" customWidth="1"/>
    <col min="15877" max="15877" width="6.7109375" bestFit="1" customWidth="1"/>
    <col min="15878" max="15878" width="19.85546875" bestFit="1" customWidth="1"/>
    <col min="15879" max="15879" width="36.5703125" bestFit="1" customWidth="1"/>
    <col min="15880" max="15883" width="5.5703125" bestFit="1" customWidth="1"/>
    <col min="15884" max="15884" width="6.7109375" bestFit="1" customWidth="1"/>
    <col min="15885" max="15885" width="8.5703125" bestFit="1" customWidth="1"/>
    <col min="15886" max="15886" width="30.85546875" bestFit="1" customWidth="1"/>
    <col min="16130" max="16130" width="38.28515625" bestFit="1" customWidth="1"/>
    <col min="16131" max="16131" width="30.85546875" bestFit="1" customWidth="1"/>
    <col min="16132" max="16132" width="7.7109375" bestFit="1" customWidth="1"/>
    <col min="16133" max="16133" width="6.7109375" bestFit="1" customWidth="1"/>
    <col min="16134" max="16134" width="19.85546875" bestFit="1" customWidth="1"/>
    <col min="16135" max="16135" width="36.5703125" bestFit="1" customWidth="1"/>
    <col min="16136" max="16139" width="5.5703125" bestFit="1" customWidth="1"/>
    <col min="16140" max="16140" width="6.7109375" bestFit="1" customWidth="1"/>
    <col min="16141" max="16141" width="8.5703125" bestFit="1" customWidth="1"/>
    <col min="16142" max="16142" width="30.85546875" bestFit="1" customWidth="1"/>
  </cols>
  <sheetData>
    <row r="1" spans="1:18" s="1" customFormat="1" ht="30" customHeight="1" x14ac:dyDescent="0.2">
      <c r="A1" s="295" t="s">
        <v>4023</v>
      </c>
      <c r="B1" s="295"/>
      <c r="C1" s="295"/>
      <c r="D1" s="295"/>
      <c r="E1" s="295"/>
      <c r="F1" s="295"/>
      <c r="G1" s="295"/>
      <c r="H1" s="295"/>
      <c r="I1" s="295"/>
      <c r="J1" s="295"/>
      <c r="K1" s="295"/>
      <c r="L1" s="295"/>
      <c r="M1" s="295"/>
      <c r="N1" s="295"/>
      <c r="O1" s="241"/>
      <c r="P1" s="241"/>
      <c r="Q1" s="241"/>
      <c r="R1" s="241"/>
    </row>
    <row r="2" spans="1:18" s="1" customFormat="1" ht="30" customHeight="1" x14ac:dyDescent="0.2">
      <c r="A2" s="295" t="s">
        <v>4048</v>
      </c>
      <c r="B2" s="295"/>
      <c r="C2" s="295"/>
      <c r="D2" s="295"/>
      <c r="E2" s="295"/>
      <c r="F2" s="295"/>
      <c r="G2" s="295"/>
      <c r="H2" s="295"/>
      <c r="I2" s="295"/>
      <c r="J2" s="295"/>
      <c r="K2" s="295"/>
      <c r="L2" s="295"/>
      <c r="M2" s="295"/>
      <c r="N2" s="295"/>
      <c r="O2" s="241"/>
      <c r="P2" s="241"/>
      <c r="Q2" s="241"/>
      <c r="R2" s="241"/>
    </row>
    <row r="3" spans="1:18" s="1" customFormat="1" ht="30.75" customHeight="1" thickBot="1" x14ac:dyDescent="0.25">
      <c r="A3" s="295" t="s">
        <v>3381</v>
      </c>
      <c r="B3" s="295"/>
      <c r="C3" s="295"/>
      <c r="D3" s="295"/>
      <c r="E3" s="295"/>
      <c r="F3" s="295"/>
      <c r="G3" s="295"/>
      <c r="H3" s="295"/>
      <c r="I3" s="295"/>
      <c r="J3" s="295"/>
      <c r="K3" s="295"/>
      <c r="L3" s="295"/>
      <c r="M3" s="295"/>
      <c r="N3" s="295"/>
      <c r="O3" s="241"/>
      <c r="P3" s="241"/>
      <c r="Q3" s="241"/>
      <c r="R3" s="241"/>
    </row>
    <row r="4" spans="1:18" s="5" customFormat="1" ht="12.75" customHeight="1" x14ac:dyDescent="0.2">
      <c r="A4" s="297" t="s">
        <v>719</v>
      </c>
      <c r="B4" s="300" t="s">
        <v>0</v>
      </c>
      <c r="C4" s="302" t="s">
        <v>3382</v>
      </c>
      <c r="D4" s="302" t="s">
        <v>8</v>
      </c>
      <c r="E4" s="304" t="s">
        <v>9</v>
      </c>
      <c r="F4" s="304" t="s">
        <v>1</v>
      </c>
      <c r="G4" s="305" t="s">
        <v>795</v>
      </c>
      <c r="H4" s="300" t="s">
        <v>4</v>
      </c>
      <c r="I4" s="304"/>
      <c r="J4" s="304"/>
      <c r="K4" s="307"/>
      <c r="L4" s="308" t="s">
        <v>3593</v>
      </c>
      <c r="M4" s="304" t="s">
        <v>6</v>
      </c>
      <c r="N4" s="307" t="s">
        <v>5</v>
      </c>
    </row>
    <row r="5" spans="1:18" s="5" customFormat="1" ht="23.25" customHeight="1" thickBot="1" x14ac:dyDescent="0.25">
      <c r="A5" s="298"/>
      <c r="B5" s="301"/>
      <c r="C5" s="303"/>
      <c r="D5" s="303"/>
      <c r="E5" s="303"/>
      <c r="F5" s="303"/>
      <c r="G5" s="306"/>
      <c r="H5" s="3">
        <v>1</v>
      </c>
      <c r="I5" s="2">
        <v>2</v>
      </c>
      <c r="J5" s="2">
        <v>3</v>
      </c>
      <c r="K5" s="4" t="s">
        <v>7</v>
      </c>
      <c r="L5" s="309"/>
      <c r="M5" s="303"/>
      <c r="N5" s="310"/>
    </row>
    <row r="6" spans="1:18" ht="15" x14ac:dyDescent="0.2">
      <c r="B6" s="299" t="s">
        <v>4005</v>
      </c>
      <c r="C6" s="299"/>
      <c r="D6" s="299"/>
      <c r="E6" s="299"/>
      <c r="F6" s="299"/>
      <c r="G6" s="299"/>
      <c r="H6" s="299"/>
      <c r="I6" s="299"/>
      <c r="J6" s="299"/>
      <c r="K6" s="299"/>
      <c r="L6" s="299"/>
      <c r="M6" s="299"/>
    </row>
    <row r="7" spans="1:18" x14ac:dyDescent="0.2">
      <c r="A7" s="43">
        <v>1</v>
      </c>
      <c r="B7" s="15" t="s">
        <v>2276</v>
      </c>
      <c r="C7" s="15" t="s">
        <v>2277</v>
      </c>
      <c r="D7" s="15" t="s">
        <v>1674</v>
      </c>
      <c r="E7" s="15" t="str">
        <f>"2,0920"</f>
        <v>2,0920</v>
      </c>
      <c r="F7" s="15" t="s">
        <v>858</v>
      </c>
      <c r="G7" s="15" t="s">
        <v>804</v>
      </c>
      <c r="H7" s="35" t="s">
        <v>67</v>
      </c>
      <c r="I7" s="35" t="s">
        <v>54</v>
      </c>
      <c r="J7" s="38" t="s">
        <v>43</v>
      </c>
      <c r="K7" s="22"/>
      <c r="L7" s="29">
        <v>72.5</v>
      </c>
      <c r="M7" s="21" t="str">
        <f>"151,6700"</f>
        <v>151,6700</v>
      </c>
      <c r="N7" s="15" t="s">
        <v>3370</v>
      </c>
    </row>
    <row r="8" spans="1:18" x14ac:dyDescent="0.2">
      <c r="A8" s="43">
        <v>1</v>
      </c>
      <c r="B8" s="16" t="s">
        <v>2356</v>
      </c>
      <c r="C8" s="16" t="s">
        <v>2278</v>
      </c>
      <c r="D8" s="16" t="s">
        <v>320</v>
      </c>
      <c r="E8" s="16" t="str">
        <f>"2,1162"</f>
        <v>2,1162</v>
      </c>
      <c r="F8" s="16" t="s">
        <v>4020</v>
      </c>
      <c r="G8" s="16" t="s">
        <v>796</v>
      </c>
      <c r="H8" s="36" t="s">
        <v>91</v>
      </c>
      <c r="I8" s="36" t="s">
        <v>76</v>
      </c>
      <c r="J8" s="40" t="s">
        <v>65</v>
      </c>
      <c r="K8" s="24"/>
      <c r="L8" s="30">
        <v>100</v>
      </c>
      <c r="M8" s="23" t="str">
        <f>"211,6200"</f>
        <v>211,6200</v>
      </c>
      <c r="N8" s="16" t="s">
        <v>2395</v>
      </c>
    </row>
    <row r="9" spans="1:18" x14ac:dyDescent="0.2">
      <c r="A9" s="43">
        <v>1</v>
      </c>
      <c r="B9" s="17" t="s">
        <v>2357</v>
      </c>
      <c r="C9" s="17" t="s">
        <v>2280</v>
      </c>
      <c r="D9" s="17" t="s">
        <v>64</v>
      </c>
      <c r="E9" s="17" t="str">
        <f>"2,0790"</f>
        <v>2,0790</v>
      </c>
      <c r="F9" s="17" t="s">
        <v>4020</v>
      </c>
      <c r="G9" s="17" t="s">
        <v>802</v>
      </c>
      <c r="H9" s="37" t="s">
        <v>156</v>
      </c>
      <c r="I9" s="39" t="s">
        <v>11</v>
      </c>
      <c r="J9" s="39" t="s">
        <v>11</v>
      </c>
      <c r="K9" s="26"/>
      <c r="L9" s="31">
        <v>175</v>
      </c>
      <c r="M9" s="25" t="str">
        <f>"363,8250"</f>
        <v>363,8250</v>
      </c>
      <c r="N9" s="17" t="s">
        <v>3339</v>
      </c>
    </row>
    <row r="11" spans="1:18" ht="15" x14ac:dyDescent="0.2">
      <c r="B11" s="294" t="s">
        <v>4006</v>
      </c>
      <c r="C11" s="294"/>
      <c r="D11" s="294"/>
      <c r="E11" s="294"/>
      <c r="F11" s="294"/>
      <c r="G11" s="294"/>
      <c r="H11" s="294"/>
      <c r="I11" s="294"/>
      <c r="J11" s="294"/>
      <c r="K11" s="294"/>
      <c r="L11" s="294"/>
      <c r="M11" s="294"/>
    </row>
    <row r="12" spans="1:18" x14ac:dyDescent="0.2">
      <c r="A12" s="43">
        <v>1</v>
      </c>
      <c r="B12" s="15" t="s">
        <v>2358</v>
      </c>
      <c r="C12" s="15" t="s">
        <v>2281</v>
      </c>
      <c r="D12" s="15" t="s">
        <v>2282</v>
      </c>
      <c r="E12" s="15" t="str">
        <f>"1,8282"</f>
        <v>1,8282</v>
      </c>
      <c r="F12" s="15" t="s">
        <v>4020</v>
      </c>
      <c r="G12" s="15" t="s">
        <v>796</v>
      </c>
      <c r="H12" s="35" t="s">
        <v>116</v>
      </c>
      <c r="I12" s="35" t="s">
        <v>36</v>
      </c>
      <c r="J12" s="38" t="s">
        <v>25</v>
      </c>
      <c r="K12" s="22"/>
      <c r="L12" s="29">
        <v>150</v>
      </c>
      <c r="M12" s="21" t="str">
        <f>"274,2300"</f>
        <v>274,2300</v>
      </c>
      <c r="N12" s="15" t="s">
        <v>3391</v>
      </c>
    </row>
    <row r="13" spans="1:18" x14ac:dyDescent="0.2">
      <c r="A13" s="43">
        <v>1</v>
      </c>
      <c r="B13" s="17" t="s">
        <v>2359</v>
      </c>
      <c r="C13" s="17" t="s">
        <v>2283</v>
      </c>
      <c r="D13" s="17" t="s">
        <v>339</v>
      </c>
      <c r="E13" s="17" t="str">
        <f>"1,8080"</f>
        <v>1,8080</v>
      </c>
      <c r="F13" s="17" t="s">
        <v>4020</v>
      </c>
      <c r="G13" s="17" t="s">
        <v>796</v>
      </c>
      <c r="H13" s="37" t="s">
        <v>76</v>
      </c>
      <c r="I13" s="26"/>
      <c r="J13" s="26"/>
      <c r="K13" s="26"/>
      <c r="L13" s="31">
        <v>100</v>
      </c>
      <c r="M13" s="25" t="str">
        <f>"207,9200"</f>
        <v>207,9200</v>
      </c>
      <c r="N13" s="17" t="s">
        <v>3391</v>
      </c>
    </row>
    <row r="15" spans="1:18" ht="15" x14ac:dyDescent="0.2">
      <c r="B15" s="294" t="s">
        <v>4007</v>
      </c>
      <c r="C15" s="294"/>
      <c r="D15" s="294"/>
      <c r="E15" s="294"/>
      <c r="F15" s="294"/>
      <c r="G15" s="294"/>
      <c r="H15" s="294"/>
      <c r="I15" s="294"/>
      <c r="J15" s="294"/>
      <c r="K15" s="294"/>
      <c r="L15" s="294"/>
      <c r="M15" s="294"/>
    </row>
    <row r="16" spans="1:18" x14ac:dyDescent="0.2">
      <c r="A16" s="43">
        <v>1</v>
      </c>
      <c r="B16" s="7" t="s">
        <v>2360</v>
      </c>
      <c r="C16" s="7" t="s">
        <v>2284</v>
      </c>
      <c r="D16" s="7" t="s">
        <v>1297</v>
      </c>
      <c r="E16" s="7" t="str">
        <f>"1,6850"</f>
        <v>1,6850</v>
      </c>
      <c r="F16" s="7" t="s">
        <v>855</v>
      </c>
      <c r="G16" s="7" t="s">
        <v>796</v>
      </c>
      <c r="H16" s="34" t="s">
        <v>140</v>
      </c>
      <c r="I16" s="34" t="s">
        <v>389</v>
      </c>
      <c r="J16" s="41" t="s">
        <v>187</v>
      </c>
      <c r="K16" s="20"/>
      <c r="L16" s="28">
        <v>207.5</v>
      </c>
      <c r="M16" s="19" t="str">
        <f>"349,6375"</f>
        <v>349,6375</v>
      </c>
      <c r="N16" s="7" t="s">
        <v>756</v>
      </c>
    </row>
    <row r="18" spans="1:14" ht="15" x14ac:dyDescent="0.2">
      <c r="B18" s="294" t="s">
        <v>4008</v>
      </c>
      <c r="C18" s="294"/>
      <c r="D18" s="294"/>
      <c r="E18" s="294"/>
      <c r="F18" s="294"/>
      <c r="G18" s="294"/>
      <c r="H18" s="294"/>
      <c r="I18" s="294"/>
      <c r="J18" s="294"/>
      <c r="K18" s="294"/>
      <c r="L18" s="294"/>
      <c r="M18" s="294"/>
    </row>
    <row r="19" spans="1:14" x14ac:dyDescent="0.2">
      <c r="A19" s="43">
        <v>1</v>
      </c>
      <c r="B19" s="7" t="s">
        <v>2361</v>
      </c>
      <c r="C19" s="7" t="s">
        <v>1300</v>
      </c>
      <c r="D19" s="7" t="s">
        <v>570</v>
      </c>
      <c r="E19" s="7" t="str">
        <f>"1,5514"</f>
        <v>1,5514</v>
      </c>
      <c r="F19" s="7" t="s">
        <v>111</v>
      </c>
      <c r="G19" s="7" t="s">
        <v>3211</v>
      </c>
      <c r="H19" s="35" t="s">
        <v>106</v>
      </c>
      <c r="I19" s="35" t="s">
        <v>140</v>
      </c>
      <c r="J19" s="35" t="s">
        <v>143</v>
      </c>
      <c r="K19" s="38" t="s">
        <v>2194</v>
      </c>
      <c r="L19" s="28">
        <v>210</v>
      </c>
      <c r="M19" s="19" t="str">
        <f>"325,7940"</f>
        <v>325,7940</v>
      </c>
      <c r="N19" s="7" t="s">
        <v>3232</v>
      </c>
    </row>
    <row r="21" spans="1:14" ht="15" x14ac:dyDescent="0.2">
      <c r="B21" s="294" t="s">
        <v>4007</v>
      </c>
      <c r="C21" s="294"/>
      <c r="D21" s="294"/>
      <c r="E21" s="294"/>
      <c r="F21" s="294"/>
      <c r="G21" s="294"/>
      <c r="H21" s="294"/>
      <c r="I21" s="294"/>
      <c r="J21" s="294"/>
      <c r="K21" s="294"/>
      <c r="L21" s="294"/>
      <c r="M21" s="294"/>
    </row>
    <row r="22" spans="1:14" x14ac:dyDescent="0.2">
      <c r="A22" s="43">
        <v>1</v>
      </c>
      <c r="B22" s="15" t="s">
        <v>2362</v>
      </c>
      <c r="C22" s="15" t="s">
        <v>913</v>
      </c>
      <c r="D22" s="15" t="s">
        <v>591</v>
      </c>
      <c r="E22" s="114" t="str">
        <f>"1,3612"</f>
        <v>1,3612</v>
      </c>
      <c r="F22" s="114" t="s">
        <v>3179</v>
      </c>
      <c r="G22" s="114" t="s">
        <v>3178</v>
      </c>
      <c r="H22" s="120" t="s">
        <v>127</v>
      </c>
      <c r="I22" s="35" t="s">
        <v>141</v>
      </c>
      <c r="J22" s="117"/>
      <c r="K22" s="22"/>
      <c r="L22" s="29">
        <v>165</v>
      </c>
      <c r="M22" s="21" t="str">
        <f>"462,6719"</f>
        <v>462,6719</v>
      </c>
      <c r="N22" s="15" t="s">
        <v>3391</v>
      </c>
    </row>
    <row r="23" spans="1:14" x14ac:dyDescent="0.2">
      <c r="A23" s="43">
        <v>1</v>
      </c>
      <c r="B23" s="17" t="s">
        <v>2363</v>
      </c>
      <c r="C23" s="17" t="s">
        <v>2285</v>
      </c>
      <c r="D23" s="17" t="s">
        <v>602</v>
      </c>
      <c r="E23" s="116" t="str">
        <f>"1,2900"</f>
        <v>1,2900</v>
      </c>
      <c r="F23" s="116" t="s">
        <v>4020</v>
      </c>
      <c r="G23" s="116" t="s">
        <v>2286</v>
      </c>
      <c r="H23" s="159" t="s">
        <v>36</v>
      </c>
      <c r="I23" s="37" t="s">
        <v>36</v>
      </c>
      <c r="J23" s="119"/>
      <c r="K23" s="26"/>
      <c r="L23" s="31">
        <v>150</v>
      </c>
      <c r="M23" s="25" t="str">
        <f>"406,3500"</f>
        <v>406,3500</v>
      </c>
      <c r="N23" s="17" t="s">
        <v>2403</v>
      </c>
    </row>
    <row r="25" spans="1:14" ht="15" x14ac:dyDescent="0.2">
      <c r="B25" s="294" t="s">
        <v>4008</v>
      </c>
      <c r="C25" s="294"/>
      <c r="D25" s="294"/>
      <c r="E25" s="294"/>
      <c r="F25" s="294"/>
      <c r="G25" s="294"/>
      <c r="H25" s="294"/>
      <c r="I25" s="294"/>
      <c r="J25" s="294"/>
      <c r="K25" s="294"/>
      <c r="L25" s="294"/>
      <c r="M25" s="294"/>
    </row>
    <row r="26" spans="1:14" x14ac:dyDescent="0.2">
      <c r="A26" s="43">
        <v>1</v>
      </c>
      <c r="B26" s="15" t="s">
        <v>2364</v>
      </c>
      <c r="C26" s="15" t="s">
        <v>2287</v>
      </c>
      <c r="D26" s="15" t="s">
        <v>12</v>
      </c>
      <c r="E26" s="15" t="str">
        <f>"1,1336"</f>
        <v>1,1336</v>
      </c>
      <c r="F26" s="15" t="s">
        <v>14</v>
      </c>
      <c r="G26" s="114" t="s">
        <v>3362</v>
      </c>
      <c r="H26" s="120" t="s">
        <v>2288</v>
      </c>
      <c r="I26" s="35" t="s">
        <v>511</v>
      </c>
      <c r="J26" s="122" t="s">
        <v>2289</v>
      </c>
      <c r="K26" s="117"/>
      <c r="L26" s="29">
        <v>272.5</v>
      </c>
      <c r="M26" s="21" t="str">
        <f>"308,9060"</f>
        <v>308,9060</v>
      </c>
      <c r="N26" s="15" t="s">
        <v>3391</v>
      </c>
    </row>
    <row r="27" spans="1:14" x14ac:dyDescent="0.2">
      <c r="A27" s="43">
        <v>2</v>
      </c>
      <c r="B27" s="16" t="s">
        <v>2365</v>
      </c>
      <c r="C27" s="16" t="s">
        <v>914</v>
      </c>
      <c r="D27" s="16" t="s">
        <v>915</v>
      </c>
      <c r="E27" s="16" t="str">
        <f>"1,1588"</f>
        <v>1,1588</v>
      </c>
      <c r="F27" s="16" t="s">
        <v>4020</v>
      </c>
      <c r="G27" s="115" t="s">
        <v>3186</v>
      </c>
      <c r="H27" s="123" t="s">
        <v>156</v>
      </c>
      <c r="I27" s="36" t="s">
        <v>106</v>
      </c>
      <c r="J27" s="124" t="s">
        <v>107</v>
      </c>
      <c r="K27" s="118"/>
      <c r="L27" s="30">
        <v>185</v>
      </c>
      <c r="M27" s="23" t="str">
        <f>"214,3780"</f>
        <v>214,3780</v>
      </c>
      <c r="N27" s="16" t="s">
        <v>3391</v>
      </c>
    </row>
    <row r="28" spans="1:14" x14ac:dyDescent="0.2">
      <c r="A28" s="43">
        <v>1</v>
      </c>
      <c r="B28" s="16" t="s">
        <v>2290</v>
      </c>
      <c r="C28" s="16" t="s">
        <v>2291</v>
      </c>
      <c r="D28" s="16" t="s">
        <v>12</v>
      </c>
      <c r="E28" s="16" t="str">
        <f>"1,1336"</f>
        <v>1,1336</v>
      </c>
      <c r="F28" s="16" t="s">
        <v>14</v>
      </c>
      <c r="G28" s="115" t="s">
        <v>3362</v>
      </c>
      <c r="H28" s="123" t="s">
        <v>2288</v>
      </c>
      <c r="I28" s="36" t="s">
        <v>511</v>
      </c>
      <c r="J28" s="124" t="s">
        <v>2289</v>
      </c>
      <c r="K28" s="118"/>
      <c r="L28" s="30">
        <v>272.5</v>
      </c>
      <c r="M28" s="23" t="str">
        <f>"308,9060"</f>
        <v>308,9060</v>
      </c>
      <c r="N28" s="16" t="s">
        <v>3391</v>
      </c>
    </row>
    <row r="29" spans="1:14" x14ac:dyDescent="0.2">
      <c r="A29" s="43">
        <v>2</v>
      </c>
      <c r="B29" s="17" t="s">
        <v>2257</v>
      </c>
      <c r="C29" s="17" t="s">
        <v>916</v>
      </c>
      <c r="D29" s="17" t="s">
        <v>388</v>
      </c>
      <c r="E29" s="17" t="str">
        <f>"1,1692"</f>
        <v>1,1692</v>
      </c>
      <c r="F29" s="17" t="s">
        <v>857</v>
      </c>
      <c r="G29" s="116" t="s">
        <v>796</v>
      </c>
      <c r="H29" s="37" t="s">
        <v>106</v>
      </c>
      <c r="I29" s="39" t="s">
        <v>166</v>
      </c>
      <c r="J29" s="37" t="s">
        <v>140</v>
      </c>
      <c r="K29" s="119"/>
      <c r="L29" s="31">
        <v>200</v>
      </c>
      <c r="M29" s="25" t="str">
        <f>"233,8400"</f>
        <v>233,8400</v>
      </c>
      <c r="N29" s="17" t="s">
        <v>1062</v>
      </c>
    </row>
    <row r="31" spans="1:14" ht="15" x14ac:dyDescent="0.2">
      <c r="B31" s="294" t="s">
        <v>4009</v>
      </c>
      <c r="C31" s="294"/>
      <c r="D31" s="294"/>
      <c r="E31" s="294"/>
      <c r="F31" s="294"/>
      <c r="G31" s="294"/>
      <c r="H31" s="294"/>
      <c r="I31" s="294"/>
      <c r="J31" s="294"/>
      <c r="K31" s="294"/>
      <c r="L31" s="294"/>
      <c r="M31" s="294"/>
    </row>
    <row r="32" spans="1:14" x14ac:dyDescent="0.2">
      <c r="A32" s="43">
        <v>1</v>
      </c>
      <c r="B32" s="15" t="s">
        <v>1444</v>
      </c>
      <c r="C32" s="15" t="s">
        <v>1217</v>
      </c>
      <c r="D32" s="15" t="s">
        <v>1218</v>
      </c>
      <c r="E32" s="15" t="str">
        <f>"1,0406"</f>
        <v>1,0406</v>
      </c>
      <c r="F32" s="15" t="s">
        <v>4020</v>
      </c>
      <c r="G32" s="15" t="s">
        <v>796</v>
      </c>
      <c r="H32" s="35" t="s">
        <v>274</v>
      </c>
      <c r="I32" s="35" t="s">
        <v>275</v>
      </c>
      <c r="J32" s="35" t="s">
        <v>1151</v>
      </c>
      <c r="K32" s="40" t="s">
        <v>1110</v>
      </c>
      <c r="L32" s="29">
        <v>325</v>
      </c>
      <c r="M32" s="21" t="str">
        <f>"338,1950"</f>
        <v>338,1950</v>
      </c>
      <c r="N32" s="15" t="s">
        <v>1243</v>
      </c>
    </row>
    <row r="33" spans="1:14" x14ac:dyDescent="0.2">
      <c r="A33" s="43">
        <v>2</v>
      </c>
      <c r="B33" s="16" t="s">
        <v>2366</v>
      </c>
      <c r="C33" s="16" t="s">
        <v>2292</v>
      </c>
      <c r="D33" s="16" t="s">
        <v>13</v>
      </c>
      <c r="E33" s="16" t="str">
        <f>"1,0384"</f>
        <v>1,0384</v>
      </c>
      <c r="F33" s="16" t="s">
        <v>14</v>
      </c>
      <c r="G33" s="16" t="s">
        <v>822</v>
      </c>
      <c r="H33" s="36" t="s">
        <v>15</v>
      </c>
      <c r="I33" s="36" t="s">
        <v>16</v>
      </c>
      <c r="J33" s="36" t="s">
        <v>970</v>
      </c>
      <c r="K33" s="24"/>
      <c r="L33" s="30">
        <v>282.5</v>
      </c>
      <c r="M33" s="23" t="str">
        <f>"293,3480"</f>
        <v>293,3480</v>
      </c>
      <c r="N33" s="16" t="s">
        <v>3369</v>
      </c>
    </row>
    <row r="34" spans="1:14" x14ac:dyDescent="0.2">
      <c r="A34" s="43">
        <v>1</v>
      </c>
      <c r="B34" s="17" t="s">
        <v>1284</v>
      </c>
      <c r="C34" s="17" t="s">
        <v>1260</v>
      </c>
      <c r="D34" s="17" t="s">
        <v>703</v>
      </c>
      <c r="E34" s="17" t="str">
        <f>"1,0528"</f>
        <v>1,0528</v>
      </c>
      <c r="F34" s="17" t="s">
        <v>4020</v>
      </c>
      <c r="G34" s="17" t="s">
        <v>796</v>
      </c>
      <c r="H34" s="37" t="s">
        <v>141</v>
      </c>
      <c r="I34" s="37" t="s">
        <v>11</v>
      </c>
      <c r="J34" s="37" t="s">
        <v>166</v>
      </c>
      <c r="K34" s="26"/>
      <c r="L34" s="31">
        <v>195</v>
      </c>
      <c r="M34" s="25" t="str">
        <f>"217,6138"</f>
        <v>217,6138</v>
      </c>
      <c r="N34" s="17" t="s">
        <v>3391</v>
      </c>
    </row>
    <row r="36" spans="1:14" ht="15" x14ac:dyDescent="0.2">
      <c r="B36" s="294" t="s">
        <v>4010</v>
      </c>
      <c r="C36" s="294"/>
      <c r="D36" s="294"/>
      <c r="E36" s="294"/>
      <c r="F36" s="294"/>
      <c r="G36" s="294"/>
      <c r="H36" s="294"/>
      <c r="I36" s="294"/>
      <c r="J36" s="294"/>
      <c r="K36" s="294"/>
      <c r="L36" s="294"/>
      <c r="M36" s="294"/>
    </row>
    <row r="37" spans="1:14" x14ac:dyDescent="0.2">
      <c r="A37" s="43">
        <v>1</v>
      </c>
      <c r="B37" s="15" t="s">
        <v>2367</v>
      </c>
      <c r="C37" s="15" t="s">
        <v>938</v>
      </c>
      <c r="D37" s="15" t="s">
        <v>10</v>
      </c>
      <c r="E37" s="15" t="str">
        <f>"0,9736"</f>
        <v>0,9736</v>
      </c>
      <c r="F37" s="15" t="s">
        <v>4020</v>
      </c>
      <c r="G37" s="114" t="s">
        <v>3186</v>
      </c>
      <c r="H37" s="120" t="s">
        <v>17</v>
      </c>
      <c r="I37" s="35" t="s">
        <v>35</v>
      </c>
      <c r="J37" s="132" t="s">
        <v>16</v>
      </c>
      <c r="K37" s="117"/>
      <c r="L37" s="29">
        <v>275</v>
      </c>
      <c r="M37" s="21" t="str">
        <f>"267,7400"</f>
        <v>267,7400</v>
      </c>
      <c r="N37" s="15" t="s">
        <v>3391</v>
      </c>
    </row>
    <row r="38" spans="1:14" x14ac:dyDescent="0.2">
      <c r="A38" s="43">
        <v>1</v>
      </c>
      <c r="B38" s="16" t="s">
        <v>2368</v>
      </c>
      <c r="C38" s="16" t="s">
        <v>2293</v>
      </c>
      <c r="D38" s="16" t="s">
        <v>451</v>
      </c>
      <c r="E38" s="16" t="str">
        <f>"0,9798"</f>
        <v>0,9798</v>
      </c>
      <c r="F38" s="16" t="s">
        <v>4020</v>
      </c>
      <c r="G38" s="115" t="s">
        <v>3363</v>
      </c>
      <c r="H38" s="123" t="s">
        <v>1007</v>
      </c>
      <c r="I38" s="36" t="s">
        <v>1110</v>
      </c>
      <c r="J38" s="124" t="s">
        <v>677</v>
      </c>
      <c r="K38" s="118"/>
      <c r="L38" s="30">
        <v>330</v>
      </c>
      <c r="M38" s="23" t="str">
        <f>"323,3340"</f>
        <v>323,3340</v>
      </c>
      <c r="N38" s="16" t="s">
        <v>2396</v>
      </c>
    </row>
    <row r="39" spans="1:14" x14ac:dyDescent="0.2">
      <c r="A39" s="43">
        <v>2</v>
      </c>
      <c r="B39" s="16" t="s">
        <v>2369</v>
      </c>
      <c r="C39" s="16" t="s">
        <v>2294</v>
      </c>
      <c r="D39" s="16" t="s">
        <v>1795</v>
      </c>
      <c r="E39" s="16" t="str">
        <f>"0,9712"</f>
        <v>0,9712</v>
      </c>
      <c r="F39" s="16" t="s">
        <v>4020</v>
      </c>
      <c r="G39" s="115" t="s">
        <v>796</v>
      </c>
      <c r="H39" s="123" t="s">
        <v>275</v>
      </c>
      <c r="I39" s="36" t="s">
        <v>1110</v>
      </c>
      <c r="J39" s="124" t="s">
        <v>677</v>
      </c>
      <c r="K39" s="118"/>
      <c r="L39" s="30">
        <v>330</v>
      </c>
      <c r="M39" s="23" t="str">
        <f>"320,4960"</f>
        <v>320,4960</v>
      </c>
      <c r="N39" s="16" t="s">
        <v>3391</v>
      </c>
    </row>
    <row r="40" spans="1:14" x14ac:dyDescent="0.2">
      <c r="A40" s="43">
        <v>3</v>
      </c>
      <c r="B40" s="16" t="s">
        <v>2370</v>
      </c>
      <c r="C40" s="16" t="s">
        <v>2295</v>
      </c>
      <c r="D40" s="16" t="s">
        <v>211</v>
      </c>
      <c r="E40" s="16" t="str">
        <f>"0,9964"</f>
        <v>0,9964</v>
      </c>
      <c r="F40" s="16" t="s">
        <v>4020</v>
      </c>
      <c r="G40" s="115" t="s">
        <v>3364</v>
      </c>
      <c r="H40" s="126" t="s">
        <v>287</v>
      </c>
      <c r="I40" s="36" t="s">
        <v>274</v>
      </c>
      <c r="J40" s="124" t="s">
        <v>644</v>
      </c>
      <c r="K40" s="118"/>
      <c r="L40" s="30">
        <v>300</v>
      </c>
      <c r="M40" s="23" t="str">
        <f>"298,9200"</f>
        <v>298,9200</v>
      </c>
      <c r="N40" s="16" t="s">
        <v>3391</v>
      </c>
    </row>
    <row r="41" spans="1:14" x14ac:dyDescent="0.2">
      <c r="A41" s="43">
        <v>4</v>
      </c>
      <c r="B41" s="16" t="s">
        <v>2371</v>
      </c>
      <c r="C41" s="16" t="s">
        <v>2296</v>
      </c>
      <c r="D41" s="16" t="s">
        <v>2297</v>
      </c>
      <c r="E41" s="16" t="str">
        <f>"1,0190"</f>
        <v>1,0190</v>
      </c>
      <c r="F41" s="16" t="s">
        <v>4020</v>
      </c>
      <c r="G41" s="115" t="s">
        <v>885</v>
      </c>
      <c r="H41" s="123" t="s">
        <v>16</v>
      </c>
      <c r="I41" s="36" t="s">
        <v>287</v>
      </c>
      <c r="J41" s="124" t="s">
        <v>679</v>
      </c>
      <c r="K41" s="118"/>
      <c r="L41" s="30">
        <v>290</v>
      </c>
      <c r="M41" s="23" t="str">
        <f>"295,5100"</f>
        <v>295,5100</v>
      </c>
      <c r="N41" s="16" t="s">
        <v>3391</v>
      </c>
    </row>
    <row r="42" spans="1:14" x14ac:dyDescent="0.2">
      <c r="A42" s="43">
        <v>5</v>
      </c>
      <c r="B42" s="16" t="s">
        <v>2372</v>
      </c>
      <c r="C42" s="16" t="s">
        <v>2209</v>
      </c>
      <c r="D42" s="16" t="s">
        <v>1826</v>
      </c>
      <c r="E42" s="16" t="str">
        <f>"0,9690"</f>
        <v>0,9690</v>
      </c>
      <c r="F42" s="16" t="s">
        <v>861</v>
      </c>
      <c r="G42" s="115" t="s">
        <v>839</v>
      </c>
      <c r="H42" s="123" t="s">
        <v>1329</v>
      </c>
      <c r="I42" s="24"/>
      <c r="J42" s="118"/>
      <c r="K42" s="118"/>
      <c r="L42" s="30">
        <v>287.5</v>
      </c>
      <c r="M42" s="23" t="str">
        <f>"278,5875"</f>
        <v>278,5875</v>
      </c>
      <c r="N42" s="16" t="s">
        <v>2274</v>
      </c>
    </row>
    <row r="43" spans="1:14" x14ac:dyDescent="0.2">
      <c r="A43" s="43">
        <v>6</v>
      </c>
      <c r="B43" s="16" t="s">
        <v>940</v>
      </c>
      <c r="C43" s="16" t="s">
        <v>941</v>
      </c>
      <c r="D43" s="16" t="s">
        <v>10</v>
      </c>
      <c r="E43" s="16" t="str">
        <f>"0,9736"</f>
        <v>0,9736</v>
      </c>
      <c r="F43" s="16" t="s">
        <v>4020</v>
      </c>
      <c r="G43" s="115" t="s">
        <v>3186</v>
      </c>
      <c r="H43" s="123" t="s">
        <v>17</v>
      </c>
      <c r="I43" s="36" t="s">
        <v>35</v>
      </c>
      <c r="J43" s="125" t="s">
        <v>16</v>
      </c>
      <c r="K43" s="118"/>
      <c r="L43" s="30">
        <v>275</v>
      </c>
      <c r="M43" s="23" t="str">
        <f>"267,7400"</f>
        <v>267,7400</v>
      </c>
      <c r="N43" s="16" t="s">
        <v>3391</v>
      </c>
    </row>
    <row r="44" spans="1:14" x14ac:dyDescent="0.2">
      <c r="A44" s="43">
        <v>7</v>
      </c>
      <c r="B44" s="16" t="s">
        <v>2262</v>
      </c>
      <c r="C44" s="16" t="s">
        <v>28</v>
      </c>
      <c r="D44" s="16" t="s">
        <v>29</v>
      </c>
      <c r="E44" s="16" t="str">
        <f>"0,9720"</f>
        <v>0,9720</v>
      </c>
      <c r="F44" s="16" t="s">
        <v>3181</v>
      </c>
      <c r="G44" s="115" t="s">
        <v>3192</v>
      </c>
      <c r="H44" s="123" t="s">
        <v>37</v>
      </c>
      <c r="I44" s="36" t="s">
        <v>15</v>
      </c>
      <c r="J44" s="125" t="s">
        <v>16</v>
      </c>
      <c r="K44" s="118"/>
      <c r="L44" s="30">
        <v>275</v>
      </c>
      <c r="M44" s="23" t="str">
        <f>"267,3000"</f>
        <v>267,3000</v>
      </c>
      <c r="N44" s="16" t="s">
        <v>2397</v>
      </c>
    </row>
    <row r="45" spans="1:14" x14ac:dyDescent="0.2">
      <c r="A45" s="43">
        <v>8</v>
      </c>
      <c r="B45" s="16" t="s">
        <v>1048</v>
      </c>
      <c r="C45" s="16" t="s">
        <v>945</v>
      </c>
      <c r="D45" s="16" t="s">
        <v>946</v>
      </c>
      <c r="E45" s="16" t="str">
        <f>"0,9744"</f>
        <v>0,9744</v>
      </c>
      <c r="F45" s="16" t="s">
        <v>492</v>
      </c>
      <c r="G45" s="115" t="s">
        <v>3278</v>
      </c>
      <c r="H45" s="36" t="s">
        <v>253</v>
      </c>
      <c r="I45" s="36" t="s">
        <v>37</v>
      </c>
      <c r="J45" s="40" t="s">
        <v>17</v>
      </c>
      <c r="K45" s="118"/>
      <c r="L45" s="30">
        <v>250</v>
      </c>
      <c r="M45" s="23" t="str">
        <f>"243,6000"</f>
        <v>243,6000</v>
      </c>
      <c r="N45" s="16" t="s">
        <v>3391</v>
      </c>
    </row>
    <row r="46" spans="1:14" x14ac:dyDescent="0.2">
      <c r="A46" s="43">
        <v>1</v>
      </c>
      <c r="B46" s="16" t="s">
        <v>2373</v>
      </c>
      <c r="C46" s="16" t="s">
        <v>2298</v>
      </c>
      <c r="D46" s="16" t="s">
        <v>467</v>
      </c>
      <c r="E46" s="16" t="str">
        <f>"0,9790"</f>
        <v>0,9790</v>
      </c>
      <c r="F46" s="16" t="s">
        <v>4020</v>
      </c>
      <c r="G46" s="115" t="s">
        <v>870</v>
      </c>
      <c r="H46" s="126" t="s">
        <v>253</v>
      </c>
      <c r="I46" s="36" t="s">
        <v>253</v>
      </c>
      <c r="J46" s="124" t="s">
        <v>261</v>
      </c>
      <c r="K46" s="118"/>
      <c r="L46" s="30">
        <v>240</v>
      </c>
      <c r="M46" s="23" t="str">
        <f>"274,4333"</f>
        <v>274,4333</v>
      </c>
      <c r="N46" s="16" t="s">
        <v>2398</v>
      </c>
    </row>
    <row r="47" spans="1:14" x14ac:dyDescent="0.2">
      <c r="A47" s="43">
        <v>2</v>
      </c>
      <c r="B47" s="16" t="s">
        <v>2374</v>
      </c>
      <c r="C47" s="16" t="s">
        <v>462</v>
      </c>
      <c r="D47" s="16" t="s">
        <v>445</v>
      </c>
      <c r="E47" s="16" t="str">
        <f>"0,9924"</f>
        <v>0,9924</v>
      </c>
      <c r="F47" s="16" t="s">
        <v>464</v>
      </c>
      <c r="G47" s="115" t="s">
        <v>3214</v>
      </c>
      <c r="H47" s="123" t="s">
        <v>127</v>
      </c>
      <c r="I47" s="36" t="s">
        <v>11</v>
      </c>
      <c r="J47" s="125" t="s">
        <v>166</v>
      </c>
      <c r="K47" s="118"/>
      <c r="L47" s="30">
        <v>195</v>
      </c>
      <c r="M47" s="23" t="str">
        <f>"222,5457"</f>
        <v>222,5457</v>
      </c>
      <c r="N47" s="16" t="s">
        <v>3391</v>
      </c>
    </row>
    <row r="48" spans="1:14" x14ac:dyDescent="0.2">
      <c r="A48" s="43">
        <v>1</v>
      </c>
      <c r="B48" s="16" t="s">
        <v>2375</v>
      </c>
      <c r="C48" s="16" t="s">
        <v>2299</v>
      </c>
      <c r="D48" s="16" t="s">
        <v>2300</v>
      </c>
      <c r="E48" s="16" t="str">
        <f>"0,9806"</f>
        <v>0,9806</v>
      </c>
      <c r="F48" s="16" t="s">
        <v>4020</v>
      </c>
      <c r="G48" s="115" t="s">
        <v>813</v>
      </c>
      <c r="H48" s="123" t="s">
        <v>253</v>
      </c>
      <c r="I48" s="36" t="s">
        <v>37</v>
      </c>
      <c r="J48" s="125" t="s">
        <v>17</v>
      </c>
      <c r="K48" s="118"/>
      <c r="L48" s="30">
        <v>260</v>
      </c>
      <c r="M48" s="23" t="str">
        <f>"324,5590"</f>
        <v>324,5590</v>
      </c>
      <c r="N48" s="16" t="s">
        <v>3391</v>
      </c>
    </row>
    <row r="49" spans="1:14" x14ac:dyDescent="0.2">
      <c r="A49" s="43">
        <v>1</v>
      </c>
      <c r="B49" s="17" t="s">
        <v>2301</v>
      </c>
      <c r="C49" s="17" t="s">
        <v>2302</v>
      </c>
      <c r="D49" s="17" t="s">
        <v>2303</v>
      </c>
      <c r="E49" s="17" t="str">
        <f>"0,9932"</f>
        <v>0,9932</v>
      </c>
      <c r="F49" s="17" t="s">
        <v>1076</v>
      </c>
      <c r="G49" s="116" t="s">
        <v>3250</v>
      </c>
      <c r="H49" s="127" t="s">
        <v>69</v>
      </c>
      <c r="I49" s="37" t="s">
        <v>112</v>
      </c>
      <c r="J49" s="128" t="s">
        <v>116</v>
      </c>
      <c r="K49" s="119"/>
      <c r="L49" s="31">
        <v>140</v>
      </c>
      <c r="M49" s="25" t="str">
        <f>"286,4389"</f>
        <v>286,4389</v>
      </c>
      <c r="N49" s="17" t="s">
        <v>3391</v>
      </c>
    </row>
    <row r="51" spans="1:14" ht="15" x14ac:dyDescent="0.2">
      <c r="B51" s="294" t="s">
        <v>4011</v>
      </c>
      <c r="C51" s="294"/>
      <c r="D51" s="294"/>
      <c r="E51" s="294"/>
      <c r="F51" s="294"/>
      <c r="G51" s="294"/>
      <c r="H51" s="294"/>
      <c r="I51" s="294"/>
      <c r="J51" s="294"/>
      <c r="K51" s="294"/>
      <c r="L51" s="294"/>
      <c r="M51" s="294"/>
    </row>
    <row r="52" spans="1:14" x14ac:dyDescent="0.2">
      <c r="A52" s="43">
        <v>1</v>
      </c>
      <c r="B52" s="15" t="s">
        <v>2304</v>
      </c>
      <c r="C52" s="15" t="s">
        <v>2305</v>
      </c>
      <c r="D52" s="15" t="s">
        <v>2306</v>
      </c>
      <c r="E52" s="15" t="str">
        <f>"0,9278"</f>
        <v>0,9278</v>
      </c>
      <c r="F52" s="15" t="s">
        <v>4020</v>
      </c>
      <c r="G52" s="114" t="s">
        <v>3244</v>
      </c>
      <c r="H52" s="120" t="s">
        <v>253</v>
      </c>
      <c r="I52" s="22"/>
      <c r="J52" s="117"/>
      <c r="K52" s="117"/>
      <c r="L52" s="29">
        <v>240</v>
      </c>
      <c r="M52" s="21" t="str">
        <f>"222,6720"</f>
        <v>222,6720</v>
      </c>
      <c r="N52" s="15" t="s">
        <v>3391</v>
      </c>
    </row>
    <row r="53" spans="1:14" x14ac:dyDescent="0.2">
      <c r="A53" s="43">
        <v>1</v>
      </c>
      <c r="B53" s="16" t="s">
        <v>2307</v>
      </c>
      <c r="C53" s="16" t="s">
        <v>2308</v>
      </c>
      <c r="D53" s="16" t="s">
        <v>953</v>
      </c>
      <c r="E53" s="16" t="str">
        <f>"0,9420"</f>
        <v>0,9420</v>
      </c>
      <c r="F53" s="16" t="s">
        <v>4020</v>
      </c>
      <c r="G53" s="115" t="s">
        <v>840</v>
      </c>
      <c r="H53" s="123" t="s">
        <v>127</v>
      </c>
      <c r="I53" s="36" t="s">
        <v>142</v>
      </c>
      <c r="J53" s="125" t="s">
        <v>11</v>
      </c>
      <c r="K53" s="124" t="s">
        <v>106</v>
      </c>
      <c r="L53" s="30">
        <v>180</v>
      </c>
      <c r="M53" s="23" t="str">
        <f>"204,6589"</f>
        <v>204,6589</v>
      </c>
      <c r="N53" s="16" t="s">
        <v>3391</v>
      </c>
    </row>
    <row r="54" spans="1:14" x14ac:dyDescent="0.2">
      <c r="A54" s="43">
        <v>2</v>
      </c>
      <c r="B54" s="16" t="s">
        <v>2214</v>
      </c>
      <c r="C54" s="16" t="s">
        <v>2215</v>
      </c>
      <c r="D54" s="16" t="s">
        <v>2216</v>
      </c>
      <c r="E54" s="16" t="str">
        <f>"0,9378"</f>
        <v>0,9378</v>
      </c>
      <c r="F54" s="16" t="s">
        <v>1076</v>
      </c>
      <c r="G54" s="115" t="s">
        <v>3251</v>
      </c>
      <c r="H54" s="123" t="s">
        <v>71</v>
      </c>
      <c r="I54" s="36" t="s">
        <v>104</v>
      </c>
      <c r="J54" s="124" t="s">
        <v>36</v>
      </c>
      <c r="K54" s="118"/>
      <c r="L54" s="30">
        <v>130</v>
      </c>
      <c r="M54" s="23" t="str">
        <f>"142,3956"</f>
        <v>142,3956</v>
      </c>
      <c r="N54" s="16" t="s">
        <v>2190</v>
      </c>
    </row>
    <row r="55" spans="1:14" x14ac:dyDescent="0.2">
      <c r="A55" s="43">
        <v>1</v>
      </c>
      <c r="B55" s="16" t="s">
        <v>1375</v>
      </c>
      <c r="C55" s="16" t="s">
        <v>1376</v>
      </c>
      <c r="D55" s="16" t="s">
        <v>1377</v>
      </c>
      <c r="E55" s="16" t="str">
        <f>"0,9266"</f>
        <v>0,9266</v>
      </c>
      <c r="F55" s="16" t="s">
        <v>856</v>
      </c>
      <c r="G55" s="115" t="s">
        <v>800</v>
      </c>
      <c r="H55" s="123" t="s">
        <v>144</v>
      </c>
      <c r="I55" s="36" t="s">
        <v>221</v>
      </c>
      <c r="J55" s="124" t="s">
        <v>374</v>
      </c>
      <c r="K55" s="118"/>
      <c r="L55" s="30">
        <v>252.5</v>
      </c>
      <c r="M55" s="23" t="str">
        <f>"315,8548"</f>
        <v>315,8548</v>
      </c>
      <c r="N55" s="16" t="s">
        <v>737</v>
      </c>
    </row>
    <row r="56" spans="1:14" x14ac:dyDescent="0.2">
      <c r="A56" s="43">
        <v>2</v>
      </c>
      <c r="B56" s="17" t="s">
        <v>1270</v>
      </c>
      <c r="C56" s="17" t="s">
        <v>1271</v>
      </c>
      <c r="D56" s="17" t="s">
        <v>1272</v>
      </c>
      <c r="E56" s="17" t="str">
        <f>"0,9398"</f>
        <v>0,9398</v>
      </c>
      <c r="F56" s="17" t="s">
        <v>4020</v>
      </c>
      <c r="G56" s="116" t="s">
        <v>840</v>
      </c>
      <c r="H56" s="127" t="s">
        <v>24</v>
      </c>
      <c r="I56" s="37" t="s">
        <v>144</v>
      </c>
      <c r="J56" s="128" t="s">
        <v>220</v>
      </c>
      <c r="K56" s="119"/>
      <c r="L56" s="31">
        <v>235</v>
      </c>
      <c r="M56" s="25" t="str">
        <f>"276,0663"</f>
        <v>276,0663</v>
      </c>
      <c r="N56" s="17" t="s">
        <v>1273</v>
      </c>
    </row>
    <row r="58" spans="1:14" ht="15" x14ac:dyDescent="0.2">
      <c r="B58" s="294" t="s">
        <v>4012</v>
      </c>
      <c r="C58" s="294"/>
      <c r="D58" s="294"/>
      <c r="E58" s="294"/>
      <c r="F58" s="294"/>
      <c r="G58" s="294"/>
      <c r="H58" s="294"/>
      <c r="I58" s="294"/>
      <c r="J58" s="294"/>
      <c r="K58" s="294"/>
      <c r="L58" s="294"/>
      <c r="M58" s="294"/>
    </row>
    <row r="59" spans="1:14" x14ac:dyDescent="0.2">
      <c r="A59" s="43">
        <v>1</v>
      </c>
      <c r="B59" s="15" t="s">
        <v>2376</v>
      </c>
      <c r="C59" s="15" t="s">
        <v>2309</v>
      </c>
      <c r="D59" s="15" t="s">
        <v>1889</v>
      </c>
      <c r="E59" s="15" t="str">
        <f>"0,8920"</f>
        <v>0,8920</v>
      </c>
      <c r="F59" s="15" t="s">
        <v>4020</v>
      </c>
      <c r="G59" s="15" t="s">
        <v>3365</v>
      </c>
      <c r="H59" s="35" t="s">
        <v>37</v>
      </c>
      <c r="I59" s="35" t="s">
        <v>15</v>
      </c>
      <c r="J59" s="35" t="s">
        <v>26</v>
      </c>
      <c r="K59" s="22"/>
      <c r="L59" s="29">
        <v>280</v>
      </c>
      <c r="M59" s="21" t="str">
        <f>"249,7600"</f>
        <v>249,7600</v>
      </c>
      <c r="N59" s="15" t="s">
        <v>3391</v>
      </c>
    </row>
    <row r="60" spans="1:14" x14ac:dyDescent="0.2">
      <c r="A60" s="43">
        <v>1</v>
      </c>
      <c r="B60" s="16" t="s">
        <v>2377</v>
      </c>
      <c r="C60" s="16" t="s">
        <v>2310</v>
      </c>
      <c r="D60" s="16" t="s">
        <v>2311</v>
      </c>
      <c r="E60" s="16" t="str">
        <f>"0,8954"</f>
        <v>0,8954</v>
      </c>
      <c r="F60" s="16" t="s">
        <v>1056</v>
      </c>
      <c r="G60" s="16" t="s">
        <v>796</v>
      </c>
      <c r="H60" s="36" t="s">
        <v>17</v>
      </c>
      <c r="I60" s="40" t="s">
        <v>26</v>
      </c>
      <c r="J60" s="36" t="s">
        <v>26</v>
      </c>
      <c r="K60" s="40" t="s">
        <v>287</v>
      </c>
      <c r="L60" s="30">
        <v>280</v>
      </c>
      <c r="M60" s="23" t="str">
        <f>"250,7120"</f>
        <v>250,7120</v>
      </c>
      <c r="N60" s="16" t="s">
        <v>2399</v>
      </c>
    </row>
    <row r="61" spans="1:14" x14ac:dyDescent="0.2">
      <c r="A61" s="43">
        <v>2</v>
      </c>
      <c r="B61" s="16" t="s">
        <v>2378</v>
      </c>
      <c r="C61" s="16" t="s">
        <v>2312</v>
      </c>
      <c r="D61" s="16" t="s">
        <v>2138</v>
      </c>
      <c r="E61" s="16" t="str">
        <f>"0,8940"</f>
        <v>0,8940</v>
      </c>
      <c r="F61" s="144" t="s">
        <v>3366</v>
      </c>
      <c r="G61" s="16" t="s">
        <v>3367</v>
      </c>
      <c r="H61" s="36" t="s">
        <v>261</v>
      </c>
      <c r="I61" s="40" t="s">
        <v>2313</v>
      </c>
      <c r="J61" s="36" t="s">
        <v>2313</v>
      </c>
      <c r="K61" s="24"/>
      <c r="L61" s="30">
        <v>263</v>
      </c>
      <c r="M61" s="23" t="str">
        <f>"235,1220"</f>
        <v>235,1220</v>
      </c>
      <c r="N61" s="16" t="s">
        <v>3391</v>
      </c>
    </row>
    <row r="62" spans="1:14" x14ac:dyDescent="0.2">
      <c r="A62" s="43">
        <v>1</v>
      </c>
      <c r="B62" s="16" t="s">
        <v>2379</v>
      </c>
      <c r="C62" s="16" t="s">
        <v>2314</v>
      </c>
      <c r="D62" s="16" t="s">
        <v>2315</v>
      </c>
      <c r="E62" s="16" t="str">
        <f>"0,8878"</f>
        <v>0,8878</v>
      </c>
      <c r="F62" s="16" t="s">
        <v>854</v>
      </c>
      <c r="G62" s="16" t="s">
        <v>3299</v>
      </c>
      <c r="H62" s="36" t="s">
        <v>2151</v>
      </c>
      <c r="I62" s="36" t="s">
        <v>2143</v>
      </c>
      <c r="J62" s="40" t="s">
        <v>289</v>
      </c>
      <c r="K62" s="24"/>
      <c r="L62" s="30">
        <v>390</v>
      </c>
      <c r="M62" s="23" t="str">
        <f>"346,2420"</f>
        <v>346,2420</v>
      </c>
      <c r="N62" s="16" t="s">
        <v>2400</v>
      </c>
    </row>
    <row r="63" spans="1:14" x14ac:dyDescent="0.2">
      <c r="A63" s="43">
        <v>2</v>
      </c>
      <c r="B63" s="16" t="s">
        <v>2380</v>
      </c>
      <c r="C63" s="16" t="s">
        <v>2316</v>
      </c>
      <c r="D63" s="16" t="s">
        <v>2140</v>
      </c>
      <c r="E63" s="16" t="str">
        <f>"0,9038"</f>
        <v>0,9038</v>
      </c>
      <c r="F63" s="16" t="s">
        <v>859</v>
      </c>
      <c r="G63" s="16" t="s">
        <v>3258</v>
      </c>
      <c r="H63" s="36" t="s">
        <v>2220</v>
      </c>
      <c r="I63" s="40" t="s">
        <v>2317</v>
      </c>
      <c r="J63" s="40" t="s">
        <v>2317</v>
      </c>
      <c r="K63" s="24"/>
      <c r="L63" s="30">
        <v>317.5</v>
      </c>
      <c r="M63" s="23" t="str">
        <f>"286,9565"</f>
        <v>286,9565</v>
      </c>
      <c r="N63" s="16" t="s">
        <v>2401</v>
      </c>
    </row>
    <row r="64" spans="1:14" x14ac:dyDescent="0.2">
      <c r="A64" s="43">
        <v>3</v>
      </c>
      <c r="B64" s="16" t="s">
        <v>2381</v>
      </c>
      <c r="C64" s="16" t="s">
        <v>2112</v>
      </c>
      <c r="D64" s="16" t="s">
        <v>2113</v>
      </c>
      <c r="E64" s="16" t="str">
        <f>"0,8892"</f>
        <v>0,8892</v>
      </c>
      <c r="F64" s="16" t="s">
        <v>4020</v>
      </c>
      <c r="G64" s="16" t="s">
        <v>807</v>
      </c>
      <c r="H64" s="36" t="s">
        <v>644</v>
      </c>
      <c r="I64" s="36" t="s">
        <v>684</v>
      </c>
      <c r="J64" s="40" t="s">
        <v>1007</v>
      </c>
      <c r="K64" s="24"/>
      <c r="L64" s="30">
        <v>312.5</v>
      </c>
      <c r="M64" s="23" t="str">
        <f>"277,8750"</f>
        <v>277,8750</v>
      </c>
      <c r="N64" s="16" t="s">
        <v>1483</v>
      </c>
    </row>
    <row r="65" spans="1:14" x14ac:dyDescent="0.2">
      <c r="A65" s="43">
        <v>4</v>
      </c>
      <c r="B65" s="16" t="s">
        <v>2382</v>
      </c>
      <c r="C65" s="16" t="s">
        <v>2318</v>
      </c>
      <c r="D65" s="16" t="s">
        <v>265</v>
      </c>
      <c r="E65" s="16" t="str">
        <f>"0,8850"</f>
        <v>0,8850</v>
      </c>
      <c r="F65" s="16" t="s">
        <v>4020</v>
      </c>
      <c r="G65" s="16" t="s">
        <v>881</v>
      </c>
      <c r="H65" s="36" t="s">
        <v>274</v>
      </c>
      <c r="I65" s="36" t="s">
        <v>679</v>
      </c>
      <c r="J65" s="40" t="s">
        <v>276</v>
      </c>
      <c r="K65" s="24"/>
      <c r="L65" s="30">
        <v>310</v>
      </c>
      <c r="M65" s="23" t="str">
        <f>"274,3500"</f>
        <v>274,3500</v>
      </c>
      <c r="N65" s="16" t="s">
        <v>3391</v>
      </c>
    </row>
    <row r="66" spans="1:14" x14ac:dyDescent="0.2">
      <c r="A66" s="43">
        <v>5</v>
      </c>
      <c r="B66" s="16" t="s">
        <v>2383</v>
      </c>
      <c r="C66" s="16" t="s">
        <v>1391</v>
      </c>
      <c r="D66" s="16" t="s">
        <v>269</v>
      </c>
      <c r="E66" s="16" t="str">
        <f>"0,9090"</f>
        <v>0,9090</v>
      </c>
      <c r="F66" s="16" t="s">
        <v>1392</v>
      </c>
      <c r="G66" s="16" t="s">
        <v>3216</v>
      </c>
      <c r="H66" s="36" t="s">
        <v>35</v>
      </c>
      <c r="I66" s="36" t="s">
        <v>262</v>
      </c>
      <c r="J66" s="36" t="s">
        <v>1380</v>
      </c>
      <c r="K66" s="24"/>
      <c r="L66" s="30">
        <v>292.5</v>
      </c>
      <c r="M66" s="23" t="str">
        <f>"265,8825"</f>
        <v>265,8825</v>
      </c>
      <c r="N66" s="16" t="s">
        <v>3391</v>
      </c>
    </row>
    <row r="67" spans="1:14" x14ac:dyDescent="0.2">
      <c r="A67" s="43">
        <v>6</v>
      </c>
      <c r="B67" s="16" t="s">
        <v>2319</v>
      </c>
      <c r="C67" s="16" t="s">
        <v>2320</v>
      </c>
      <c r="D67" s="16" t="s">
        <v>1889</v>
      </c>
      <c r="E67" s="16" t="str">
        <f>"0,8920"</f>
        <v>0,8920</v>
      </c>
      <c r="F67" s="16" t="s">
        <v>4020</v>
      </c>
      <c r="G67" s="16" t="s">
        <v>3365</v>
      </c>
      <c r="H67" s="36" t="s">
        <v>37</v>
      </c>
      <c r="I67" s="36" t="s">
        <v>15</v>
      </c>
      <c r="J67" s="36" t="s">
        <v>26</v>
      </c>
      <c r="K67" s="24"/>
      <c r="L67" s="30">
        <v>280</v>
      </c>
      <c r="M67" s="23" t="str">
        <f>"249,7600"</f>
        <v>249,7600</v>
      </c>
      <c r="N67" s="16" t="s">
        <v>3391</v>
      </c>
    </row>
    <row r="68" spans="1:14" x14ac:dyDescent="0.2">
      <c r="A68" s="43">
        <v>1</v>
      </c>
      <c r="B68" s="16" t="s">
        <v>1395</v>
      </c>
      <c r="C68" s="16" t="s">
        <v>1396</v>
      </c>
      <c r="D68" s="16" t="s">
        <v>269</v>
      </c>
      <c r="E68" s="16" t="str">
        <f>"0,9090"</f>
        <v>0,9090</v>
      </c>
      <c r="F68" s="16" t="s">
        <v>1392</v>
      </c>
      <c r="G68" s="16" t="s">
        <v>3216</v>
      </c>
      <c r="H68" s="36" t="s">
        <v>35</v>
      </c>
      <c r="I68" s="36" t="s">
        <v>262</v>
      </c>
      <c r="J68" s="36" t="s">
        <v>1380</v>
      </c>
      <c r="K68" s="24"/>
      <c r="L68" s="30">
        <v>292.5</v>
      </c>
      <c r="M68" s="23" t="str">
        <f>"265,8825"</f>
        <v>265,8825</v>
      </c>
      <c r="N68" s="16" t="s">
        <v>3391</v>
      </c>
    </row>
    <row r="69" spans="1:14" x14ac:dyDescent="0.2">
      <c r="A69" s="43">
        <v>1</v>
      </c>
      <c r="B69" s="16" t="s">
        <v>2384</v>
      </c>
      <c r="C69" s="16" t="s">
        <v>2321</v>
      </c>
      <c r="D69" s="16" t="s">
        <v>2322</v>
      </c>
      <c r="E69" s="16" t="str">
        <f>"0,8918"</f>
        <v>0,8918</v>
      </c>
      <c r="F69" s="16" t="s">
        <v>4020</v>
      </c>
      <c r="G69" s="16" t="s">
        <v>796</v>
      </c>
      <c r="H69" s="36" t="s">
        <v>24</v>
      </c>
      <c r="I69" s="36" t="s">
        <v>220</v>
      </c>
      <c r="J69" s="40" t="s">
        <v>221</v>
      </c>
      <c r="K69" s="24"/>
      <c r="L69" s="30">
        <v>235</v>
      </c>
      <c r="M69" s="23" t="str">
        <f>"215,4410"</f>
        <v>215,4410</v>
      </c>
      <c r="N69" s="16" t="s">
        <v>3391</v>
      </c>
    </row>
    <row r="70" spans="1:14" x14ac:dyDescent="0.2">
      <c r="A70" s="43">
        <v>1</v>
      </c>
      <c r="B70" s="16" t="s">
        <v>2268</v>
      </c>
      <c r="C70" s="16" t="s">
        <v>2222</v>
      </c>
      <c r="D70" s="16" t="s">
        <v>2223</v>
      </c>
      <c r="E70" s="16" t="str">
        <f>"0,8864"</f>
        <v>0,8864</v>
      </c>
      <c r="F70" s="16" t="s">
        <v>4020</v>
      </c>
      <c r="G70" s="16" t="s">
        <v>803</v>
      </c>
      <c r="H70" s="36" t="s">
        <v>261</v>
      </c>
      <c r="I70" s="36" t="s">
        <v>26</v>
      </c>
      <c r="J70" s="40" t="s">
        <v>287</v>
      </c>
      <c r="K70" s="24"/>
      <c r="L70" s="30">
        <v>280</v>
      </c>
      <c r="M70" s="23" t="str">
        <f>"267,5510"</f>
        <v>267,5510</v>
      </c>
      <c r="N70" s="16" t="s">
        <v>2275</v>
      </c>
    </row>
    <row r="71" spans="1:14" x14ac:dyDescent="0.2">
      <c r="A71" s="43">
        <v>1</v>
      </c>
      <c r="B71" s="17" t="s">
        <v>1469</v>
      </c>
      <c r="C71" s="17" t="s">
        <v>668</v>
      </c>
      <c r="D71" s="17" t="s">
        <v>1398</v>
      </c>
      <c r="E71" s="17" t="str">
        <f>"0,8988"</f>
        <v>0,8988</v>
      </c>
      <c r="F71" s="17" t="s">
        <v>464</v>
      </c>
      <c r="G71" s="17" t="s">
        <v>824</v>
      </c>
      <c r="H71" s="37" t="s">
        <v>156</v>
      </c>
      <c r="I71" s="37" t="s">
        <v>140</v>
      </c>
      <c r="J71" s="39" t="s">
        <v>143</v>
      </c>
      <c r="K71" s="26"/>
      <c r="L71" s="31">
        <v>200</v>
      </c>
      <c r="M71" s="25" t="str">
        <f>"206,7240"</f>
        <v>206,7240</v>
      </c>
      <c r="N71" s="17" t="s">
        <v>3391</v>
      </c>
    </row>
    <row r="73" spans="1:14" ht="15" x14ac:dyDescent="0.2">
      <c r="B73" s="294" t="s">
        <v>4013</v>
      </c>
      <c r="C73" s="294"/>
      <c r="D73" s="294"/>
      <c r="E73" s="294"/>
      <c r="F73" s="294"/>
      <c r="G73" s="294"/>
      <c r="H73" s="294"/>
      <c r="I73" s="294"/>
      <c r="J73" s="294"/>
      <c r="K73" s="294"/>
      <c r="L73" s="294"/>
      <c r="M73" s="294"/>
    </row>
    <row r="74" spans="1:14" x14ac:dyDescent="0.2">
      <c r="A74" s="43">
        <v>1</v>
      </c>
      <c r="B74" s="15" t="s">
        <v>2385</v>
      </c>
      <c r="C74" s="15" t="s">
        <v>2323</v>
      </c>
      <c r="D74" s="15" t="s">
        <v>2324</v>
      </c>
      <c r="E74" s="15" t="str">
        <f>"0,8760"</f>
        <v>0,8760</v>
      </c>
      <c r="F74" s="15" t="s">
        <v>862</v>
      </c>
      <c r="G74" s="114" t="s">
        <v>801</v>
      </c>
      <c r="H74" s="120" t="s">
        <v>26</v>
      </c>
      <c r="I74" s="38" t="s">
        <v>287</v>
      </c>
      <c r="J74" s="122" t="s">
        <v>287</v>
      </c>
      <c r="K74" s="117"/>
      <c r="L74" s="29">
        <v>280</v>
      </c>
      <c r="M74" s="21" t="str">
        <f>"245,2800"</f>
        <v>245,2800</v>
      </c>
      <c r="N74" s="15" t="s">
        <v>3391</v>
      </c>
    </row>
    <row r="75" spans="1:14" x14ac:dyDescent="0.2">
      <c r="A75" s="43">
        <v>1</v>
      </c>
      <c r="B75" s="16" t="s">
        <v>2345</v>
      </c>
      <c r="C75" s="16" t="s">
        <v>2325</v>
      </c>
      <c r="D75" s="16" t="s">
        <v>2326</v>
      </c>
      <c r="E75" s="16" t="str">
        <f>"0,8730"</f>
        <v>0,8730</v>
      </c>
      <c r="F75" s="16" t="s">
        <v>4020</v>
      </c>
      <c r="G75" s="115" t="s">
        <v>3228</v>
      </c>
      <c r="H75" s="123" t="s">
        <v>274</v>
      </c>
      <c r="I75" s="36" t="s">
        <v>1007</v>
      </c>
      <c r="J75" s="124" t="s">
        <v>2327</v>
      </c>
      <c r="K75" s="118"/>
      <c r="L75" s="30">
        <v>320</v>
      </c>
      <c r="M75" s="23" t="str">
        <f>"279,3600"</f>
        <v>279,3600</v>
      </c>
      <c r="N75" s="16" t="s">
        <v>2402</v>
      </c>
    </row>
    <row r="76" spans="1:14" x14ac:dyDescent="0.2">
      <c r="A76" s="43">
        <v>1</v>
      </c>
      <c r="B76" s="16" t="s">
        <v>2386</v>
      </c>
      <c r="C76" s="16" t="s">
        <v>2328</v>
      </c>
      <c r="D76" s="16" t="s">
        <v>2329</v>
      </c>
      <c r="E76" s="16" t="str">
        <f>"0,8690"</f>
        <v>0,8690</v>
      </c>
      <c r="F76" s="16" t="s">
        <v>4020</v>
      </c>
      <c r="G76" s="115" t="s">
        <v>796</v>
      </c>
      <c r="H76" s="123" t="s">
        <v>1007</v>
      </c>
      <c r="I76" s="36" t="s">
        <v>1554</v>
      </c>
      <c r="J76" s="124" t="s">
        <v>1518</v>
      </c>
      <c r="K76" s="118"/>
      <c r="L76" s="30">
        <v>350</v>
      </c>
      <c r="M76" s="23" t="str">
        <f>"304,1500"</f>
        <v>304,1500</v>
      </c>
      <c r="N76" s="16" t="s">
        <v>3391</v>
      </c>
    </row>
    <row r="77" spans="1:14" x14ac:dyDescent="0.2">
      <c r="A77" s="43">
        <v>2</v>
      </c>
      <c r="B77" s="16" t="s">
        <v>2387</v>
      </c>
      <c r="C77" s="16" t="s">
        <v>2330</v>
      </c>
      <c r="D77" s="16" t="s">
        <v>2331</v>
      </c>
      <c r="E77" s="16" t="str">
        <f>"0,8670"</f>
        <v>0,8670</v>
      </c>
      <c r="F77" s="16" t="s">
        <v>4020</v>
      </c>
      <c r="G77" s="115" t="s">
        <v>796</v>
      </c>
      <c r="H77" s="123" t="s">
        <v>1151</v>
      </c>
      <c r="I77" s="40" t="s">
        <v>2327</v>
      </c>
      <c r="J77" s="124" t="s">
        <v>2327</v>
      </c>
      <c r="K77" s="118"/>
      <c r="L77" s="30">
        <v>325</v>
      </c>
      <c r="M77" s="23" t="str">
        <f>"281,7750"</f>
        <v>281,7750</v>
      </c>
      <c r="N77" s="16" t="s">
        <v>3391</v>
      </c>
    </row>
    <row r="78" spans="1:14" x14ac:dyDescent="0.2">
      <c r="A78" s="43">
        <v>3</v>
      </c>
      <c r="B78" s="16" t="s">
        <v>1471</v>
      </c>
      <c r="C78" s="16" t="s">
        <v>1233</v>
      </c>
      <c r="D78" s="16" t="s">
        <v>1234</v>
      </c>
      <c r="E78" s="16" t="str">
        <f>"0,8660"</f>
        <v>0,8660</v>
      </c>
      <c r="F78" s="16" t="s">
        <v>492</v>
      </c>
      <c r="G78" s="115" t="s">
        <v>829</v>
      </c>
      <c r="H78" s="123" t="s">
        <v>1339</v>
      </c>
      <c r="I78" s="36" t="s">
        <v>684</v>
      </c>
      <c r="J78" s="125" t="s">
        <v>1007</v>
      </c>
      <c r="K78" s="118"/>
      <c r="L78" s="30">
        <v>320</v>
      </c>
      <c r="M78" s="23" t="str">
        <f>"277,1200"</f>
        <v>277,1200</v>
      </c>
      <c r="N78" s="16" t="s">
        <v>815</v>
      </c>
    </row>
    <row r="79" spans="1:14" x14ac:dyDescent="0.2">
      <c r="A79" s="43">
        <v>4</v>
      </c>
      <c r="B79" s="16" t="s">
        <v>2388</v>
      </c>
      <c r="C79" s="16" t="s">
        <v>2332</v>
      </c>
      <c r="D79" s="16" t="s">
        <v>2333</v>
      </c>
      <c r="E79" s="16" t="str">
        <f>"0,8630"</f>
        <v>0,8630</v>
      </c>
      <c r="F79" s="16" t="s">
        <v>855</v>
      </c>
      <c r="G79" s="115" t="s">
        <v>796</v>
      </c>
      <c r="H79" s="123" t="s">
        <v>1007</v>
      </c>
      <c r="I79" s="40" t="s">
        <v>2327</v>
      </c>
      <c r="J79" s="124" t="s">
        <v>2327</v>
      </c>
      <c r="K79" s="118"/>
      <c r="L79" s="30">
        <v>320</v>
      </c>
      <c r="M79" s="23" t="str">
        <f>"276,1600"</f>
        <v>276,1600</v>
      </c>
      <c r="N79" s="16" t="s">
        <v>3391</v>
      </c>
    </row>
    <row r="80" spans="1:14" x14ac:dyDescent="0.2">
      <c r="A80" s="43">
        <v>5</v>
      </c>
      <c r="B80" s="16" t="s">
        <v>2389</v>
      </c>
      <c r="C80" s="16" t="s">
        <v>1231</v>
      </c>
      <c r="D80" s="16" t="s">
        <v>1232</v>
      </c>
      <c r="E80" s="16" t="str">
        <f>"0,8674"</f>
        <v>0,8674</v>
      </c>
      <c r="F80" s="16" t="s">
        <v>492</v>
      </c>
      <c r="G80" s="115" t="s">
        <v>3200</v>
      </c>
      <c r="H80" s="123" t="s">
        <v>274</v>
      </c>
      <c r="I80" s="36" t="s">
        <v>679</v>
      </c>
      <c r="J80" s="124" t="s">
        <v>275</v>
      </c>
      <c r="K80" s="118"/>
      <c r="L80" s="30">
        <v>310</v>
      </c>
      <c r="M80" s="23" t="str">
        <f>"268,8940"</f>
        <v>268,8940</v>
      </c>
      <c r="N80" s="16" t="s">
        <v>3206</v>
      </c>
    </row>
    <row r="81" spans="1:14" x14ac:dyDescent="0.2">
      <c r="A81" s="43">
        <v>6</v>
      </c>
      <c r="B81" s="16" t="s">
        <v>2390</v>
      </c>
      <c r="C81" s="16" t="s">
        <v>2334</v>
      </c>
      <c r="D81" s="16" t="s">
        <v>2335</v>
      </c>
      <c r="E81" s="16" t="str">
        <f>"0,8742"</f>
        <v>0,8742</v>
      </c>
      <c r="F81" s="16" t="s">
        <v>4020</v>
      </c>
      <c r="G81" s="115" t="s">
        <v>813</v>
      </c>
      <c r="H81" s="123" t="s">
        <v>17</v>
      </c>
      <c r="I81" s="40" t="s">
        <v>16</v>
      </c>
      <c r="J81" s="124" t="s">
        <v>16</v>
      </c>
      <c r="K81" s="118"/>
      <c r="L81" s="30">
        <v>260</v>
      </c>
      <c r="M81" s="23" t="str">
        <f>"227,2920"</f>
        <v>227,2920</v>
      </c>
      <c r="N81" s="16" t="s">
        <v>3391</v>
      </c>
    </row>
    <row r="82" spans="1:14" x14ac:dyDescent="0.2">
      <c r="A82" s="43">
        <v>1</v>
      </c>
      <c r="B82" s="16" t="s">
        <v>1235</v>
      </c>
      <c r="C82" s="16" t="s">
        <v>1236</v>
      </c>
      <c r="D82" s="16" t="s">
        <v>1232</v>
      </c>
      <c r="E82" s="16" t="str">
        <f>"0,8674"</f>
        <v>0,8674</v>
      </c>
      <c r="F82" s="16" t="s">
        <v>492</v>
      </c>
      <c r="G82" s="115" t="s">
        <v>3200</v>
      </c>
      <c r="H82" s="123" t="s">
        <v>274</v>
      </c>
      <c r="I82" s="36" t="s">
        <v>679</v>
      </c>
      <c r="J82" s="124" t="s">
        <v>275</v>
      </c>
      <c r="K82" s="118"/>
      <c r="L82" s="30">
        <v>310</v>
      </c>
      <c r="M82" s="23" t="str">
        <f>"268,8940"</f>
        <v>268,8940</v>
      </c>
      <c r="N82" s="16" t="s">
        <v>3206</v>
      </c>
    </row>
    <row r="83" spans="1:14" x14ac:dyDescent="0.2">
      <c r="A83" s="43">
        <v>1</v>
      </c>
      <c r="B83" s="16" t="s">
        <v>2391</v>
      </c>
      <c r="C83" s="16" t="s">
        <v>2336</v>
      </c>
      <c r="D83" s="16" t="s">
        <v>2337</v>
      </c>
      <c r="E83" s="16" t="str">
        <f>"0,8710"</f>
        <v>0,8710</v>
      </c>
      <c r="F83" s="16" t="s">
        <v>4020</v>
      </c>
      <c r="G83" s="115" t="s">
        <v>796</v>
      </c>
      <c r="H83" s="123" t="s">
        <v>24</v>
      </c>
      <c r="I83" s="36" t="s">
        <v>37</v>
      </c>
      <c r="J83" s="124" t="s">
        <v>17</v>
      </c>
      <c r="K83" s="118"/>
      <c r="L83" s="30">
        <v>250</v>
      </c>
      <c r="M83" s="23" t="str">
        <f>"234,7345"</f>
        <v>234,7345</v>
      </c>
      <c r="N83" s="16" t="s">
        <v>3391</v>
      </c>
    </row>
    <row r="84" spans="1:14" x14ac:dyDescent="0.2">
      <c r="A84" s="43">
        <v>1</v>
      </c>
      <c r="B84" s="17" t="s">
        <v>2270</v>
      </c>
      <c r="C84" s="17" t="s">
        <v>2229</v>
      </c>
      <c r="D84" s="17" t="s">
        <v>2230</v>
      </c>
      <c r="E84" s="17" t="str">
        <f>"0,8790"</f>
        <v>0,8790</v>
      </c>
      <c r="F84" s="17" t="s">
        <v>1076</v>
      </c>
      <c r="G84" s="116" t="s">
        <v>3361</v>
      </c>
      <c r="H84" s="138" t="s">
        <v>143</v>
      </c>
      <c r="I84" s="39" t="s">
        <v>144</v>
      </c>
      <c r="J84" s="119"/>
      <c r="K84" s="119"/>
      <c r="L84" s="31">
        <v>210</v>
      </c>
      <c r="M84" s="25" t="str">
        <f>"249,1965"</f>
        <v>249,1965</v>
      </c>
      <c r="N84" s="17" t="s">
        <v>2190</v>
      </c>
    </row>
    <row r="86" spans="1:14" ht="15" x14ac:dyDescent="0.2">
      <c r="B86" s="294" t="s">
        <v>4016</v>
      </c>
      <c r="C86" s="294"/>
      <c r="D86" s="294"/>
      <c r="E86" s="294"/>
      <c r="F86" s="294"/>
      <c r="G86" s="294"/>
      <c r="H86" s="294"/>
      <c r="I86" s="294"/>
      <c r="J86" s="294"/>
      <c r="K86" s="294"/>
      <c r="L86" s="294"/>
      <c r="M86" s="294"/>
    </row>
    <row r="87" spans="1:14" x14ac:dyDescent="0.2">
      <c r="A87" s="43">
        <v>1</v>
      </c>
      <c r="B87" s="15" t="s">
        <v>2392</v>
      </c>
      <c r="C87" s="15" t="s">
        <v>2338</v>
      </c>
      <c r="D87" s="15" t="s">
        <v>2339</v>
      </c>
      <c r="E87" s="15" t="str">
        <f>"0,8490"</f>
        <v>0,8490</v>
      </c>
      <c r="F87" s="15" t="s">
        <v>862</v>
      </c>
      <c r="G87" s="114" t="s">
        <v>870</v>
      </c>
      <c r="H87" s="120" t="s">
        <v>274</v>
      </c>
      <c r="I87" s="35" t="s">
        <v>1007</v>
      </c>
      <c r="J87" s="122" t="s">
        <v>1110</v>
      </c>
      <c r="K87" s="117"/>
      <c r="L87" s="29">
        <v>320</v>
      </c>
      <c r="M87" s="21" t="str">
        <f>"271,6800"</f>
        <v>271,6800</v>
      </c>
      <c r="N87" s="15" t="s">
        <v>3391</v>
      </c>
    </row>
    <row r="88" spans="1:14" x14ac:dyDescent="0.2">
      <c r="A88" s="43">
        <v>2</v>
      </c>
      <c r="B88" s="16" t="s">
        <v>2393</v>
      </c>
      <c r="C88" s="16" t="s">
        <v>2340</v>
      </c>
      <c r="D88" s="16" t="s">
        <v>2341</v>
      </c>
      <c r="E88" s="16" t="str">
        <f>"0,8420"</f>
        <v>0,8420</v>
      </c>
      <c r="F88" s="16" t="s">
        <v>4020</v>
      </c>
      <c r="G88" s="115" t="s">
        <v>807</v>
      </c>
      <c r="H88" s="123" t="s">
        <v>287</v>
      </c>
      <c r="I88" s="36" t="s">
        <v>274</v>
      </c>
      <c r="J88" s="124" t="s">
        <v>1007</v>
      </c>
      <c r="K88" s="118"/>
      <c r="L88" s="30">
        <v>300</v>
      </c>
      <c r="M88" s="23" t="str">
        <f>"252,6000"</f>
        <v>252,6000</v>
      </c>
      <c r="N88" s="16" t="s">
        <v>3368</v>
      </c>
    </row>
    <row r="89" spans="1:14" x14ac:dyDescent="0.2">
      <c r="A89" s="43">
        <v>3</v>
      </c>
      <c r="B89" s="16" t="s">
        <v>1474</v>
      </c>
      <c r="C89" s="16" t="s">
        <v>1407</v>
      </c>
      <c r="D89" s="16" t="s">
        <v>1408</v>
      </c>
      <c r="E89" s="16" t="str">
        <f>"0,8530"</f>
        <v>0,8530</v>
      </c>
      <c r="F89" s="16" t="s">
        <v>1392</v>
      </c>
      <c r="G89" s="115" t="s">
        <v>3216</v>
      </c>
      <c r="H89" s="123" t="s">
        <v>35</v>
      </c>
      <c r="I89" s="36" t="s">
        <v>287</v>
      </c>
      <c r="J89" s="124" t="s">
        <v>274</v>
      </c>
      <c r="K89" s="118"/>
      <c r="L89" s="30">
        <v>290</v>
      </c>
      <c r="M89" s="23" t="str">
        <f>"247,3700"</f>
        <v>247,3700</v>
      </c>
      <c r="N89" s="16" t="s">
        <v>3391</v>
      </c>
    </row>
    <row r="90" spans="1:14" x14ac:dyDescent="0.2">
      <c r="A90" s="43">
        <v>1</v>
      </c>
      <c r="B90" s="17" t="s">
        <v>1409</v>
      </c>
      <c r="C90" s="17" t="s">
        <v>1410</v>
      </c>
      <c r="D90" s="17" t="s">
        <v>1408</v>
      </c>
      <c r="E90" s="17" t="str">
        <f>"0,8530"</f>
        <v>0,8530</v>
      </c>
      <c r="F90" s="17" t="s">
        <v>1392</v>
      </c>
      <c r="G90" s="116" t="s">
        <v>3216</v>
      </c>
      <c r="H90" s="127" t="s">
        <v>35</v>
      </c>
      <c r="I90" s="37" t="s">
        <v>287</v>
      </c>
      <c r="J90" s="145" t="s">
        <v>274</v>
      </c>
      <c r="K90" s="119"/>
      <c r="L90" s="31">
        <v>290</v>
      </c>
      <c r="M90" s="25" t="str">
        <f>"247,3700"</f>
        <v>247,3700</v>
      </c>
      <c r="N90" s="17" t="s">
        <v>3391</v>
      </c>
    </row>
    <row r="92" spans="1:14" ht="15" x14ac:dyDescent="0.2">
      <c r="B92" s="294" t="s">
        <v>4017</v>
      </c>
      <c r="C92" s="294"/>
      <c r="D92" s="294"/>
      <c r="E92" s="294"/>
      <c r="F92" s="294"/>
      <c r="G92" s="294"/>
      <c r="H92" s="294"/>
      <c r="I92" s="294"/>
      <c r="J92" s="294"/>
      <c r="K92" s="294"/>
      <c r="L92" s="294"/>
      <c r="M92" s="294"/>
    </row>
    <row r="93" spans="1:14" x14ac:dyDescent="0.2">
      <c r="A93" s="43">
        <v>1</v>
      </c>
      <c r="B93" s="7" t="s">
        <v>2394</v>
      </c>
      <c r="C93" s="7" t="s">
        <v>2342</v>
      </c>
      <c r="D93" s="7" t="s">
        <v>2343</v>
      </c>
      <c r="E93" s="7" t="str">
        <f>"0,8400"</f>
        <v>0,8400</v>
      </c>
      <c r="F93" s="7" t="s">
        <v>266</v>
      </c>
      <c r="G93" s="7" t="s">
        <v>3237</v>
      </c>
      <c r="H93" s="34" t="s">
        <v>26</v>
      </c>
      <c r="I93" s="34" t="s">
        <v>926</v>
      </c>
      <c r="J93" s="34" t="s">
        <v>644</v>
      </c>
      <c r="K93" s="20"/>
      <c r="L93" s="28">
        <v>305</v>
      </c>
      <c r="M93" s="19" t="str">
        <f>"259,7868"</f>
        <v>259,7868</v>
      </c>
      <c r="N93" s="7" t="s">
        <v>1924</v>
      </c>
    </row>
    <row r="95" spans="1:14" ht="18" x14ac:dyDescent="0.25">
      <c r="B95" s="8" t="s">
        <v>4022</v>
      </c>
      <c r="C95" s="8"/>
    </row>
    <row r="96" spans="1:14" ht="18.75" x14ac:dyDescent="0.3">
      <c r="B96" s="242" t="s">
        <v>3499</v>
      </c>
      <c r="C96" s="8"/>
    </row>
    <row r="97" spans="1:14" ht="14.25" x14ac:dyDescent="0.2">
      <c r="B97" s="11"/>
      <c r="C97" s="12" t="s">
        <v>18</v>
      </c>
      <c r="N97" s="142"/>
    </row>
    <row r="98" spans="1:14" ht="15" x14ac:dyDescent="0.2">
      <c r="B98" s="13" t="s">
        <v>0</v>
      </c>
      <c r="C98" s="13" t="s">
        <v>19</v>
      </c>
      <c r="D98" s="13" t="s">
        <v>20</v>
      </c>
      <c r="E98" s="13" t="s">
        <v>3593</v>
      </c>
      <c r="F98" s="13" t="s">
        <v>9</v>
      </c>
      <c r="N98" s="142"/>
    </row>
    <row r="99" spans="1:14" x14ac:dyDescent="0.2">
      <c r="A99" s="43">
        <v>1</v>
      </c>
      <c r="B99" s="10" t="s">
        <v>2346</v>
      </c>
      <c r="C99" s="18" t="s">
        <v>18</v>
      </c>
      <c r="D99" s="27" t="s">
        <v>306</v>
      </c>
      <c r="E99" s="27" t="s">
        <v>2143</v>
      </c>
      <c r="F99" s="27" t="s">
        <v>2347</v>
      </c>
    </row>
    <row r="100" spans="1:14" x14ac:dyDescent="0.2">
      <c r="A100" s="43">
        <v>2</v>
      </c>
      <c r="B100" s="10" t="s">
        <v>1237</v>
      </c>
      <c r="C100" s="18" t="s">
        <v>18</v>
      </c>
      <c r="D100" s="27" t="s">
        <v>21</v>
      </c>
      <c r="E100" s="27" t="s">
        <v>1151</v>
      </c>
      <c r="F100" s="27" t="s">
        <v>2348</v>
      </c>
    </row>
    <row r="101" spans="1:14" x14ac:dyDescent="0.2">
      <c r="A101" s="43">
        <v>3</v>
      </c>
      <c r="B101" s="10" t="s">
        <v>2349</v>
      </c>
      <c r="C101" s="18" t="s">
        <v>18</v>
      </c>
      <c r="D101" s="27" t="s">
        <v>32</v>
      </c>
      <c r="E101" s="27" t="s">
        <v>1110</v>
      </c>
      <c r="F101" s="27" t="s">
        <v>2350</v>
      </c>
    </row>
    <row r="103" spans="1:14" ht="14.25" x14ac:dyDescent="0.2">
      <c r="B103" s="11"/>
      <c r="C103" s="12" t="s">
        <v>310</v>
      </c>
    </row>
    <row r="104" spans="1:14" ht="15" x14ac:dyDescent="0.2">
      <c r="B104" s="13" t="s">
        <v>0</v>
      </c>
      <c r="C104" s="13" t="s">
        <v>19</v>
      </c>
      <c r="D104" s="13" t="s">
        <v>20</v>
      </c>
      <c r="E104" s="13" t="s">
        <v>3593</v>
      </c>
      <c r="F104" s="13" t="s">
        <v>9</v>
      </c>
    </row>
    <row r="105" spans="1:14" x14ac:dyDescent="0.2">
      <c r="A105" s="43">
        <v>1</v>
      </c>
      <c r="B105" s="10" t="s">
        <v>1019</v>
      </c>
      <c r="C105" s="18" t="s">
        <v>1020</v>
      </c>
      <c r="D105" s="27" t="s">
        <v>295</v>
      </c>
      <c r="E105" s="27" t="s">
        <v>141</v>
      </c>
      <c r="F105" s="27" t="s">
        <v>2351</v>
      </c>
    </row>
    <row r="106" spans="1:14" x14ac:dyDescent="0.2">
      <c r="A106" s="43">
        <v>2</v>
      </c>
      <c r="B106" s="10" t="s">
        <v>2352</v>
      </c>
      <c r="C106" s="18" t="s">
        <v>2353</v>
      </c>
      <c r="D106" s="27" t="s">
        <v>295</v>
      </c>
      <c r="E106" s="27" t="s">
        <v>36</v>
      </c>
      <c r="F106" s="27" t="s">
        <v>2354</v>
      </c>
    </row>
    <row r="107" spans="1:14" x14ac:dyDescent="0.2">
      <c r="A107" s="43">
        <v>3</v>
      </c>
      <c r="B107" s="10" t="s">
        <v>2109</v>
      </c>
      <c r="C107" s="18" t="s">
        <v>313</v>
      </c>
      <c r="D107" s="27" t="s">
        <v>32</v>
      </c>
      <c r="E107" s="27" t="s">
        <v>17</v>
      </c>
      <c r="F107" s="27" t="s">
        <v>2355</v>
      </c>
    </row>
  </sheetData>
  <mergeCells count="27">
    <mergeCell ref="A1:N1"/>
    <mergeCell ref="A2:N2"/>
    <mergeCell ref="A3:N3"/>
    <mergeCell ref="B92:M92"/>
    <mergeCell ref="A4:A5"/>
    <mergeCell ref="B25:M25"/>
    <mergeCell ref="B31:M31"/>
    <mergeCell ref="B36:M36"/>
    <mergeCell ref="B51:M51"/>
    <mergeCell ref="B58:M58"/>
    <mergeCell ref="B73:M73"/>
    <mergeCell ref="B21:M21"/>
    <mergeCell ref="B6:M6"/>
    <mergeCell ref="B11:M11"/>
    <mergeCell ref="B15:M15"/>
    <mergeCell ref="B18:M18"/>
    <mergeCell ref="N4:N5"/>
    <mergeCell ref="B86:M86"/>
    <mergeCell ref="B4:B5"/>
    <mergeCell ref="C4:C5"/>
    <mergeCell ref="D4:D5"/>
    <mergeCell ref="E4:E5"/>
    <mergeCell ref="F4:F5"/>
    <mergeCell ref="G4:G5"/>
    <mergeCell ref="H4:K4"/>
    <mergeCell ref="L4:L5"/>
    <mergeCell ref="M4:M5"/>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topLeftCell="B24" workbookViewId="0">
      <selection activeCell="F40" sqref="F40"/>
    </sheetView>
  </sheetViews>
  <sheetFormatPr defaultColWidth="8.7109375" defaultRowHeight="12.75" x14ac:dyDescent="0.2"/>
  <cols>
    <col min="1" max="1" width="6.85546875" style="43" bestFit="1" customWidth="1"/>
    <col min="2" max="2" width="20.140625" style="6" bestFit="1" customWidth="1"/>
    <col min="3" max="3" width="29.140625" style="6" bestFit="1" customWidth="1"/>
    <col min="4" max="4" width="8.5703125" style="6" bestFit="1" customWidth="1"/>
    <col min="5" max="5" width="7.5703125" style="6" bestFit="1" customWidth="1"/>
    <col min="6" max="6" width="20" style="6" bestFit="1" customWidth="1"/>
    <col min="7" max="7" width="40.5703125" style="6" bestFit="1" customWidth="1"/>
    <col min="8" max="11" width="6.42578125" style="27" bestFit="1" customWidth="1"/>
    <col min="12" max="12" width="6.42578125" style="32" bestFit="1" customWidth="1"/>
    <col min="13" max="13" width="9.85546875" style="27" bestFit="1" customWidth="1"/>
    <col min="14" max="14" width="15.5703125" style="6" bestFit="1" customWidth="1"/>
    <col min="258" max="258" width="27" bestFit="1" customWidth="1"/>
    <col min="259" max="259" width="26.85546875" bestFit="1" customWidth="1"/>
    <col min="260" max="260" width="7.7109375" bestFit="1" customWidth="1"/>
    <col min="261" max="261" width="6.7109375" bestFit="1" customWidth="1"/>
    <col min="262" max="262" width="17.28515625" bestFit="1" customWidth="1"/>
    <col min="263" max="263" width="32.42578125" bestFit="1" customWidth="1"/>
    <col min="264" max="266" width="5.5703125" bestFit="1" customWidth="1"/>
    <col min="267" max="267" width="4.85546875" bestFit="1" customWidth="1"/>
    <col min="268" max="268" width="6.7109375" bestFit="1" customWidth="1"/>
    <col min="269" max="269" width="8.5703125" bestFit="1" customWidth="1"/>
    <col min="270" max="270" width="15" bestFit="1" customWidth="1"/>
    <col min="514" max="514" width="27" bestFit="1" customWidth="1"/>
    <col min="515" max="515" width="26.85546875" bestFit="1" customWidth="1"/>
    <col min="516" max="516" width="7.7109375" bestFit="1" customWidth="1"/>
    <col min="517" max="517" width="6.7109375" bestFit="1" customWidth="1"/>
    <col min="518" max="518" width="17.28515625" bestFit="1" customWidth="1"/>
    <col min="519" max="519" width="32.42578125" bestFit="1" customWidth="1"/>
    <col min="520" max="522" width="5.5703125" bestFit="1" customWidth="1"/>
    <col min="523" max="523" width="4.85546875" bestFit="1" customWidth="1"/>
    <col min="524" max="524" width="6.7109375" bestFit="1" customWidth="1"/>
    <col min="525" max="525" width="8.5703125" bestFit="1" customWidth="1"/>
    <col min="526" max="526" width="15" bestFit="1" customWidth="1"/>
    <col min="770" max="770" width="27" bestFit="1" customWidth="1"/>
    <col min="771" max="771" width="26.85546875" bestFit="1" customWidth="1"/>
    <col min="772" max="772" width="7.7109375" bestFit="1" customWidth="1"/>
    <col min="773" max="773" width="6.7109375" bestFit="1" customWidth="1"/>
    <col min="774" max="774" width="17.28515625" bestFit="1" customWidth="1"/>
    <col min="775" max="775" width="32.42578125" bestFit="1" customWidth="1"/>
    <col min="776" max="778" width="5.5703125" bestFit="1" customWidth="1"/>
    <col min="779" max="779" width="4.85546875" bestFit="1" customWidth="1"/>
    <col min="780" max="780" width="6.7109375" bestFit="1" customWidth="1"/>
    <col min="781" max="781" width="8.5703125" bestFit="1" customWidth="1"/>
    <col min="782" max="782" width="15" bestFit="1" customWidth="1"/>
    <col min="1026" max="1026" width="27" bestFit="1" customWidth="1"/>
    <col min="1027" max="1027" width="26.85546875" bestFit="1" customWidth="1"/>
    <col min="1028" max="1028" width="7.7109375" bestFit="1" customWidth="1"/>
    <col min="1029" max="1029" width="6.7109375" bestFit="1" customWidth="1"/>
    <col min="1030" max="1030" width="17.28515625" bestFit="1" customWidth="1"/>
    <col min="1031" max="1031" width="32.42578125" bestFit="1" customWidth="1"/>
    <col min="1032" max="1034" width="5.5703125" bestFit="1" customWidth="1"/>
    <col min="1035" max="1035" width="4.85546875" bestFit="1" customWidth="1"/>
    <col min="1036" max="1036" width="6.7109375" bestFit="1" customWidth="1"/>
    <col min="1037" max="1037" width="8.5703125" bestFit="1" customWidth="1"/>
    <col min="1038" max="1038" width="15" bestFit="1" customWidth="1"/>
    <col min="1282" max="1282" width="27" bestFit="1" customWidth="1"/>
    <col min="1283" max="1283" width="26.85546875" bestFit="1" customWidth="1"/>
    <col min="1284" max="1284" width="7.7109375" bestFit="1" customWidth="1"/>
    <col min="1285" max="1285" width="6.7109375" bestFit="1" customWidth="1"/>
    <col min="1286" max="1286" width="17.28515625" bestFit="1" customWidth="1"/>
    <col min="1287" max="1287" width="32.42578125" bestFit="1" customWidth="1"/>
    <col min="1288" max="1290" width="5.5703125" bestFit="1" customWidth="1"/>
    <col min="1291" max="1291" width="4.85546875" bestFit="1" customWidth="1"/>
    <col min="1292" max="1292" width="6.7109375" bestFit="1" customWidth="1"/>
    <col min="1293" max="1293" width="8.5703125" bestFit="1" customWidth="1"/>
    <col min="1294" max="1294" width="15" bestFit="1" customWidth="1"/>
    <col min="1538" max="1538" width="27" bestFit="1" customWidth="1"/>
    <col min="1539" max="1539" width="26.85546875" bestFit="1" customWidth="1"/>
    <col min="1540" max="1540" width="7.7109375" bestFit="1" customWidth="1"/>
    <col min="1541" max="1541" width="6.7109375" bestFit="1" customWidth="1"/>
    <col min="1542" max="1542" width="17.28515625" bestFit="1" customWidth="1"/>
    <col min="1543" max="1543" width="32.42578125" bestFit="1" customWidth="1"/>
    <col min="1544" max="1546" width="5.5703125" bestFit="1" customWidth="1"/>
    <col min="1547" max="1547" width="4.85546875" bestFit="1" customWidth="1"/>
    <col min="1548" max="1548" width="6.7109375" bestFit="1" customWidth="1"/>
    <col min="1549" max="1549" width="8.5703125" bestFit="1" customWidth="1"/>
    <col min="1550" max="1550" width="15" bestFit="1" customWidth="1"/>
    <col min="1794" max="1794" width="27" bestFit="1" customWidth="1"/>
    <col min="1795" max="1795" width="26.85546875" bestFit="1" customWidth="1"/>
    <col min="1796" max="1796" width="7.7109375" bestFit="1" customWidth="1"/>
    <col min="1797" max="1797" width="6.7109375" bestFit="1" customWidth="1"/>
    <col min="1798" max="1798" width="17.28515625" bestFit="1" customWidth="1"/>
    <col min="1799" max="1799" width="32.42578125" bestFit="1" customWidth="1"/>
    <col min="1800" max="1802" width="5.5703125" bestFit="1" customWidth="1"/>
    <col min="1803" max="1803" width="4.85546875" bestFit="1" customWidth="1"/>
    <col min="1804" max="1804" width="6.7109375" bestFit="1" customWidth="1"/>
    <col min="1805" max="1805" width="8.5703125" bestFit="1" customWidth="1"/>
    <col min="1806" max="1806" width="15" bestFit="1" customWidth="1"/>
    <col min="2050" max="2050" width="27" bestFit="1" customWidth="1"/>
    <col min="2051" max="2051" width="26.85546875" bestFit="1" customWidth="1"/>
    <col min="2052" max="2052" width="7.7109375" bestFit="1" customWidth="1"/>
    <col min="2053" max="2053" width="6.7109375" bestFit="1" customWidth="1"/>
    <col min="2054" max="2054" width="17.28515625" bestFit="1" customWidth="1"/>
    <col min="2055" max="2055" width="32.42578125" bestFit="1" customWidth="1"/>
    <col min="2056" max="2058" width="5.5703125" bestFit="1" customWidth="1"/>
    <col min="2059" max="2059" width="4.85546875" bestFit="1" customWidth="1"/>
    <col min="2060" max="2060" width="6.7109375" bestFit="1" customWidth="1"/>
    <col min="2061" max="2061" width="8.5703125" bestFit="1" customWidth="1"/>
    <col min="2062" max="2062" width="15" bestFit="1" customWidth="1"/>
    <col min="2306" max="2306" width="27" bestFit="1" customWidth="1"/>
    <col min="2307" max="2307" width="26.85546875" bestFit="1" customWidth="1"/>
    <col min="2308" max="2308" width="7.7109375" bestFit="1" customWidth="1"/>
    <col min="2309" max="2309" width="6.7109375" bestFit="1" customWidth="1"/>
    <col min="2310" max="2310" width="17.28515625" bestFit="1" customWidth="1"/>
    <col min="2311" max="2311" width="32.42578125" bestFit="1" customWidth="1"/>
    <col min="2312" max="2314" width="5.5703125" bestFit="1" customWidth="1"/>
    <col min="2315" max="2315" width="4.85546875" bestFit="1" customWidth="1"/>
    <col min="2316" max="2316" width="6.7109375" bestFit="1" customWidth="1"/>
    <col min="2317" max="2317" width="8.5703125" bestFit="1" customWidth="1"/>
    <col min="2318" max="2318" width="15" bestFit="1" customWidth="1"/>
    <col min="2562" max="2562" width="27" bestFit="1" customWidth="1"/>
    <col min="2563" max="2563" width="26.85546875" bestFit="1" customWidth="1"/>
    <col min="2564" max="2564" width="7.7109375" bestFit="1" customWidth="1"/>
    <col min="2565" max="2565" width="6.7109375" bestFit="1" customWidth="1"/>
    <col min="2566" max="2566" width="17.28515625" bestFit="1" customWidth="1"/>
    <col min="2567" max="2567" width="32.42578125" bestFit="1" customWidth="1"/>
    <col min="2568" max="2570" width="5.5703125" bestFit="1" customWidth="1"/>
    <col min="2571" max="2571" width="4.85546875" bestFit="1" customWidth="1"/>
    <col min="2572" max="2572" width="6.7109375" bestFit="1" customWidth="1"/>
    <col min="2573" max="2573" width="8.5703125" bestFit="1" customWidth="1"/>
    <col min="2574" max="2574" width="15" bestFit="1" customWidth="1"/>
    <col min="2818" max="2818" width="27" bestFit="1" customWidth="1"/>
    <col min="2819" max="2819" width="26.85546875" bestFit="1" customWidth="1"/>
    <col min="2820" max="2820" width="7.7109375" bestFit="1" customWidth="1"/>
    <col min="2821" max="2821" width="6.7109375" bestFit="1" customWidth="1"/>
    <col min="2822" max="2822" width="17.28515625" bestFit="1" customWidth="1"/>
    <col min="2823" max="2823" width="32.42578125" bestFit="1" customWidth="1"/>
    <col min="2824" max="2826" width="5.5703125" bestFit="1" customWidth="1"/>
    <col min="2827" max="2827" width="4.85546875" bestFit="1" customWidth="1"/>
    <col min="2828" max="2828" width="6.7109375" bestFit="1" customWidth="1"/>
    <col min="2829" max="2829" width="8.5703125" bestFit="1" customWidth="1"/>
    <col min="2830" max="2830" width="15" bestFit="1" customWidth="1"/>
    <col min="3074" max="3074" width="27" bestFit="1" customWidth="1"/>
    <col min="3075" max="3075" width="26.85546875" bestFit="1" customWidth="1"/>
    <col min="3076" max="3076" width="7.7109375" bestFit="1" customWidth="1"/>
    <col min="3077" max="3077" width="6.7109375" bestFit="1" customWidth="1"/>
    <col min="3078" max="3078" width="17.28515625" bestFit="1" customWidth="1"/>
    <col min="3079" max="3079" width="32.42578125" bestFit="1" customWidth="1"/>
    <col min="3080" max="3082" width="5.5703125" bestFit="1" customWidth="1"/>
    <col min="3083" max="3083" width="4.85546875" bestFit="1" customWidth="1"/>
    <col min="3084" max="3084" width="6.7109375" bestFit="1" customWidth="1"/>
    <col min="3085" max="3085" width="8.5703125" bestFit="1" customWidth="1"/>
    <col min="3086" max="3086" width="15" bestFit="1" customWidth="1"/>
    <col min="3330" max="3330" width="27" bestFit="1" customWidth="1"/>
    <col min="3331" max="3331" width="26.85546875" bestFit="1" customWidth="1"/>
    <col min="3332" max="3332" width="7.7109375" bestFit="1" customWidth="1"/>
    <col min="3333" max="3333" width="6.7109375" bestFit="1" customWidth="1"/>
    <col min="3334" max="3334" width="17.28515625" bestFit="1" customWidth="1"/>
    <col min="3335" max="3335" width="32.42578125" bestFit="1" customWidth="1"/>
    <col min="3336" max="3338" width="5.5703125" bestFit="1" customWidth="1"/>
    <col min="3339" max="3339" width="4.85546875" bestFit="1" customWidth="1"/>
    <col min="3340" max="3340" width="6.7109375" bestFit="1" customWidth="1"/>
    <col min="3341" max="3341" width="8.5703125" bestFit="1" customWidth="1"/>
    <col min="3342" max="3342" width="15" bestFit="1" customWidth="1"/>
    <col min="3586" max="3586" width="27" bestFit="1" customWidth="1"/>
    <col min="3587" max="3587" width="26.85546875" bestFit="1" customWidth="1"/>
    <col min="3588" max="3588" width="7.7109375" bestFit="1" customWidth="1"/>
    <col min="3589" max="3589" width="6.7109375" bestFit="1" customWidth="1"/>
    <col min="3590" max="3590" width="17.28515625" bestFit="1" customWidth="1"/>
    <col min="3591" max="3591" width="32.42578125" bestFit="1" customWidth="1"/>
    <col min="3592" max="3594" width="5.5703125" bestFit="1" customWidth="1"/>
    <col min="3595" max="3595" width="4.85546875" bestFit="1" customWidth="1"/>
    <col min="3596" max="3596" width="6.7109375" bestFit="1" customWidth="1"/>
    <col min="3597" max="3597" width="8.5703125" bestFit="1" customWidth="1"/>
    <col min="3598" max="3598" width="15" bestFit="1" customWidth="1"/>
    <col min="3842" max="3842" width="27" bestFit="1" customWidth="1"/>
    <col min="3843" max="3843" width="26.85546875" bestFit="1" customWidth="1"/>
    <col min="3844" max="3844" width="7.7109375" bestFit="1" customWidth="1"/>
    <col min="3845" max="3845" width="6.7109375" bestFit="1" customWidth="1"/>
    <col min="3846" max="3846" width="17.28515625" bestFit="1" customWidth="1"/>
    <col min="3847" max="3847" width="32.42578125" bestFit="1" customWidth="1"/>
    <col min="3848" max="3850" width="5.5703125" bestFit="1" customWidth="1"/>
    <col min="3851" max="3851" width="4.85546875" bestFit="1" customWidth="1"/>
    <col min="3852" max="3852" width="6.7109375" bestFit="1" customWidth="1"/>
    <col min="3853" max="3853" width="8.5703125" bestFit="1" customWidth="1"/>
    <col min="3854" max="3854" width="15" bestFit="1" customWidth="1"/>
    <col min="4098" max="4098" width="27" bestFit="1" customWidth="1"/>
    <col min="4099" max="4099" width="26.85546875" bestFit="1" customWidth="1"/>
    <col min="4100" max="4100" width="7.7109375" bestFit="1" customWidth="1"/>
    <col min="4101" max="4101" width="6.7109375" bestFit="1" customWidth="1"/>
    <col min="4102" max="4102" width="17.28515625" bestFit="1" customWidth="1"/>
    <col min="4103" max="4103" width="32.42578125" bestFit="1" customWidth="1"/>
    <col min="4104" max="4106" width="5.5703125" bestFit="1" customWidth="1"/>
    <col min="4107" max="4107" width="4.85546875" bestFit="1" customWidth="1"/>
    <col min="4108" max="4108" width="6.7109375" bestFit="1" customWidth="1"/>
    <col min="4109" max="4109" width="8.5703125" bestFit="1" customWidth="1"/>
    <col min="4110" max="4110" width="15" bestFit="1" customWidth="1"/>
    <col min="4354" max="4354" width="27" bestFit="1" customWidth="1"/>
    <col min="4355" max="4355" width="26.85546875" bestFit="1" customWidth="1"/>
    <col min="4356" max="4356" width="7.7109375" bestFit="1" customWidth="1"/>
    <col min="4357" max="4357" width="6.7109375" bestFit="1" customWidth="1"/>
    <col min="4358" max="4358" width="17.28515625" bestFit="1" customWidth="1"/>
    <col min="4359" max="4359" width="32.42578125" bestFit="1" customWidth="1"/>
    <col min="4360" max="4362" width="5.5703125" bestFit="1" customWidth="1"/>
    <col min="4363" max="4363" width="4.85546875" bestFit="1" customWidth="1"/>
    <col min="4364" max="4364" width="6.7109375" bestFit="1" customWidth="1"/>
    <col min="4365" max="4365" width="8.5703125" bestFit="1" customWidth="1"/>
    <col min="4366" max="4366" width="15" bestFit="1" customWidth="1"/>
    <col min="4610" max="4610" width="27" bestFit="1" customWidth="1"/>
    <col min="4611" max="4611" width="26.85546875" bestFit="1" customWidth="1"/>
    <col min="4612" max="4612" width="7.7109375" bestFit="1" customWidth="1"/>
    <col min="4613" max="4613" width="6.7109375" bestFit="1" customWidth="1"/>
    <col min="4614" max="4614" width="17.28515625" bestFit="1" customWidth="1"/>
    <col min="4615" max="4615" width="32.42578125" bestFit="1" customWidth="1"/>
    <col min="4616" max="4618" width="5.5703125" bestFit="1" customWidth="1"/>
    <col min="4619" max="4619" width="4.85546875" bestFit="1" customWidth="1"/>
    <col min="4620" max="4620" width="6.7109375" bestFit="1" customWidth="1"/>
    <col min="4621" max="4621" width="8.5703125" bestFit="1" customWidth="1"/>
    <col min="4622" max="4622" width="15" bestFit="1" customWidth="1"/>
    <col min="4866" max="4866" width="27" bestFit="1" customWidth="1"/>
    <col min="4867" max="4867" width="26.85546875" bestFit="1" customWidth="1"/>
    <col min="4868" max="4868" width="7.7109375" bestFit="1" customWidth="1"/>
    <col min="4869" max="4869" width="6.7109375" bestFit="1" customWidth="1"/>
    <col min="4870" max="4870" width="17.28515625" bestFit="1" customWidth="1"/>
    <col min="4871" max="4871" width="32.42578125" bestFit="1" customWidth="1"/>
    <col min="4872" max="4874" width="5.5703125" bestFit="1" customWidth="1"/>
    <col min="4875" max="4875" width="4.85546875" bestFit="1" customWidth="1"/>
    <col min="4876" max="4876" width="6.7109375" bestFit="1" customWidth="1"/>
    <col min="4877" max="4877" width="8.5703125" bestFit="1" customWidth="1"/>
    <col min="4878" max="4878" width="15" bestFit="1" customWidth="1"/>
    <col min="5122" max="5122" width="27" bestFit="1" customWidth="1"/>
    <col min="5123" max="5123" width="26.85546875" bestFit="1" customWidth="1"/>
    <col min="5124" max="5124" width="7.7109375" bestFit="1" customWidth="1"/>
    <col min="5125" max="5125" width="6.7109375" bestFit="1" customWidth="1"/>
    <col min="5126" max="5126" width="17.28515625" bestFit="1" customWidth="1"/>
    <col min="5127" max="5127" width="32.42578125" bestFit="1" customWidth="1"/>
    <col min="5128" max="5130" width="5.5703125" bestFit="1" customWidth="1"/>
    <col min="5131" max="5131" width="4.85546875" bestFit="1" customWidth="1"/>
    <col min="5132" max="5132" width="6.7109375" bestFit="1" customWidth="1"/>
    <col min="5133" max="5133" width="8.5703125" bestFit="1" customWidth="1"/>
    <col min="5134" max="5134" width="15" bestFit="1" customWidth="1"/>
    <col min="5378" max="5378" width="27" bestFit="1" customWidth="1"/>
    <col min="5379" max="5379" width="26.85546875" bestFit="1" customWidth="1"/>
    <col min="5380" max="5380" width="7.7109375" bestFit="1" customWidth="1"/>
    <col min="5381" max="5381" width="6.7109375" bestFit="1" customWidth="1"/>
    <col min="5382" max="5382" width="17.28515625" bestFit="1" customWidth="1"/>
    <col min="5383" max="5383" width="32.42578125" bestFit="1" customWidth="1"/>
    <col min="5384" max="5386" width="5.5703125" bestFit="1" customWidth="1"/>
    <col min="5387" max="5387" width="4.85546875" bestFit="1" customWidth="1"/>
    <col min="5388" max="5388" width="6.7109375" bestFit="1" customWidth="1"/>
    <col min="5389" max="5389" width="8.5703125" bestFit="1" customWidth="1"/>
    <col min="5390" max="5390" width="15" bestFit="1" customWidth="1"/>
    <col min="5634" max="5634" width="27" bestFit="1" customWidth="1"/>
    <col min="5635" max="5635" width="26.85546875" bestFit="1" customWidth="1"/>
    <col min="5636" max="5636" width="7.7109375" bestFit="1" customWidth="1"/>
    <col min="5637" max="5637" width="6.7109375" bestFit="1" customWidth="1"/>
    <col min="5638" max="5638" width="17.28515625" bestFit="1" customWidth="1"/>
    <col min="5639" max="5639" width="32.42578125" bestFit="1" customWidth="1"/>
    <col min="5640" max="5642" width="5.5703125" bestFit="1" customWidth="1"/>
    <col min="5643" max="5643" width="4.85546875" bestFit="1" customWidth="1"/>
    <col min="5644" max="5644" width="6.7109375" bestFit="1" customWidth="1"/>
    <col min="5645" max="5645" width="8.5703125" bestFit="1" customWidth="1"/>
    <col min="5646" max="5646" width="15" bestFit="1" customWidth="1"/>
    <col min="5890" max="5890" width="27" bestFit="1" customWidth="1"/>
    <col min="5891" max="5891" width="26.85546875" bestFit="1" customWidth="1"/>
    <col min="5892" max="5892" width="7.7109375" bestFit="1" customWidth="1"/>
    <col min="5893" max="5893" width="6.7109375" bestFit="1" customWidth="1"/>
    <col min="5894" max="5894" width="17.28515625" bestFit="1" customWidth="1"/>
    <col min="5895" max="5895" width="32.42578125" bestFit="1" customWidth="1"/>
    <col min="5896" max="5898" width="5.5703125" bestFit="1" customWidth="1"/>
    <col min="5899" max="5899" width="4.85546875" bestFit="1" customWidth="1"/>
    <col min="5900" max="5900" width="6.7109375" bestFit="1" customWidth="1"/>
    <col min="5901" max="5901" width="8.5703125" bestFit="1" customWidth="1"/>
    <col min="5902" max="5902" width="15" bestFit="1" customWidth="1"/>
    <col min="6146" max="6146" width="27" bestFit="1" customWidth="1"/>
    <col min="6147" max="6147" width="26.85546875" bestFit="1" customWidth="1"/>
    <col min="6148" max="6148" width="7.7109375" bestFit="1" customWidth="1"/>
    <col min="6149" max="6149" width="6.7109375" bestFit="1" customWidth="1"/>
    <col min="6150" max="6150" width="17.28515625" bestFit="1" customWidth="1"/>
    <col min="6151" max="6151" width="32.42578125" bestFit="1" customWidth="1"/>
    <col min="6152" max="6154" width="5.5703125" bestFit="1" customWidth="1"/>
    <col min="6155" max="6155" width="4.85546875" bestFit="1" customWidth="1"/>
    <col min="6156" max="6156" width="6.7109375" bestFit="1" customWidth="1"/>
    <col min="6157" max="6157" width="8.5703125" bestFit="1" customWidth="1"/>
    <col min="6158" max="6158" width="15" bestFit="1" customWidth="1"/>
    <col min="6402" max="6402" width="27" bestFit="1" customWidth="1"/>
    <col min="6403" max="6403" width="26.85546875" bestFit="1" customWidth="1"/>
    <col min="6404" max="6404" width="7.7109375" bestFit="1" customWidth="1"/>
    <col min="6405" max="6405" width="6.7109375" bestFit="1" customWidth="1"/>
    <col min="6406" max="6406" width="17.28515625" bestFit="1" customWidth="1"/>
    <col min="6407" max="6407" width="32.42578125" bestFit="1" customWidth="1"/>
    <col min="6408" max="6410" width="5.5703125" bestFit="1" customWidth="1"/>
    <col min="6411" max="6411" width="4.85546875" bestFit="1" customWidth="1"/>
    <col min="6412" max="6412" width="6.7109375" bestFit="1" customWidth="1"/>
    <col min="6413" max="6413" width="8.5703125" bestFit="1" customWidth="1"/>
    <col min="6414" max="6414" width="15" bestFit="1" customWidth="1"/>
    <col min="6658" max="6658" width="27" bestFit="1" customWidth="1"/>
    <col min="6659" max="6659" width="26.85546875" bestFit="1" customWidth="1"/>
    <col min="6660" max="6660" width="7.7109375" bestFit="1" customWidth="1"/>
    <col min="6661" max="6661" width="6.7109375" bestFit="1" customWidth="1"/>
    <col min="6662" max="6662" width="17.28515625" bestFit="1" customWidth="1"/>
    <col min="6663" max="6663" width="32.42578125" bestFit="1" customWidth="1"/>
    <col min="6664" max="6666" width="5.5703125" bestFit="1" customWidth="1"/>
    <col min="6667" max="6667" width="4.85546875" bestFit="1" customWidth="1"/>
    <col min="6668" max="6668" width="6.7109375" bestFit="1" customWidth="1"/>
    <col min="6669" max="6669" width="8.5703125" bestFit="1" customWidth="1"/>
    <col min="6670" max="6670" width="15" bestFit="1" customWidth="1"/>
    <col min="6914" max="6914" width="27" bestFit="1" customWidth="1"/>
    <col min="6915" max="6915" width="26.85546875" bestFit="1" customWidth="1"/>
    <col min="6916" max="6916" width="7.7109375" bestFit="1" customWidth="1"/>
    <col min="6917" max="6917" width="6.7109375" bestFit="1" customWidth="1"/>
    <col min="6918" max="6918" width="17.28515625" bestFit="1" customWidth="1"/>
    <col min="6919" max="6919" width="32.42578125" bestFit="1" customWidth="1"/>
    <col min="6920" max="6922" width="5.5703125" bestFit="1" customWidth="1"/>
    <col min="6923" max="6923" width="4.85546875" bestFit="1" customWidth="1"/>
    <col min="6924" max="6924" width="6.7109375" bestFit="1" customWidth="1"/>
    <col min="6925" max="6925" width="8.5703125" bestFit="1" customWidth="1"/>
    <col min="6926" max="6926" width="15" bestFit="1" customWidth="1"/>
    <col min="7170" max="7170" width="27" bestFit="1" customWidth="1"/>
    <col min="7171" max="7171" width="26.85546875" bestFit="1" customWidth="1"/>
    <col min="7172" max="7172" width="7.7109375" bestFit="1" customWidth="1"/>
    <col min="7173" max="7173" width="6.7109375" bestFit="1" customWidth="1"/>
    <col min="7174" max="7174" width="17.28515625" bestFit="1" customWidth="1"/>
    <col min="7175" max="7175" width="32.42578125" bestFit="1" customWidth="1"/>
    <col min="7176" max="7178" width="5.5703125" bestFit="1" customWidth="1"/>
    <col min="7179" max="7179" width="4.85546875" bestFit="1" customWidth="1"/>
    <col min="7180" max="7180" width="6.7109375" bestFit="1" customWidth="1"/>
    <col min="7181" max="7181" width="8.5703125" bestFit="1" customWidth="1"/>
    <col min="7182" max="7182" width="15" bestFit="1" customWidth="1"/>
    <col min="7426" max="7426" width="27" bestFit="1" customWidth="1"/>
    <col min="7427" max="7427" width="26.85546875" bestFit="1" customWidth="1"/>
    <col min="7428" max="7428" width="7.7109375" bestFit="1" customWidth="1"/>
    <col min="7429" max="7429" width="6.7109375" bestFit="1" customWidth="1"/>
    <col min="7430" max="7430" width="17.28515625" bestFit="1" customWidth="1"/>
    <col min="7431" max="7431" width="32.42578125" bestFit="1" customWidth="1"/>
    <col min="7432" max="7434" width="5.5703125" bestFit="1" customWidth="1"/>
    <col min="7435" max="7435" width="4.85546875" bestFit="1" customWidth="1"/>
    <col min="7436" max="7436" width="6.7109375" bestFit="1" customWidth="1"/>
    <col min="7437" max="7437" width="8.5703125" bestFit="1" customWidth="1"/>
    <col min="7438" max="7438" width="15" bestFit="1" customWidth="1"/>
    <col min="7682" max="7682" width="27" bestFit="1" customWidth="1"/>
    <col min="7683" max="7683" width="26.85546875" bestFit="1" customWidth="1"/>
    <col min="7684" max="7684" width="7.7109375" bestFit="1" customWidth="1"/>
    <col min="7685" max="7685" width="6.7109375" bestFit="1" customWidth="1"/>
    <col min="7686" max="7686" width="17.28515625" bestFit="1" customWidth="1"/>
    <col min="7687" max="7687" width="32.42578125" bestFit="1" customWidth="1"/>
    <col min="7688" max="7690" width="5.5703125" bestFit="1" customWidth="1"/>
    <col min="7691" max="7691" width="4.85546875" bestFit="1" customWidth="1"/>
    <col min="7692" max="7692" width="6.7109375" bestFit="1" customWidth="1"/>
    <col min="7693" max="7693" width="8.5703125" bestFit="1" customWidth="1"/>
    <col min="7694" max="7694" width="15" bestFit="1" customWidth="1"/>
    <col min="7938" max="7938" width="27" bestFit="1" customWidth="1"/>
    <col min="7939" max="7939" width="26.85546875" bestFit="1" customWidth="1"/>
    <col min="7940" max="7940" width="7.7109375" bestFit="1" customWidth="1"/>
    <col min="7941" max="7941" width="6.7109375" bestFit="1" customWidth="1"/>
    <col min="7942" max="7942" width="17.28515625" bestFit="1" customWidth="1"/>
    <col min="7943" max="7943" width="32.42578125" bestFit="1" customWidth="1"/>
    <col min="7944" max="7946" width="5.5703125" bestFit="1" customWidth="1"/>
    <col min="7947" max="7947" width="4.85546875" bestFit="1" customWidth="1"/>
    <col min="7948" max="7948" width="6.7109375" bestFit="1" customWidth="1"/>
    <col min="7949" max="7949" width="8.5703125" bestFit="1" customWidth="1"/>
    <col min="7950" max="7950" width="15" bestFit="1" customWidth="1"/>
    <col min="8194" max="8194" width="27" bestFit="1" customWidth="1"/>
    <col min="8195" max="8195" width="26.85546875" bestFit="1" customWidth="1"/>
    <col min="8196" max="8196" width="7.7109375" bestFit="1" customWidth="1"/>
    <col min="8197" max="8197" width="6.7109375" bestFit="1" customWidth="1"/>
    <col min="8198" max="8198" width="17.28515625" bestFit="1" customWidth="1"/>
    <col min="8199" max="8199" width="32.42578125" bestFit="1" customWidth="1"/>
    <col min="8200" max="8202" width="5.5703125" bestFit="1" customWidth="1"/>
    <col min="8203" max="8203" width="4.85546875" bestFit="1" customWidth="1"/>
    <col min="8204" max="8204" width="6.7109375" bestFit="1" customWidth="1"/>
    <col min="8205" max="8205" width="8.5703125" bestFit="1" customWidth="1"/>
    <col min="8206" max="8206" width="15" bestFit="1" customWidth="1"/>
    <col min="8450" max="8450" width="27" bestFit="1" customWidth="1"/>
    <col min="8451" max="8451" width="26.85546875" bestFit="1" customWidth="1"/>
    <col min="8452" max="8452" width="7.7109375" bestFit="1" customWidth="1"/>
    <col min="8453" max="8453" width="6.7109375" bestFit="1" customWidth="1"/>
    <col min="8454" max="8454" width="17.28515625" bestFit="1" customWidth="1"/>
    <col min="8455" max="8455" width="32.42578125" bestFit="1" customWidth="1"/>
    <col min="8456" max="8458" width="5.5703125" bestFit="1" customWidth="1"/>
    <col min="8459" max="8459" width="4.85546875" bestFit="1" customWidth="1"/>
    <col min="8460" max="8460" width="6.7109375" bestFit="1" customWidth="1"/>
    <col min="8461" max="8461" width="8.5703125" bestFit="1" customWidth="1"/>
    <col min="8462" max="8462" width="15" bestFit="1" customWidth="1"/>
    <col min="8706" max="8706" width="27" bestFit="1" customWidth="1"/>
    <col min="8707" max="8707" width="26.85546875" bestFit="1" customWidth="1"/>
    <col min="8708" max="8708" width="7.7109375" bestFit="1" customWidth="1"/>
    <col min="8709" max="8709" width="6.7109375" bestFit="1" customWidth="1"/>
    <col min="8710" max="8710" width="17.28515625" bestFit="1" customWidth="1"/>
    <col min="8711" max="8711" width="32.42578125" bestFit="1" customWidth="1"/>
    <col min="8712" max="8714" width="5.5703125" bestFit="1" customWidth="1"/>
    <col min="8715" max="8715" width="4.85546875" bestFit="1" customWidth="1"/>
    <col min="8716" max="8716" width="6.7109375" bestFit="1" customWidth="1"/>
    <col min="8717" max="8717" width="8.5703125" bestFit="1" customWidth="1"/>
    <col min="8718" max="8718" width="15" bestFit="1" customWidth="1"/>
    <col min="8962" max="8962" width="27" bestFit="1" customWidth="1"/>
    <col min="8963" max="8963" width="26.85546875" bestFit="1" customWidth="1"/>
    <col min="8964" max="8964" width="7.7109375" bestFit="1" customWidth="1"/>
    <col min="8965" max="8965" width="6.7109375" bestFit="1" customWidth="1"/>
    <col min="8966" max="8966" width="17.28515625" bestFit="1" customWidth="1"/>
    <col min="8967" max="8967" width="32.42578125" bestFit="1" customWidth="1"/>
    <col min="8968" max="8970" width="5.5703125" bestFit="1" customWidth="1"/>
    <col min="8971" max="8971" width="4.85546875" bestFit="1" customWidth="1"/>
    <col min="8972" max="8972" width="6.7109375" bestFit="1" customWidth="1"/>
    <col min="8973" max="8973" width="8.5703125" bestFit="1" customWidth="1"/>
    <col min="8974" max="8974" width="15" bestFit="1" customWidth="1"/>
    <col min="9218" max="9218" width="27" bestFit="1" customWidth="1"/>
    <col min="9219" max="9219" width="26.85546875" bestFit="1" customWidth="1"/>
    <col min="9220" max="9220" width="7.7109375" bestFit="1" customWidth="1"/>
    <col min="9221" max="9221" width="6.7109375" bestFit="1" customWidth="1"/>
    <col min="9222" max="9222" width="17.28515625" bestFit="1" customWidth="1"/>
    <col min="9223" max="9223" width="32.42578125" bestFit="1" customWidth="1"/>
    <col min="9224" max="9226" width="5.5703125" bestFit="1" customWidth="1"/>
    <col min="9227" max="9227" width="4.85546875" bestFit="1" customWidth="1"/>
    <col min="9228" max="9228" width="6.7109375" bestFit="1" customWidth="1"/>
    <col min="9229" max="9229" width="8.5703125" bestFit="1" customWidth="1"/>
    <col min="9230" max="9230" width="15" bestFit="1" customWidth="1"/>
    <col min="9474" max="9474" width="27" bestFit="1" customWidth="1"/>
    <col min="9475" max="9475" width="26.85546875" bestFit="1" customWidth="1"/>
    <col min="9476" max="9476" width="7.7109375" bestFit="1" customWidth="1"/>
    <col min="9477" max="9477" width="6.7109375" bestFit="1" customWidth="1"/>
    <col min="9478" max="9478" width="17.28515625" bestFit="1" customWidth="1"/>
    <col min="9479" max="9479" width="32.42578125" bestFit="1" customWidth="1"/>
    <col min="9480" max="9482" width="5.5703125" bestFit="1" customWidth="1"/>
    <col min="9483" max="9483" width="4.85546875" bestFit="1" customWidth="1"/>
    <col min="9484" max="9484" width="6.7109375" bestFit="1" customWidth="1"/>
    <col min="9485" max="9485" width="8.5703125" bestFit="1" customWidth="1"/>
    <col min="9486" max="9486" width="15" bestFit="1" customWidth="1"/>
    <col min="9730" max="9730" width="27" bestFit="1" customWidth="1"/>
    <col min="9731" max="9731" width="26.85546875" bestFit="1" customWidth="1"/>
    <col min="9732" max="9732" width="7.7109375" bestFit="1" customWidth="1"/>
    <col min="9733" max="9733" width="6.7109375" bestFit="1" customWidth="1"/>
    <col min="9734" max="9734" width="17.28515625" bestFit="1" customWidth="1"/>
    <col min="9735" max="9735" width="32.42578125" bestFit="1" customWidth="1"/>
    <col min="9736" max="9738" width="5.5703125" bestFit="1" customWidth="1"/>
    <col min="9739" max="9739" width="4.85546875" bestFit="1" customWidth="1"/>
    <col min="9740" max="9740" width="6.7109375" bestFit="1" customWidth="1"/>
    <col min="9741" max="9741" width="8.5703125" bestFit="1" customWidth="1"/>
    <col min="9742" max="9742" width="15" bestFit="1" customWidth="1"/>
    <col min="9986" max="9986" width="27" bestFit="1" customWidth="1"/>
    <col min="9987" max="9987" width="26.85546875" bestFit="1" customWidth="1"/>
    <col min="9988" max="9988" width="7.7109375" bestFit="1" customWidth="1"/>
    <col min="9989" max="9989" width="6.7109375" bestFit="1" customWidth="1"/>
    <col min="9990" max="9990" width="17.28515625" bestFit="1" customWidth="1"/>
    <col min="9991" max="9991" width="32.42578125" bestFit="1" customWidth="1"/>
    <col min="9992" max="9994" width="5.5703125" bestFit="1" customWidth="1"/>
    <col min="9995" max="9995" width="4.85546875" bestFit="1" customWidth="1"/>
    <col min="9996" max="9996" width="6.7109375" bestFit="1" customWidth="1"/>
    <col min="9997" max="9997" width="8.5703125" bestFit="1" customWidth="1"/>
    <col min="9998" max="9998" width="15" bestFit="1" customWidth="1"/>
    <col min="10242" max="10242" width="27" bestFit="1" customWidth="1"/>
    <col min="10243" max="10243" width="26.85546875" bestFit="1" customWidth="1"/>
    <col min="10244" max="10244" width="7.7109375" bestFit="1" customWidth="1"/>
    <col min="10245" max="10245" width="6.7109375" bestFit="1" customWidth="1"/>
    <col min="10246" max="10246" width="17.28515625" bestFit="1" customWidth="1"/>
    <col min="10247" max="10247" width="32.42578125" bestFit="1" customWidth="1"/>
    <col min="10248" max="10250" width="5.5703125" bestFit="1" customWidth="1"/>
    <col min="10251" max="10251" width="4.85546875" bestFit="1" customWidth="1"/>
    <col min="10252" max="10252" width="6.7109375" bestFit="1" customWidth="1"/>
    <col min="10253" max="10253" width="8.5703125" bestFit="1" customWidth="1"/>
    <col min="10254" max="10254" width="15" bestFit="1" customWidth="1"/>
    <col min="10498" max="10498" width="27" bestFit="1" customWidth="1"/>
    <col min="10499" max="10499" width="26.85546875" bestFit="1" customWidth="1"/>
    <col min="10500" max="10500" width="7.7109375" bestFit="1" customWidth="1"/>
    <col min="10501" max="10501" width="6.7109375" bestFit="1" customWidth="1"/>
    <col min="10502" max="10502" width="17.28515625" bestFit="1" customWidth="1"/>
    <col min="10503" max="10503" width="32.42578125" bestFit="1" customWidth="1"/>
    <col min="10504" max="10506" width="5.5703125" bestFit="1" customWidth="1"/>
    <col min="10507" max="10507" width="4.85546875" bestFit="1" customWidth="1"/>
    <col min="10508" max="10508" width="6.7109375" bestFit="1" customWidth="1"/>
    <col min="10509" max="10509" width="8.5703125" bestFit="1" customWidth="1"/>
    <col min="10510" max="10510" width="15" bestFit="1" customWidth="1"/>
    <col min="10754" max="10754" width="27" bestFit="1" customWidth="1"/>
    <col min="10755" max="10755" width="26.85546875" bestFit="1" customWidth="1"/>
    <col min="10756" max="10756" width="7.7109375" bestFit="1" customWidth="1"/>
    <col min="10757" max="10757" width="6.7109375" bestFit="1" customWidth="1"/>
    <col min="10758" max="10758" width="17.28515625" bestFit="1" customWidth="1"/>
    <col min="10759" max="10759" width="32.42578125" bestFit="1" customWidth="1"/>
    <col min="10760" max="10762" width="5.5703125" bestFit="1" customWidth="1"/>
    <col min="10763" max="10763" width="4.85546875" bestFit="1" customWidth="1"/>
    <col min="10764" max="10764" width="6.7109375" bestFit="1" customWidth="1"/>
    <col min="10765" max="10765" width="8.5703125" bestFit="1" customWidth="1"/>
    <col min="10766" max="10766" width="15" bestFit="1" customWidth="1"/>
    <col min="11010" max="11010" width="27" bestFit="1" customWidth="1"/>
    <col min="11011" max="11011" width="26.85546875" bestFit="1" customWidth="1"/>
    <col min="11012" max="11012" width="7.7109375" bestFit="1" customWidth="1"/>
    <col min="11013" max="11013" width="6.7109375" bestFit="1" customWidth="1"/>
    <col min="11014" max="11014" width="17.28515625" bestFit="1" customWidth="1"/>
    <col min="11015" max="11015" width="32.42578125" bestFit="1" customWidth="1"/>
    <col min="11016" max="11018" width="5.5703125" bestFit="1" customWidth="1"/>
    <col min="11019" max="11019" width="4.85546875" bestFit="1" customWidth="1"/>
    <col min="11020" max="11020" width="6.7109375" bestFit="1" customWidth="1"/>
    <col min="11021" max="11021" width="8.5703125" bestFit="1" customWidth="1"/>
    <col min="11022" max="11022" width="15" bestFit="1" customWidth="1"/>
    <col min="11266" max="11266" width="27" bestFit="1" customWidth="1"/>
    <col min="11267" max="11267" width="26.85546875" bestFit="1" customWidth="1"/>
    <col min="11268" max="11268" width="7.7109375" bestFit="1" customWidth="1"/>
    <col min="11269" max="11269" width="6.7109375" bestFit="1" customWidth="1"/>
    <col min="11270" max="11270" width="17.28515625" bestFit="1" customWidth="1"/>
    <col min="11271" max="11271" width="32.42578125" bestFit="1" customWidth="1"/>
    <col min="11272" max="11274" width="5.5703125" bestFit="1" customWidth="1"/>
    <col min="11275" max="11275" width="4.85546875" bestFit="1" customWidth="1"/>
    <col min="11276" max="11276" width="6.7109375" bestFit="1" customWidth="1"/>
    <col min="11277" max="11277" width="8.5703125" bestFit="1" customWidth="1"/>
    <col min="11278" max="11278" width="15" bestFit="1" customWidth="1"/>
    <col min="11522" max="11522" width="27" bestFit="1" customWidth="1"/>
    <col min="11523" max="11523" width="26.85546875" bestFit="1" customWidth="1"/>
    <col min="11524" max="11524" width="7.7109375" bestFit="1" customWidth="1"/>
    <col min="11525" max="11525" width="6.7109375" bestFit="1" customWidth="1"/>
    <col min="11526" max="11526" width="17.28515625" bestFit="1" customWidth="1"/>
    <col min="11527" max="11527" width="32.42578125" bestFit="1" customWidth="1"/>
    <col min="11528" max="11530" width="5.5703125" bestFit="1" customWidth="1"/>
    <col min="11531" max="11531" width="4.85546875" bestFit="1" customWidth="1"/>
    <col min="11532" max="11532" width="6.7109375" bestFit="1" customWidth="1"/>
    <col min="11533" max="11533" width="8.5703125" bestFit="1" customWidth="1"/>
    <col min="11534" max="11534" width="15" bestFit="1" customWidth="1"/>
    <col min="11778" max="11778" width="27" bestFit="1" customWidth="1"/>
    <col min="11779" max="11779" width="26.85546875" bestFit="1" customWidth="1"/>
    <col min="11780" max="11780" width="7.7109375" bestFit="1" customWidth="1"/>
    <col min="11781" max="11781" width="6.7109375" bestFit="1" customWidth="1"/>
    <col min="11782" max="11782" width="17.28515625" bestFit="1" customWidth="1"/>
    <col min="11783" max="11783" width="32.42578125" bestFit="1" customWidth="1"/>
    <col min="11784" max="11786" width="5.5703125" bestFit="1" customWidth="1"/>
    <col min="11787" max="11787" width="4.85546875" bestFit="1" customWidth="1"/>
    <col min="11788" max="11788" width="6.7109375" bestFit="1" customWidth="1"/>
    <col min="11789" max="11789" width="8.5703125" bestFit="1" customWidth="1"/>
    <col min="11790" max="11790" width="15" bestFit="1" customWidth="1"/>
    <col min="12034" max="12034" width="27" bestFit="1" customWidth="1"/>
    <col min="12035" max="12035" width="26.85546875" bestFit="1" customWidth="1"/>
    <col min="12036" max="12036" width="7.7109375" bestFit="1" customWidth="1"/>
    <col min="12037" max="12037" width="6.7109375" bestFit="1" customWidth="1"/>
    <col min="12038" max="12038" width="17.28515625" bestFit="1" customWidth="1"/>
    <col min="12039" max="12039" width="32.42578125" bestFit="1" customWidth="1"/>
    <col min="12040" max="12042" width="5.5703125" bestFit="1" customWidth="1"/>
    <col min="12043" max="12043" width="4.85546875" bestFit="1" customWidth="1"/>
    <col min="12044" max="12044" width="6.7109375" bestFit="1" customWidth="1"/>
    <col min="12045" max="12045" width="8.5703125" bestFit="1" customWidth="1"/>
    <col min="12046" max="12046" width="15" bestFit="1" customWidth="1"/>
    <col min="12290" max="12290" width="27" bestFit="1" customWidth="1"/>
    <col min="12291" max="12291" width="26.85546875" bestFit="1" customWidth="1"/>
    <col min="12292" max="12292" width="7.7109375" bestFit="1" customWidth="1"/>
    <col min="12293" max="12293" width="6.7109375" bestFit="1" customWidth="1"/>
    <col min="12294" max="12294" width="17.28515625" bestFit="1" customWidth="1"/>
    <col min="12295" max="12295" width="32.42578125" bestFit="1" customWidth="1"/>
    <col min="12296" max="12298" width="5.5703125" bestFit="1" customWidth="1"/>
    <col min="12299" max="12299" width="4.85546875" bestFit="1" customWidth="1"/>
    <col min="12300" max="12300" width="6.7109375" bestFit="1" customWidth="1"/>
    <col min="12301" max="12301" width="8.5703125" bestFit="1" customWidth="1"/>
    <col min="12302" max="12302" width="15" bestFit="1" customWidth="1"/>
    <col min="12546" max="12546" width="27" bestFit="1" customWidth="1"/>
    <col min="12547" max="12547" width="26.85546875" bestFit="1" customWidth="1"/>
    <col min="12548" max="12548" width="7.7109375" bestFit="1" customWidth="1"/>
    <col min="12549" max="12549" width="6.7109375" bestFit="1" customWidth="1"/>
    <col min="12550" max="12550" width="17.28515625" bestFit="1" customWidth="1"/>
    <col min="12551" max="12551" width="32.42578125" bestFit="1" customWidth="1"/>
    <col min="12552" max="12554" width="5.5703125" bestFit="1" customWidth="1"/>
    <col min="12555" max="12555" width="4.85546875" bestFit="1" customWidth="1"/>
    <col min="12556" max="12556" width="6.7109375" bestFit="1" customWidth="1"/>
    <col min="12557" max="12557" width="8.5703125" bestFit="1" customWidth="1"/>
    <col min="12558" max="12558" width="15" bestFit="1" customWidth="1"/>
    <col min="12802" max="12802" width="27" bestFit="1" customWidth="1"/>
    <col min="12803" max="12803" width="26.85546875" bestFit="1" customWidth="1"/>
    <col min="12804" max="12804" width="7.7109375" bestFit="1" customWidth="1"/>
    <col min="12805" max="12805" width="6.7109375" bestFit="1" customWidth="1"/>
    <col min="12806" max="12806" width="17.28515625" bestFit="1" customWidth="1"/>
    <col min="12807" max="12807" width="32.42578125" bestFit="1" customWidth="1"/>
    <col min="12808" max="12810" width="5.5703125" bestFit="1" customWidth="1"/>
    <col min="12811" max="12811" width="4.85546875" bestFit="1" customWidth="1"/>
    <col min="12812" max="12812" width="6.7109375" bestFit="1" customWidth="1"/>
    <col min="12813" max="12813" width="8.5703125" bestFit="1" customWidth="1"/>
    <col min="12814" max="12814" width="15" bestFit="1" customWidth="1"/>
    <col min="13058" max="13058" width="27" bestFit="1" customWidth="1"/>
    <col min="13059" max="13059" width="26.85546875" bestFit="1" customWidth="1"/>
    <col min="13060" max="13060" width="7.7109375" bestFit="1" customWidth="1"/>
    <col min="13061" max="13061" width="6.7109375" bestFit="1" customWidth="1"/>
    <col min="13062" max="13062" width="17.28515625" bestFit="1" customWidth="1"/>
    <col min="13063" max="13063" width="32.42578125" bestFit="1" customWidth="1"/>
    <col min="13064" max="13066" width="5.5703125" bestFit="1" customWidth="1"/>
    <col min="13067" max="13067" width="4.85546875" bestFit="1" customWidth="1"/>
    <col min="13068" max="13068" width="6.7109375" bestFit="1" customWidth="1"/>
    <col min="13069" max="13069" width="8.5703125" bestFit="1" customWidth="1"/>
    <col min="13070" max="13070" width="15" bestFit="1" customWidth="1"/>
    <col min="13314" max="13314" width="27" bestFit="1" customWidth="1"/>
    <col min="13315" max="13315" width="26.85546875" bestFit="1" customWidth="1"/>
    <col min="13316" max="13316" width="7.7109375" bestFit="1" customWidth="1"/>
    <col min="13317" max="13317" width="6.7109375" bestFit="1" customWidth="1"/>
    <col min="13318" max="13318" width="17.28515625" bestFit="1" customWidth="1"/>
    <col min="13319" max="13319" width="32.42578125" bestFit="1" customWidth="1"/>
    <col min="13320" max="13322" width="5.5703125" bestFit="1" customWidth="1"/>
    <col min="13323" max="13323" width="4.85546875" bestFit="1" customWidth="1"/>
    <col min="13324" max="13324" width="6.7109375" bestFit="1" customWidth="1"/>
    <col min="13325" max="13325" width="8.5703125" bestFit="1" customWidth="1"/>
    <col min="13326" max="13326" width="15" bestFit="1" customWidth="1"/>
    <col min="13570" max="13570" width="27" bestFit="1" customWidth="1"/>
    <col min="13571" max="13571" width="26.85546875" bestFit="1" customWidth="1"/>
    <col min="13572" max="13572" width="7.7109375" bestFit="1" customWidth="1"/>
    <col min="13573" max="13573" width="6.7109375" bestFit="1" customWidth="1"/>
    <col min="13574" max="13574" width="17.28515625" bestFit="1" customWidth="1"/>
    <col min="13575" max="13575" width="32.42578125" bestFit="1" customWidth="1"/>
    <col min="13576" max="13578" width="5.5703125" bestFit="1" customWidth="1"/>
    <col min="13579" max="13579" width="4.85546875" bestFit="1" customWidth="1"/>
    <col min="13580" max="13580" width="6.7109375" bestFit="1" customWidth="1"/>
    <col min="13581" max="13581" width="8.5703125" bestFit="1" customWidth="1"/>
    <col min="13582" max="13582" width="15" bestFit="1" customWidth="1"/>
    <col min="13826" max="13826" width="27" bestFit="1" customWidth="1"/>
    <col min="13827" max="13827" width="26.85546875" bestFit="1" customWidth="1"/>
    <col min="13828" max="13828" width="7.7109375" bestFit="1" customWidth="1"/>
    <col min="13829" max="13829" width="6.7109375" bestFit="1" customWidth="1"/>
    <col min="13830" max="13830" width="17.28515625" bestFit="1" customWidth="1"/>
    <col min="13831" max="13831" width="32.42578125" bestFit="1" customWidth="1"/>
    <col min="13832" max="13834" width="5.5703125" bestFit="1" customWidth="1"/>
    <col min="13835" max="13835" width="4.85546875" bestFit="1" customWidth="1"/>
    <col min="13836" max="13836" width="6.7109375" bestFit="1" customWidth="1"/>
    <col min="13837" max="13837" width="8.5703125" bestFit="1" customWidth="1"/>
    <col min="13838" max="13838" width="15" bestFit="1" customWidth="1"/>
    <col min="14082" max="14082" width="27" bestFit="1" customWidth="1"/>
    <col min="14083" max="14083" width="26.85546875" bestFit="1" customWidth="1"/>
    <col min="14084" max="14084" width="7.7109375" bestFit="1" customWidth="1"/>
    <col min="14085" max="14085" width="6.7109375" bestFit="1" customWidth="1"/>
    <col min="14086" max="14086" width="17.28515625" bestFit="1" customWidth="1"/>
    <col min="14087" max="14087" width="32.42578125" bestFit="1" customWidth="1"/>
    <col min="14088" max="14090" width="5.5703125" bestFit="1" customWidth="1"/>
    <col min="14091" max="14091" width="4.85546875" bestFit="1" customWidth="1"/>
    <col min="14092" max="14092" width="6.7109375" bestFit="1" customWidth="1"/>
    <col min="14093" max="14093" width="8.5703125" bestFit="1" customWidth="1"/>
    <col min="14094" max="14094" width="15" bestFit="1" customWidth="1"/>
    <col min="14338" max="14338" width="27" bestFit="1" customWidth="1"/>
    <col min="14339" max="14339" width="26.85546875" bestFit="1" customWidth="1"/>
    <col min="14340" max="14340" width="7.7109375" bestFit="1" customWidth="1"/>
    <col min="14341" max="14341" width="6.7109375" bestFit="1" customWidth="1"/>
    <col min="14342" max="14342" width="17.28515625" bestFit="1" customWidth="1"/>
    <col min="14343" max="14343" width="32.42578125" bestFit="1" customWidth="1"/>
    <col min="14344" max="14346" width="5.5703125" bestFit="1" customWidth="1"/>
    <col min="14347" max="14347" width="4.85546875" bestFit="1" customWidth="1"/>
    <col min="14348" max="14348" width="6.7109375" bestFit="1" customWidth="1"/>
    <col min="14349" max="14349" width="8.5703125" bestFit="1" customWidth="1"/>
    <col min="14350" max="14350" width="15" bestFit="1" customWidth="1"/>
    <col min="14594" max="14594" width="27" bestFit="1" customWidth="1"/>
    <col min="14595" max="14595" width="26.85546875" bestFit="1" customWidth="1"/>
    <col min="14596" max="14596" width="7.7109375" bestFit="1" customWidth="1"/>
    <col min="14597" max="14597" width="6.7109375" bestFit="1" customWidth="1"/>
    <col min="14598" max="14598" width="17.28515625" bestFit="1" customWidth="1"/>
    <col min="14599" max="14599" width="32.42578125" bestFit="1" customWidth="1"/>
    <col min="14600" max="14602" width="5.5703125" bestFit="1" customWidth="1"/>
    <col min="14603" max="14603" width="4.85546875" bestFit="1" customWidth="1"/>
    <col min="14604" max="14604" width="6.7109375" bestFit="1" customWidth="1"/>
    <col min="14605" max="14605" width="8.5703125" bestFit="1" customWidth="1"/>
    <col min="14606" max="14606" width="15" bestFit="1" customWidth="1"/>
    <col min="14850" max="14850" width="27" bestFit="1" customWidth="1"/>
    <col min="14851" max="14851" width="26.85546875" bestFit="1" customWidth="1"/>
    <col min="14852" max="14852" width="7.7109375" bestFit="1" customWidth="1"/>
    <col min="14853" max="14853" width="6.7109375" bestFit="1" customWidth="1"/>
    <col min="14854" max="14854" width="17.28515625" bestFit="1" customWidth="1"/>
    <col min="14855" max="14855" width="32.42578125" bestFit="1" customWidth="1"/>
    <col min="14856" max="14858" width="5.5703125" bestFit="1" customWidth="1"/>
    <col min="14859" max="14859" width="4.85546875" bestFit="1" customWidth="1"/>
    <col min="14860" max="14860" width="6.7109375" bestFit="1" customWidth="1"/>
    <col min="14861" max="14861" width="8.5703125" bestFit="1" customWidth="1"/>
    <col min="14862" max="14862" width="15" bestFit="1" customWidth="1"/>
    <col min="15106" max="15106" width="27" bestFit="1" customWidth="1"/>
    <col min="15107" max="15107" width="26.85546875" bestFit="1" customWidth="1"/>
    <col min="15108" max="15108" width="7.7109375" bestFit="1" customWidth="1"/>
    <col min="15109" max="15109" width="6.7109375" bestFit="1" customWidth="1"/>
    <col min="15110" max="15110" width="17.28515625" bestFit="1" customWidth="1"/>
    <col min="15111" max="15111" width="32.42578125" bestFit="1" customWidth="1"/>
    <col min="15112" max="15114" width="5.5703125" bestFit="1" customWidth="1"/>
    <col min="15115" max="15115" width="4.85546875" bestFit="1" customWidth="1"/>
    <col min="15116" max="15116" width="6.7109375" bestFit="1" customWidth="1"/>
    <col min="15117" max="15117" width="8.5703125" bestFit="1" customWidth="1"/>
    <col min="15118" max="15118" width="15" bestFit="1" customWidth="1"/>
    <col min="15362" max="15362" width="27" bestFit="1" customWidth="1"/>
    <col min="15363" max="15363" width="26.85546875" bestFit="1" customWidth="1"/>
    <col min="15364" max="15364" width="7.7109375" bestFit="1" customWidth="1"/>
    <col min="15365" max="15365" width="6.7109375" bestFit="1" customWidth="1"/>
    <col min="15366" max="15366" width="17.28515625" bestFit="1" customWidth="1"/>
    <col min="15367" max="15367" width="32.42578125" bestFit="1" customWidth="1"/>
    <col min="15368" max="15370" width="5.5703125" bestFit="1" customWidth="1"/>
    <col min="15371" max="15371" width="4.85546875" bestFit="1" customWidth="1"/>
    <col min="15372" max="15372" width="6.7109375" bestFit="1" customWidth="1"/>
    <col min="15373" max="15373" width="8.5703125" bestFit="1" customWidth="1"/>
    <col min="15374" max="15374" width="15" bestFit="1" customWidth="1"/>
    <col min="15618" max="15618" width="27" bestFit="1" customWidth="1"/>
    <col min="15619" max="15619" width="26.85546875" bestFit="1" customWidth="1"/>
    <col min="15620" max="15620" width="7.7109375" bestFit="1" customWidth="1"/>
    <col min="15621" max="15621" width="6.7109375" bestFit="1" customWidth="1"/>
    <col min="15622" max="15622" width="17.28515625" bestFit="1" customWidth="1"/>
    <col min="15623" max="15623" width="32.42578125" bestFit="1" customWidth="1"/>
    <col min="15624" max="15626" width="5.5703125" bestFit="1" customWidth="1"/>
    <col min="15627" max="15627" width="4.85546875" bestFit="1" customWidth="1"/>
    <col min="15628" max="15628" width="6.7109375" bestFit="1" customWidth="1"/>
    <col min="15629" max="15629" width="8.5703125" bestFit="1" customWidth="1"/>
    <col min="15630" max="15630" width="15" bestFit="1" customWidth="1"/>
    <col min="15874" max="15874" width="27" bestFit="1" customWidth="1"/>
    <col min="15875" max="15875" width="26.85546875" bestFit="1" customWidth="1"/>
    <col min="15876" max="15876" width="7.7109375" bestFit="1" customWidth="1"/>
    <col min="15877" max="15877" width="6.7109375" bestFit="1" customWidth="1"/>
    <col min="15878" max="15878" width="17.28515625" bestFit="1" customWidth="1"/>
    <col min="15879" max="15879" width="32.42578125" bestFit="1" customWidth="1"/>
    <col min="15880" max="15882" width="5.5703125" bestFit="1" customWidth="1"/>
    <col min="15883" max="15883" width="4.85546875" bestFit="1" customWidth="1"/>
    <col min="15884" max="15884" width="6.7109375" bestFit="1" customWidth="1"/>
    <col min="15885" max="15885" width="8.5703125" bestFit="1" customWidth="1"/>
    <col min="15886" max="15886" width="15" bestFit="1" customWidth="1"/>
    <col min="16130" max="16130" width="27" bestFit="1" customWidth="1"/>
    <col min="16131" max="16131" width="26.85546875" bestFit="1" customWidth="1"/>
    <col min="16132" max="16132" width="7.7109375" bestFit="1" customWidth="1"/>
    <col min="16133" max="16133" width="6.7109375" bestFit="1" customWidth="1"/>
    <col min="16134" max="16134" width="17.28515625" bestFit="1" customWidth="1"/>
    <col min="16135" max="16135" width="32.42578125" bestFit="1" customWidth="1"/>
    <col min="16136" max="16138" width="5.5703125" bestFit="1" customWidth="1"/>
    <col min="16139" max="16139" width="4.85546875" bestFit="1" customWidth="1"/>
    <col min="16140" max="16140" width="6.7109375" bestFit="1" customWidth="1"/>
    <col min="16141" max="16141" width="8.5703125" bestFit="1" customWidth="1"/>
    <col min="16142" max="16142" width="15" bestFit="1" customWidth="1"/>
  </cols>
  <sheetData>
    <row r="1" spans="1:18" s="1" customFormat="1" ht="30" customHeight="1" x14ac:dyDescent="0.2">
      <c r="A1" s="295" t="s">
        <v>4023</v>
      </c>
      <c r="B1" s="295"/>
      <c r="C1" s="295"/>
      <c r="D1" s="295"/>
      <c r="E1" s="295"/>
      <c r="F1" s="295"/>
      <c r="G1" s="295"/>
      <c r="H1" s="295"/>
      <c r="I1" s="295"/>
      <c r="J1" s="295"/>
      <c r="K1" s="295"/>
      <c r="L1" s="295"/>
      <c r="M1" s="295"/>
      <c r="N1" s="295"/>
      <c r="O1" s="241"/>
      <c r="P1" s="241"/>
      <c r="Q1" s="241"/>
      <c r="R1" s="241"/>
    </row>
    <row r="2" spans="1:18" s="1" customFormat="1" ht="30" customHeight="1" x14ac:dyDescent="0.2">
      <c r="A2" s="295" t="s">
        <v>4049</v>
      </c>
      <c r="B2" s="295"/>
      <c r="C2" s="295"/>
      <c r="D2" s="295"/>
      <c r="E2" s="295"/>
      <c r="F2" s="295"/>
      <c r="G2" s="295"/>
      <c r="H2" s="295"/>
      <c r="I2" s="295"/>
      <c r="J2" s="295"/>
      <c r="K2" s="295"/>
      <c r="L2" s="295"/>
      <c r="M2" s="295"/>
      <c r="N2" s="295"/>
      <c r="O2" s="241"/>
      <c r="P2" s="241"/>
      <c r="Q2" s="241"/>
      <c r="R2" s="241"/>
    </row>
    <row r="3" spans="1:18" s="1" customFormat="1" ht="30.75" customHeight="1" thickBot="1" x14ac:dyDescent="0.25">
      <c r="A3" s="295" t="s">
        <v>3381</v>
      </c>
      <c r="B3" s="295"/>
      <c r="C3" s="295"/>
      <c r="D3" s="295"/>
      <c r="E3" s="295"/>
      <c r="F3" s="295"/>
      <c r="G3" s="295"/>
      <c r="H3" s="295"/>
      <c r="I3" s="295"/>
      <c r="J3" s="295"/>
      <c r="K3" s="295"/>
      <c r="L3" s="295"/>
      <c r="M3" s="295"/>
      <c r="N3" s="295"/>
      <c r="O3" s="241"/>
      <c r="P3" s="241"/>
      <c r="Q3" s="241"/>
      <c r="R3" s="241"/>
    </row>
    <row r="4" spans="1:18" s="5" customFormat="1" ht="12.75" customHeight="1" x14ac:dyDescent="0.2">
      <c r="A4" s="297" t="s">
        <v>719</v>
      </c>
      <c r="B4" s="300" t="s">
        <v>0</v>
      </c>
      <c r="C4" s="302" t="s">
        <v>3382</v>
      </c>
      <c r="D4" s="302" t="s">
        <v>8</v>
      </c>
      <c r="E4" s="304" t="s">
        <v>9</v>
      </c>
      <c r="F4" s="304" t="s">
        <v>1</v>
      </c>
      <c r="G4" s="305" t="s">
        <v>795</v>
      </c>
      <c r="H4" s="300" t="s">
        <v>4</v>
      </c>
      <c r="I4" s="304"/>
      <c r="J4" s="304"/>
      <c r="K4" s="307"/>
      <c r="L4" s="308" t="s">
        <v>3593</v>
      </c>
      <c r="M4" s="304" t="s">
        <v>6</v>
      </c>
      <c r="N4" s="307" t="s">
        <v>5</v>
      </c>
    </row>
    <row r="5" spans="1:18" s="5" customFormat="1" ht="23.25" customHeight="1" thickBot="1" x14ac:dyDescent="0.25">
      <c r="A5" s="298"/>
      <c r="B5" s="301"/>
      <c r="C5" s="303"/>
      <c r="D5" s="303"/>
      <c r="E5" s="303"/>
      <c r="F5" s="303"/>
      <c r="G5" s="306"/>
      <c r="H5" s="3">
        <v>1</v>
      </c>
      <c r="I5" s="2">
        <v>2</v>
      </c>
      <c r="J5" s="2">
        <v>3</v>
      </c>
      <c r="K5" s="4" t="s">
        <v>7</v>
      </c>
      <c r="L5" s="309"/>
      <c r="M5" s="303"/>
      <c r="N5" s="310"/>
    </row>
    <row r="6" spans="1:18" ht="15" x14ac:dyDescent="0.2">
      <c r="B6" s="299" t="s">
        <v>4006</v>
      </c>
      <c r="C6" s="299"/>
      <c r="D6" s="299"/>
      <c r="E6" s="299"/>
      <c r="F6" s="299"/>
      <c r="G6" s="299"/>
      <c r="H6" s="299"/>
      <c r="I6" s="299"/>
      <c r="J6" s="299"/>
      <c r="K6" s="299"/>
      <c r="L6" s="299"/>
      <c r="M6" s="299"/>
    </row>
    <row r="7" spans="1:18" x14ac:dyDescent="0.2">
      <c r="A7" s="43">
        <v>1</v>
      </c>
      <c r="B7" s="7" t="s">
        <v>1562</v>
      </c>
      <c r="C7" s="7" t="s">
        <v>1344</v>
      </c>
      <c r="D7" s="7" t="s">
        <v>103</v>
      </c>
      <c r="E7" s="7" t="str">
        <f>"1,8186"</f>
        <v>1,8186</v>
      </c>
      <c r="F7" s="7" t="s">
        <v>4020</v>
      </c>
      <c r="G7" s="7" t="s">
        <v>796</v>
      </c>
      <c r="H7" s="34" t="s">
        <v>69</v>
      </c>
      <c r="I7" s="34" t="s">
        <v>169</v>
      </c>
      <c r="J7" s="34" t="s">
        <v>157</v>
      </c>
      <c r="K7" s="20"/>
      <c r="L7" s="28">
        <v>122.5</v>
      </c>
      <c r="M7" s="19" t="str">
        <f>"222,7785"</f>
        <v>222,7785</v>
      </c>
      <c r="N7" s="7" t="s">
        <v>1513</v>
      </c>
    </row>
    <row r="9" spans="1:18" ht="15" x14ac:dyDescent="0.2">
      <c r="B9" s="294" t="s">
        <v>4006</v>
      </c>
      <c r="C9" s="294"/>
      <c r="D9" s="294"/>
      <c r="E9" s="294"/>
      <c r="F9" s="294"/>
      <c r="G9" s="294"/>
      <c r="H9" s="294"/>
      <c r="I9" s="294"/>
      <c r="J9" s="294"/>
      <c r="K9" s="294"/>
      <c r="L9" s="294"/>
      <c r="M9" s="294"/>
    </row>
    <row r="10" spans="1:18" x14ac:dyDescent="0.2">
      <c r="A10" s="43">
        <v>1</v>
      </c>
      <c r="B10" s="7" t="s">
        <v>1563</v>
      </c>
      <c r="C10" s="7" t="s">
        <v>1514</v>
      </c>
      <c r="D10" s="7" t="s">
        <v>329</v>
      </c>
      <c r="E10" s="7" t="str">
        <f>"1,4456"</f>
        <v>1,4456</v>
      </c>
      <c r="F10" s="7" t="s">
        <v>4020</v>
      </c>
      <c r="G10" s="7" t="s">
        <v>796</v>
      </c>
      <c r="H10" s="34" t="s">
        <v>23</v>
      </c>
      <c r="I10" s="34" t="s">
        <v>116</v>
      </c>
      <c r="J10" s="34" t="s">
        <v>36</v>
      </c>
      <c r="K10" s="20"/>
      <c r="L10" s="28">
        <v>150</v>
      </c>
      <c r="M10" s="19" t="str">
        <f>"216,8400"</f>
        <v>216,8400</v>
      </c>
      <c r="N10" s="7" t="s">
        <v>1068</v>
      </c>
    </row>
    <row r="12" spans="1:18" ht="15" x14ac:dyDescent="0.2">
      <c r="B12" s="294" t="s">
        <v>4008</v>
      </c>
      <c r="C12" s="294"/>
      <c r="D12" s="294"/>
      <c r="E12" s="294"/>
      <c r="F12" s="294"/>
      <c r="G12" s="294"/>
      <c r="H12" s="294"/>
      <c r="I12" s="294"/>
      <c r="J12" s="294"/>
      <c r="K12" s="294"/>
      <c r="L12" s="294"/>
      <c r="M12" s="294"/>
    </row>
    <row r="13" spans="1:18" x14ac:dyDescent="0.2">
      <c r="A13" s="43">
        <v>1</v>
      </c>
      <c r="B13" s="7" t="s">
        <v>1564</v>
      </c>
      <c r="C13" s="7" t="s">
        <v>1515</v>
      </c>
      <c r="D13" s="7" t="s">
        <v>173</v>
      </c>
      <c r="E13" s="7" t="str">
        <f>"1,1502"</f>
        <v>1,1502</v>
      </c>
      <c r="F13" s="7" t="s">
        <v>4020</v>
      </c>
      <c r="G13" s="7" t="s">
        <v>796</v>
      </c>
      <c r="H13" s="34" t="s">
        <v>239</v>
      </c>
      <c r="I13" s="34" t="s">
        <v>206</v>
      </c>
      <c r="J13" s="41" t="s">
        <v>106</v>
      </c>
      <c r="K13" s="20"/>
      <c r="L13" s="28">
        <v>182.5</v>
      </c>
      <c r="M13" s="19" t="str">
        <f>"209,9115"</f>
        <v>209,9115</v>
      </c>
      <c r="N13" s="7" t="s">
        <v>1068</v>
      </c>
    </row>
    <row r="15" spans="1:18" ht="15" x14ac:dyDescent="0.2">
      <c r="B15" s="294" t="s">
        <v>4009</v>
      </c>
      <c r="C15" s="294"/>
      <c r="D15" s="294"/>
      <c r="E15" s="294"/>
      <c r="F15" s="294"/>
      <c r="G15" s="294"/>
      <c r="H15" s="294"/>
      <c r="I15" s="294"/>
      <c r="J15" s="294"/>
      <c r="K15" s="294"/>
      <c r="L15" s="294"/>
      <c r="M15" s="294"/>
    </row>
    <row r="16" spans="1:18" x14ac:dyDescent="0.2">
      <c r="A16" s="43">
        <v>1</v>
      </c>
      <c r="B16" s="15" t="s">
        <v>1565</v>
      </c>
      <c r="C16" s="15" t="s">
        <v>1516</v>
      </c>
      <c r="D16" s="15" t="s">
        <v>198</v>
      </c>
      <c r="E16" s="114" t="str">
        <f>"1,0340"</f>
        <v>1,0340</v>
      </c>
      <c r="F16" s="15" t="s">
        <v>4020</v>
      </c>
      <c r="G16" s="146" t="s">
        <v>3351</v>
      </c>
      <c r="H16" s="35" t="s">
        <v>1110</v>
      </c>
      <c r="I16" s="35" t="s">
        <v>1517</v>
      </c>
      <c r="J16" s="38" t="s">
        <v>1518</v>
      </c>
      <c r="K16" s="22"/>
      <c r="L16" s="29">
        <v>347.5</v>
      </c>
      <c r="M16" s="21" t="str">
        <f>"359,3150"</f>
        <v>359,3150</v>
      </c>
      <c r="N16" s="15" t="s">
        <v>3391</v>
      </c>
    </row>
    <row r="17" spans="1:14" x14ac:dyDescent="0.2">
      <c r="A17" s="43">
        <v>2</v>
      </c>
      <c r="B17" s="16" t="s">
        <v>1566</v>
      </c>
      <c r="C17" s="16" t="s">
        <v>1519</v>
      </c>
      <c r="D17" s="16" t="s">
        <v>931</v>
      </c>
      <c r="E17" s="115" t="str">
        <f>"1,0440"</f>
        <v>1,0440</v>
      </c>
      <c r="F17" s="16" t="s">
        <v>856</v>
      </c>
      <c r="G17" s="140" t="s">
        <v>800</v>
      </c>
      <c r="H17" s="36" t="s">
        <v>37</v>
      </c>
      <c r="I17" s="36" t="s">
        <v>35</v>
      </c>
      <c r="J17" s="40" t="s">
        <v>26</v>
      </c>
      <c r="K17" s="24"/>
      <c r="L17" s="30">
        <v>270</v>
      </c>
      <c r="M17" s="23" t="str">
        <f>"281,8800"</f>
        <v>281,8800</v>
      </c>
      <c r="N17" s="16" t="s">
        <v>737</v>
      </c>
    </row>
    <row r="18" spans="1:14" x14ac:dyDescent="0.2">
      <c r="A18" s="43">
        <v>3</v>
      </c>
      <c r="B18" s="16" t="s">
        <v>1520</v>
      </c>
      <c r="C18" s="16" t="s">
        <v>1521</v>
      </c>
      <c r="D18" s="16" t="s">
        <v>1522</v>
      </c>
      <c r="E18" s="115" t="str">
        <f>"1,0516"</f>
        <v>1,0516</v>
      </c>
      <c r="F18" s="16" t="s">
        <v>4020</v>
      </c>
      <c r="G18" s="140" t="s">
        <v>879</v>
      </c>
      <c r="H18" s="40" t="s">
        <v>37</v>
      </c>
      <c r="I18" s="36" t="s">
        <v>37</v>
      </c>
      <c r="J18" s="36" t="s">
        <v>17</v>
      </c>
      <c r="K18" s="24"/>
      <c r="L18" s="30">
        <v>260</v>
      </c>
      <c r="M18" s="23" t="str">
        <f>"273,4160"</f>
        <v>273,4160</v>
      </c>
      <c r="N18" s="16" t="s">
        <v>3391</v>
      </c>
    </row>
    <row r="19" spans="1:14" x14ac:dyDescent="0.2">
      <c r="A19" s="43">
        <v>4</v>
      </c>
      <c r="B19" s="16" t="s">
        <v>1567</v>
      </c>
      <c r="C19" s="16" t="s">
        <v>1523</v>
      </c>
      <c r="D19" s="16" t="s">
        <v>1093</v>
      </c>
      <c r="E19" s="115" t="str">
        <f>"1,0672"</f>
        <v>1,0672</v>
      </c>
      <c r="F19" s="16" t="s">
        <v>4020</v>
      </c>
      <c r="G19" s="140" t="s">
        <v>848</v>
      </c>
      <c r="H19" s="36" t="s">
        <v>378</v>
      </c>
      <c r="I19" s="36" t="s">
        <v>400</v>
      </c>
      <c r="J19" s="36" t="s">
        <v>144</v>
      </c>
      <c r="K19" s="24"/>
      <c r="L19" s="30">
        <v>230</v>
      </c>
      <c r="M19" s="23" t="str">
        <f>"245,4560"</f>
        <v>245,4560</v>
      </c>
      <c r="N19" s="16" t="s">
        <v>1578</v>
      </c>
    </row>
    <row r="20" spans="1:14" x14ac:dyDescent="0.2">
      <c r="A20" s="43">
        <v>5</v>
      </c>
      <c r="B20" s="16" t="s">
        <v>1568</v>
      </c>
      <c r="C20" s="16" t="s">
        <v>1524</v>
      </c>
      <c r="D20" s="16" t="s">
        <v>185</v>
      </c>
      <c r="E20" s="115" t="str">
        <f>"1,0504"</f>
        <v>1,0504</v>
      </c>
      <c r="F20" s="16" t="s">
        <v>4020</v>
      </c>
      <c r="G20" s="140" t="s">
        <v>3352</v>
      </c>
      <c r="H20" s="36" t="s">
        <v>106</v>
      </c>
      <c r="I20" s="36" t="s">
        <v>140</v>
      </c>
      <c r="J20" s="40" t="s">
        <v>135</v>
      </c>
      <c r="K20" s="24"/>
      <c r="L20" s="30">
        <v>200</v>
      </c>
      <c r="M20" s="23" t="str">
        <f>"210,0800"</f>
        <v>210,0800</v>
      </c>
      <c r="N20" s="16" t="s">
        <v>1068</v>
      </c>
    </row>
    <row r="21" spans="1:14" x14ac:dyDescent="0.2">
      <c r="A21" s="43">
        <v>6</v>
      </c>
      <c r="B21" s="16" t="s">
        <v>1525</v>
      </c>
      <c r="C21" s="16" t="s">
        <v>1526</v>
      </c>
      <c r="D21" s="16" t="s">
        <v>1527</v>
      </c>
      <c r="E21" s="115" t="str">
        <f>"1,0448"</f>
        <v>1,0448</v>
      </c>
      <c r="F21" s="16" t="s">
        <v>4020</v>
      </c>
      <c r="G21" s="140" t="s">
        <v>796</v>
      </c>
      <c r="H21" s="36" t="s">
        <v>141</v>
      </c>
      <c r="I21" s="40" t="s">
        <v>156</v>
      </c>
      <c r="J21" s="40" t="s">
        <v>11</v>
      </c>
      <c r="K21" s="24"/>
      <c r="L21" s="30">
        <v>165</v>
      </c>
      <c r="M21" s="23" t="str">
        <f>"172,3920"</f>
        <v>172,3920</v>
      </c>
      <c r="N21" s="16" t="s">
        <v>1068</v>
      </c>
    </row>
    <row r="22" spans="1:14" x14ac:dyDescent="0.2">
      <c r="A22" s="43">
        <v>7</v>
      </c>
      <c r="B22" s="17" t="s">
        <v>1569</v>
      </c>
      <c r="C22" s="17" t="s">
        <v>1528</v>
      </c>
      <c r="D22" s="17" t="s">
        <v>1522</v>
      </c>
      <c r="E22" s="116" t="str">
        <f>"1,0516"</f>
        <v>1,0516</v>
      </c>
      <c r="F22" s="17" t="s">
        <v>4020</v>
      </c>
      <c r="G22" s="141" t="s">
        <v>879</v>
      </c>
      <c r="H22" s="39" t="s">
        <v>37</v>
      </c>
      <c r="I22" s="37" t="s">
        <v>37</v>
      </c>
      <c r="J22" s="37" t="s">
        <v>17</v>
      </c>
      <c r="K22" s="26"/>
      <c r="L22" s="31">
        <v>260</v>
      </c>
      <c r="M22" s="25" t="str">
        <f>"273,4160"</f>
        <v>273,4160</v>
      </c>
      <c r="N22" s="17" t="s">
        <v>3391</v>
      </c>
    </row>
    <row r="24" spans="1:14" ht="15" x14ac:dyDescent="0.2">
      <c r="B24" s="294" t="s">
        <v>4010</v>
      </c>
      <c r="C24" s="294"/>
      <c r="D24" s="294"/>
      <c r="E24" s="294"/>
      <c r="F24" s="294"/>
      <c r="G24" s="294"/>
      <c r="H24" s="294"/>
      <c r="I24" s="294"/>
      <c r="J24" s="294"/>
      <c r="K24" s="294"/>
      <c r="L24" s="294"/>
      <c r="M24" s="294"/>
    </row>
    <row r="25" spans="1:14" x14ac:dyDescent="0.2">
      <c r="A25" s="43">
        <v>1</v>
      </c>
      <c r="B25" s="15" t="s">
        <v>1570</v>
      </c>
      <c r="C25" s="15" t="s">
        <v>959</v>
      </c>
      <c r="D25" s="15" t="s">
        <v>467</v>
      </c>
      <c r="E25" s="15" t="str">
        <f>"0,9790"</f>
        <v>0,9790</v>
      </c>
      <c r="F25" s="15" t="s">
        <v>14</v>
      </c>
      <c r="G25" s="15" t="s">
        <v>3355</v>
      </c>
      <c r="H25" s="35" t="s">
        <v>37</v>
      </c>
      <c r="I25" s="38" t="s">
        <v>35</v>
      </c>
      <c r="J25" s="38" t="s">
        <v>970</v>
      </c>
      <c r="K25" s="22"/>
      <c r="L25" s="29">
        <v>250</v>
      </c>
      <c r="M25" s="21" t="str">
        <f>"244,7500"</f>
        <v>244,7500</v>
      </c>
      <c r="N25" s="15" t="s">
        <v>3391</v>
      </c>
    </row>
    <row r="26" spans="1:14" x14ac:dyDescent="0.2">
      <c r="A26" s="43">
        <v>2</v>
      </c>
      <c r="B26" s="16" t="s">
        <v>1571</v>
      </c>
      <c r="C26" s="16" t="s">
        <v>1529</v>
      </c>
      <c r="D26" s="16" t="s">
        <v>1530</v>
      </c>
      <c r="E26" s="16" t="str">
        <f>"0,9908"</f>
        <v>0,9908</v>
      </c>
      <c r="F26" s="16" t="s">
        <v>4020</v>
      </c>
      <c r="G26" s="16" t="s">
        <v>796</v>
      </c>
      <c r="H26" s="36" t="s">
        <v>24</v>
      </c>
      <c r="I26" s="40" t="s">
        <v>253</v>
      </c>
      <c r="J26" s="40" t="s">
        <v>253</v>
      </c>
      <c r="K26" s="24"/>
      <c r="L26" s="30">
        <v>220</v>
      </c>
      <c r="M26" s="23" t="str">
        <f>"217,9760"</f>
        <v>217,9760</v>
      </c>
      <c r="N26" s="16" t="s">
        <v>1068</v>
      </c>
    </row>
    <row r="27" spans="1:14" x14ac:dyDescent="0.2">
      <c r="A27" s="43">
        <v>3</v>
      </c>
      <c r="B27" s="16" t="s">
        <v>1531</v>
      </c>
      <c r="C27" s="16" t="s">
        <v>1532</v>
      </c>
      <c r="D27" s="16" t="s">
        <v>1533</v>
      </c>
      <c r="E27" s="16" t="str">
        <f>"0,9996"</f>
        <v>0,9996</v>
      </c>
      <c r="F27" s="16" t="s">
        <v>4020</v>
      </c>
      <c r="G27" s="16" t="s">
        <v>796</v>
      </c>
      <c r="H27" s="36" t="s">
        <v>142</v>
      </c>
      <c r="I27" s="40" t="s">
        <v>206</v>
      </c>
      <c r="J27" s="40" t="s">
        <v>206</v>
      </c>
      <c r="K27" s="24"/>
      <c r="L27" s="30">
        <v>170</v>
      </c>
      <c r="M27" s="23" t="str">
        <f>"169,9320"</f>
        <v>169,9320</v>
      </c>
      <c r="N27" s="16" t="s">
        <v>1068</v>
      </c>
    </row>
    <row r="28" spans="1:14" x14ac:dyDescent="0.2">
      <c r="A28" s="43">
        <v>1</v>
      </c>
      <c r="B28" s="16" t="s">
        <v>1572</v>
      </c>
      <c r="C28" s="16" t="s">
        <v>1534</v>
      </c>
      <c r="D28" s="16" t="s">
        <v>630</v>
      </c>
      <c r="E28" s="16" t="str">
        <f>"0,9786"</f>
        <v>0,9786</v>
      </c>
      <c r="F28" s="16" t="s">
        <v>4020</v>
      </c>
      <c r="G28" s="16" t="s">
        <v>3353</v>
      </c>
      <c r="H28" s="36" t="s">
        <v>208</v>
      </c>
      <c r="I28" s="36" t="s">
        <v>261</v>
      </c>
      <c r="J28" s="36" t="s">
        <v>928</v>
      </c>
      <c r="K28" s="24"/>
      <c r="L28" s="30">
        <v>267.5</v>
      </c>
      <c r="M28" s="23" t="str">
        <f>"291,6179"</f>
        <v>291,6179</v>
      </c>
      <c r="N28" s="16" t="s">
        <v>3391</v>
      </c>
    </row>
    <row r="29" spans="1:14" x14ac:dyDescent="0.2">
      <c r="A29" s="43">
        <v>2</v>
      </c>
      <c r="B29" s="17" t="s">
        <v>1509</v>
      </c>
      <c r="C29" s="17" t="s">
        <v>1106</v>
      </c>
      <c r="D29" s="17" t="s">
        <v>1107</v>
      </c>
      <c r="E29" s="17" t="str">
        <f>"0,9822"</f>
        <v>0,9822</v>
      </c>
      <c r="F29" s="17" t="s">
        <v>855</v>
      </c>
      <c r="G29" s="17" t="s">
        <v>802</v>
      </c>
      <c r="H29" s="37" t="s">
        <v>253</v>
      </c>
      <c r="I29" s="37" t="s">
        <v>37</v>
      </c>
      <c r="J29" s="26"/>
      <c r="K29" s="26"/>
      <c r="L29" s="31">
        <v>250</v>
      </c>
      <c r="M29" s="25" t="str">
        <f>"277,9626"</f>
        <v>277,9626</v>
      </c>
      <c r="N29" s="17" t="s">
        <v>3391</v>
      </c>
    </row>
    <row r="31" spans="1:14" ht="15" x14ac:dyDescent="0.2">
      <c r="B31" s="294" t="s">
        <v>4011</v>
      </c>
      <c r="C31" s="294"/>
      <c r="D31" s="294"/>
      <c r="E31" s="294"/>
      <c r="F31" s="294"/>
      <c r="G31" s="294"/>
      <c r="H31" s="294"/>
      <c r="I31" s="294"/>
      <c r="J31" s="294"/>
      <c r="K31" s="294"/>
      <c r="L31" s="294"/>
      <c r="M31" s="294"/>
    </row>
    <row r="32" spans="1:14" x14ac:dyDescent="0.2">
      <c r="A32" s="43">
        <v>1</v>
      </c>
      <c r="B32" s="15" t="s">
        <v>1492</v>
      </c>
      <c r="C32" s="15" t="s">
        <v>1493</v>
      </c>
      <c r="D32" s="15" t="s">
        <v>1494</v>
      </c>
      <c r="E32" s="15" t="str">
        <f>"0,9274"</f>
        <v>0,9274</v>
      </c>
      <c r="F32" s="15" t="s">
        <v>4020</v>
      </c>
      <c r="G32" s="114" t="s">
        <v>809</v>
      </c>
      <c r="H32" s="120" t="s">
        <v>35</v>
      </c>
      <c r="I32" s="35" t="s">
        <v>287</v>
      </c>
      <c r="J32" s="132" t="s">
        <v>274</v>
      </c>
      <c r="K32" s="132" t="s">
        <v>644</v>
      </c>
      <c r="L32" s="29">
        <v>300</v>
      </c>
      <c r="M32" s="21" t="s">
        <v>3357</v>
      </c>
      <c r="N32" s="15" t="s">
        <v>734</v>
      </c>
    </row>
    <row r="33" spans="1:14" x14ac:dyDescent="0.2">
      <c r="A33" s="43">
        <v>2</v>
      </c>
      <c r="B33" s="16" t="s">
        <v>1535</v>
      </c>
      <c r="C33" s="16" t="s">
        <v>1536</v>
      </c>
      <c r="D33" s="16" t="s">
        <v>1537</v>
      </c>
      <c r="E33" s="16" t="str">
        <f>"0,9178"</f>
        <v>0,9178</v>
      </c>
      <c r="F33" s="16" t="s">
        <v>4020</v>
      </c>
      <c r="G33" s="115" t="s">
        <v>813</v>
      </c>
      <c r="H33" s="123" t="s">
        <v>35</v>
      </c>
      <c r="I33" s="36" t="s">
        <v>274</v>
      </c>
      <c r="J33" s="124" t="s">
        <v>679</v>
      </c>
      <c r="K33" s="118"/>
      <c r="L33" s="30">
        <v>300</v>
      </c>
      <c r="M33" s="23" t="str">
        <f>"275,3400"</f>
        <v>275,3400</v>
      </c>
      <c r="N33" s="16" t="s">
        <v>3391</v>
      </c>
    </row>
    <row r="34" spans="1:14" x14ac:dyDescent="0.2">
      <c r="A34" s="43">
        <v>3</v>
      </c>
      <c r="B34" s="16" t="s">
        <v>1498</v>
      </c>
      <c r="C34" s="16" t="s">
        <v>1499</v>
      </c>
      <c r="D34" s="16" t="s">
        <v>1500</v>
      </c>
      <c r="E34" s="16" t="str">
        <f>"0,9218"</f>
        <v>0,9218</v>
      </c>
      <c r="F34" s="16" t="s">
        <v>4020</v>
      </c>
      <c r="G34" s="115" t="s">
        <v>796</v>
      </c>
      <c r="H34" s="126" t="s">
        <v>1380</v>
      </c>
      <c r="I34" s="36" t="s">
        <v>1380</v>
      </c>
      <c r="J34" s="124" t="s">
        <v>1339</v>
      </c>
      <c r="K34" s="118"/>
      <c r="L34" s="30">
        <v>292.5</v>
      </c>
      <c r="M34" s="23" t="str">
        <f>"269,6265"</f>
        <v>269,6265</v>
      </c>
      <c r="N34" s="16" t="s">
        <v>3391</v>
      </c>
    </row>
    <row r="35" spans="1:14" x14ac:dyDescent="0.2">
      <c r="A35" s="43">
        <v>4</v>
      </c>
      <c r="B35" s="17" t="s">
        <v>1538</v>
      </c>
      <c r="C35" s="17" t="s">
        <v>1539</v>
      </c>
      <c r="D35" s="17" t="s">
        <v>1356</v>
      </c>
      <c r="E35" s="17" t="str">
        <f>"0,9258"</f>
        <v>0,9258</v>
      </c>
      <c r="F35" s="17" t="s">
        <v>4020</v>
      </c>
      <c r="G35" s="116" t="s">
        <v>796</v>
      </c>
      <c r="H35" s="127" t="s">
        <v>24</v>
      </c>
      <c r="I35" s="37" t="s">
        <v>253</v>
      </c>
      <c r="J35" s="145" t="s">
        <v>261</v>
      </c>
      <c r="K35" s="119"/>
      <c r="L35" s="31">
        <v>240</v>
      </c>
      <c r="M35" s="25" t="str">
        <f>"222,1920"</f>
        <v>222,1920</v>
      </c>
      <c r="N35" s="17" t="s">
        <v>1068</v>
      </c>
    </row>
    <row r="37" spans="1:14" ht="15" x14ac:dyDescent="0.2">
      <c r="B37" s="294" t="s">
        <v>4012</v>
      </c>
      <c r="C37" s="294"/>
      <c r="D37" s="294"/>
      <c r="E37" s="294"/>
      <c r="F37" s="294"/>
      <c r="G37" s="294"/>
      <c r="H37" s="294"/>
      <c r="I37" s="294"/>
      <c r="J37" s="294"/>
      <c r="K37" s="294"/>
      <c r="L37" s="294"/>
      <c r="M37" s="294"/>
    </row>
    <row r="38" spans="1:14" x14ac:dyDescent="0.2">
      <c r="A38" s="43">
        <v>1</v>
      </c>
      <c r="B38" s="15" t="s">
        <v>1510</v>
      </c>
      <c r="C38" s="15" t="s">
        <v>1501</v>
      </c>
      <c r="D38" s="15" t="s">
        <v>1502</v>
      </c>
      <c r="E38" s="114" t="str">
        <f>"0,8958"</f>
        <v>0,8958</v>
      </c>
      <c r="F38" s="15" t="s">
        <v>4020</v>
      </c>
      <c r="G38" s="150" t="s">
        <v>890</v>
      </c>
      <c r="H38" s="120" t="s">
        <v>37</v>
      </c>
      <c r="I38" s="35" t="s">
        <v>17</v>
      </c>
      <c r="J38" s="131" t="s">
        <v>1503</v>
      </c>
      <c r="K38" s="35" t="s">
        <v>26</v>
      </c>
      <c r="L38" s="151">
        <v>271</v>
      </c>
      <c r="M38" s="21" t="s">
        <v>3358</v>
      </c>
      <c r="N38" s="15" t="s">
        <v>3391</v>
      </c>
    </row>
    <row r="39" spans="1:14" x14ac:dyDescent="0.2">
      <c r="A39" s="43">
        <v>1</v>
      </c>
      <c r="B39" s="16" t="s">
        <v>1573</v>
      </c>
      <c r="C39" s="16" t="s">
        <v>1540</v>
      </c>
      <c r="D39" s="16" t="s">
        <v>1541</v>
      </c>
      <c r="E39" s="115" t="str">
        <f>"0,8870"</f>
        <v>0,8870</v>
      </c>
      <c r="F39" s="16" t="s">
        <v>857</v>
      </c>
      <c r="G39" s="142" t="s">
        <v>801</v>
      </c>
      <c r="H39" s="123" t="s">
        <v>1110</v>
      </c>
      <c r="I39" s="36" t="s">
        <v>1517</v>
      </c>
      <c r="J39" s="136" t="s">
        <v>1401</v>
      </c>
      <c r="K39" s="24"/>
      <c r="L39" s="152">
        <v>352.5</v>
      </c>
      <c r="M39" s="23" t="str">
        <f>"312,6675"</f>
        <v>312,6675</v>
      </c>
      <c r="N39" s="16" t="s">
        <v>1579</v>
      </c>
    </row>
    <row r="40" spans="1:14" x14ac:dyDescent="0.2">
      <c r="A40" s="43">
        <v>2</v>
      </c>
      <c r="B40" s="16" t="s">
        <v>1574</v>
      </c>
      <c r="C40" s="16" t="s">
        <v>1542</v>
      </c>
      <c r="D40" s="16" t="s">
        <v>1543</v>
      </c>
      <c r="E40" s="115" t="str">
        <f>"0,8990"</f>
        <v>0,8990</v>
      </c>
      <c r="F40" s="16" t="s">
        <v>4020</v>
      </c>
      <c r="G40" s="142" t="s">
        <v>796</v>
      </c>
      <c r="H40" s="123" t="s">
        <v>26</v>
      </c>
      <c r="I40" s="36" t="s">
        <v>644</v>
      </c>
      <c r="J40" s="137" t="s">
        <v>1007</v>
      </c>
      <c r="K40" s="24"/>
      <c r="L40" s="152">
        <v>305</v>
      </c>
      <c r="M40" s="23" t="str">
        <f>"274,1950"</f>
        <v>274,1950</v>
      </c>
      <c r="N40" s="16" t="s">
        <v>1068</v>
      </c>
    </row>
    <row r="41" spans="1:14" x14ac:dyDescent="0.2">
      <c r="A41" s="43">
        <v>1</v>
      </c>
      <c r="B41" s="17" t="s">
        <v>1575</v>
      </c>
      <c r="C41" s="17" t="s">
        <v>1134</v>
      </c>
      <c r="D41" s="17" t="s">
        <v>663</v>
      </c>
      <c r="E41" s="116" t="str">
        <f>"0,8932"</f>
        <v>0,8932</v>
      </c>
      <c r="F41" s="17" t="s">
        <v>862</v>
      </c>
      <c r="G41" s="50" t="s">
        <v>3244</v>
      </c>
      <c r="H41" s="127" t="s">
        <v>143</v>
      </c>
      <c r="I41" s="37" t="s">
        <v>24</v>
      </c>
      <c r="J41" s="139"/>
      <c r="K41" s="26"/>
      <c r="L41" s="153">
        <v>220</v>
      </c>
      <c r="M41" s="25" t="str">
        <f>"229,5167"</f>
        <v>229,5167</v>
      </c>
      <c r="N41" s="17" t="s">
        <v>3391</v>
      </c>
    </row>
    <row r="43" spans="1:14" ht="15" x14ac:dyDescent="0.2">
      <c r="B43" s="294" t="s">
        <v>4013</v>
      </c>
      <c r="C43" s="294"/>
      <c r="D43" s="294"/>
      <c r="E43" s="294"/>
      <c r="F43" s="294"/>
      <c r="G43" s="294"/>
      <c r="H43" s="294"/>
      <c r="I43" s="294"/>
      <c r="J43" s="294"/>
      <c r="K43" s="294"/>
      <c r="L43" s="294"/>
      <c r="M43" s="294"/>
    </row>
    <row r="44" spans="1:14" x14ac:dyDescent="0.2">
      <c r="A44" s="43">
        <v>1</v>
      </c>
      <c r="B44" s="15" t="s">
        <v>1576</v>
      </c>
      <c r="C44" s="15" t="s">
        <v>1548</v>
      </c>
      <c r="D44" s="15" t="s">
        <v>1549</v>
      </c>
      <c r="E44" s="15" t="str">
        <f>"0,8808"</f>
        <v>0,8808</v>
      </c>
      <c r="F44" s="15" t="s">
        <v>4020</v>
      </c>
      <c r="G44" s="15" t="s">
        <v>835</v>
      </c>
      <c r="H44" s="35" t="s">
        <v>677</v>
      </c>
      <c r="I44" s="35" t="s">
        <v>1550</v>
      </c>
      <c r="J44" s="35" t="s">
        <v>1021</v>
      </c>
      <c r="K44" s="22"/>
      <c r="L44" s="29">
        <v>365</v>
      </c>
      <c r="M44" s="21" t="str">
        <f>"321,4920"</f>
        <v>321,4920</v>
      </c>
      <c r="N44" s="15" t="s">
        <v>3391</v>
      </c>
    </row>
    <row r="45" spans="1:14" x14ac:dyDescent="0.2">
      <c r="A45" s="43">
        <v>1</v>
      </c>
      <c r="B45" s="17" t="s">
        <v>1551</v>
      </c>
      <c r="C45" s="17" t="s">
        <v>1552</v>
      </c>
      <c r="D45" s="17" t="s">
        <v>1553</v>
      </c>
      <c r="E45" s="17"/>
      <c r="F45" s="17" t="s">
        <v>1577</v>
      </c>
      <c r="G45" s="17" t="s">
        <v>3356</v>
      </c>
      <c r="H45" s="127" t="s">
        <v>35</v>
      </c>
      <c r="I45" s="37" t="s">
        <v>287</v>
      </c>
      <c r="J45" s="145" t="s">
        <v>644</v>
      </c>
      <c r="K45" s="26"/>
      <c r="L45" s="31">
        <v>290</v>
      </c>
      <c r="M45" s="25" t="s">
        <v>3359</v>
      </c>
      <c r="N45" s="17" t="s">
        <v>3391</v>
      </c>
    </row>
    <row r="47" spans="1:14" ht="15" x14ac:dyDescent="0.2">
      <c r="B47" s="294" t="s">
        <v>4017</v>
      </c>
      <c r="C47" s="294"/>
      <c r="D47" s="294"/>
      <c r="E47" s="294"/>
      <c r="F47" s="294"/>
      <c r="G47" s="294"/>
      <c r="H47" s="294"/>
      <c r="I47" s="294"/>
      <c r="J47" s="294"/>
      <c r="K47" s="294"/>
      <c r="L47" s="294"/>
      <c r="M47" s="294"/>
    </row>
    <row r="48" spans="1:14" x14ac:dyDescent="0.2">
      <c r="B48" s="15" t="s">
        <v>1161</v>
      </c>
      <c r="C48" s="15" t="s">
        <v>1162</v>
      </c>
      <c r="D48" s="15" t="s">
        <v>3315</v>
      </c>
      <c r="E48" s="15" t="s">
        <v>3316</v>
      </c>
      <c r="F48" s="15" t="s">
        <v>1163</v>
      </c>
      <c r="G48" s="15" t="s">
        <v>3264</v>
      </c>
      <c r="H48" s="38" t="s">
        <v>1554</v>
      </c>
      <c r="I48" s="38" t="s">
        <v>1554</v>
      </c>
      <c r="J48" s="22"/>
      <c r="K48" s="22"/>
      <c r="L48" s="56">
        <v>0</v>
      </c>
      <c r="M48" s="21" t="s">
        <v>720</v>
      </c>
      <c r="N48" s="15" t="s">
        <v>3391</v>
      </c>
    </row>
    <row r="49" spans="1:18" x14ac:dyDescent="0.2">
      <c r="B49" s="17" t="s">
        <v>1161</v>
      </c>
      <c r="C49" s="17" t="s">
        <v>1164</v>
      </c>
      <c r="D49" s="17" t="s">
        <v>3315</v>
      </c>
      <c r="E49" s="17" t="s">
        <v>3316</v>
      </c>
      <c r="F49" s="17" t="s">
        <v>1163</v>
      </c>
      <c r="G49" s="17" t="s">
        <v>3264</v>
      </c>
      <c r="H49" s="39" t="s">
        <v>1554</v>
      </c>
      <c r="I49" s="39" t="s">
        <v>1554</v>
      </c>
      <c r="J49" s="26"/>
      <c r="K49" s="26"/>
      <c r="L49" s="33">
        <v>0</v>
      </c>
      <c r="M49" s="25" t="s">
        <v>720</v>
      </c>
      <c r="N49" s="17" t="s">
        <v>3391</v>
      </c>
    </row>
    <row r="51" spans="1:18" ht="18" x14ac:dyDescent="0.25">
      <c r="B51" s="8" t="s">
        <v>4022</v>
      </c>
      <c r="C51" s="8"/>
    </row>
    <row r="52" spans="1:18" ht="14.25" x14ac:dyDescent="0.2">
      <c r="B52" s="11"/>
      <c r="C52" s="12" t="s">
        <v>18</v>
      </c>
    </row>
    <row r="53" spans="1:18" ht="15" x14ac:dyDescent="0.2">
      <c r="B53" s="13" t="s">
        <v>0</v>
      </c>
      <c r="C53" s="13" t="s">
        <v>19</v>
      </c>
      <c r="D53" s="13" t="s">
        <v>20</v>
      </c>
      <c r="E53" s="13" t="s">
        <v>3593</v>
      </c>
      <c r="F53" s="13" t="s">
        <v>9</v>
      </c>
    </row>
    <row r="54" spans="1:18" x14ac:dyDescent="0.2">
      <c r="A54" s="43">
        <v>1</v>
      </c>
      <c r="B54" s="10" t="s">
        <v>1555</v>
      </c>
      <c r="C54" s="18" t="s">
        <v>18</v>
      </c>
      <c r="D54" s="27" t="s">
        <v>43</v>
      </c>
      <c r="E54" s="27" t="s">
        <v>1517</v>
      </c>
      <c r="F54" s="27" t="s">
        <v>1556</v>
      </c>
    </row>
    <row r="55" spans="1:18" x14ac:dyDescent="0.2">
      <c r="A55" s="43">
        <v>2</v>
      </c>
      <c r="B55" s="10" t="s">
        <v>1557</v>
      </c>
      <c r="C55" s="18" t="s">
        <v>18</v>
      </c>
      <c r="D55" s="27" t="s">
        <v>112</v>
      </c>
      <c r="E55" s="27" t="s">
        <v>1021</v>
      </c>
      <c r="F55" s="27" t="s">
        <v>1558</v>
      </c>
    </row>
    <row r="56" spans="1:18" x14ac:dyDescent="0.2">
      <c r="A56" s="43">
        <v>3</v>
      </c>
      <c r="B56" s="10" t="s">
        <v>1559</v>
      </c>
      <c r="C56" s="18" t="s">
        <v>18</v>
      </c>
      <c r="D56" s="27" t="s">
        <v>69</v>
      </c>
      <c r="E56" s="27" t="s">
        <v>1401</v>
      </c>
      <c r="F56" s="27" t="s">
        <v>1560</v>
      </c>
    </row>
    <row r="57" spans="1:18" x14ac:dyDescent="0.2">
      <c r="B57" s="10"/>
      <c r="C57" s="18"/>
      <c r="D57" s="27"/>
      <c r="E57" s="27"/>
      <c r="F57" s="27"/>
    </row>
    <row r="58" spans="1:18" x14ac:dyDescent="0.2">
      <c r="B58" s="10"/>
      <c r="C58" s="18"/>
      <c r="D58" s="27"/>
      <c r="E58" s="27"/>
      <c r="F58" s="27"/>
    </row>
    <row r="59" spans="1:18" s="1" customFormat="1" ht="30" customHeight="1" x14ac:dyDescent="0.2">
      <c r="A59" s="295" t="s">
        <v>4023</v>
      </c>
      <c r="B59" s="295"/>
      <c r="C59" s="295"/>
      <c r="D59" s="295"/>
      <c r="E59" s="295"/>
      <c r="F59" s="295"/>
      <c r="G59" s="295"/>
      <c r="H59" s="295"/>
      <c r="I59" s="295"/>
      <c r="J59" s="295"/>
      <c r="K59" s="295"/>
      <c r="L59" s="295"/>
      <c r="M59" s="295"/>
      <c r="N59" s="295"/>
      <c r="O59" s="241"/>
      <c r="P59" s="241"/>
      <c r="Q59" s="241"/>
      <c r="R59" s="241"/>
    </row>
    <row r="60" spans="1:18" s="1" customFormat="1" ht="30" customHeight="1" x14ac:dyDescent="0.2">
      <c r="A60" s="295" t="s">
        <v>4050</v>
      </c>
      <c r="B60" s="295"/>
      <c r="C60" s="295"/>
      <c r="D60" s="295"/>
      <c r="E60" s="295"/>
      <c r="F60" s="295"/>
      <c r="G60" s="295"/>
      <c r="H60" s="295"/>
      <c r="I60" s="295"/>
      <c r="J60" s="295"/>
      <c r="K60" s="295"/>
      <c r="L60" s="295"/>
      <c r="M60" s="295"/>
      <c r="N60" s="295"/>
      <c r="O60" s="241"/>
      <c r="P60" s="241"/>
      <c r="Q60" s="241"/>
      <c r="R60" s="241"/>
    </row>
    <row r="61" spans="1:18" s="1" customFormat="1" ht="36" customHeight="1" thickBot="1" x14ac:dyDescent="0.25">
      <c r="A61" s="295" t="s">
        <v>3381</v>
      </c>
      <c r="B61" s="295"/>
      <c r="C61" s="295"/>
      <c r="D61" s="295"/>
      <c r="E61" s="295"/>
      <c r="F61" s="295"/>
      <c r="G61" s="295"/>
      <c r="H61" s="295"/>
      <c r="I61" s="295"/>
      <c r="J61" s="295"/>
      <c r="K61" s="295"/>
      <c r="L61" s="295"/>
      <c r="M61" s="295"/>
      <c r="N61" s="295"/>
      <c r="O61" s="241"/>
      <c r="P61" s="241"/>
      <c r="Q61" s="241"/>
      <c r="R61" s="241"/>
    </row>
    <row r="62" spans="1:18" ht="15" x14ac:dyDescent="0.2">
      <c r="A62" s="297" t="s">
        <v>719</v>
      </c>
      <c r="B62" s="300" t="s">
        <v>0</v>
      </c>
      <c r="C62" s="302" t="s">
        <v>3382</v>
      </c>
      <c r="D62" s="302" t="s">
        <v>8</v>
      </c>
      <c r="E62" s="304" t="s">
        <v>9</v>
      </c>
      <c r="F62" s="304" t="s">
        <v>1</v>
      </c>
      <c r="G62" s="305" t="s">
        <v>795</v>
      </c>
      <c r="H62" s="300" t="s">
        <v>4</v>
      </c>
      <c r="I62" s="304"/>
      <c r="J62" s="304"/>
      <c r="K62" s="307"/>
      <c r="L62" s="308" t="s">
        <v>3593</v>
      </c>
      <c r="M62" s="304" t="s">
        <v>6</v>
      </c>
      <c r="N62" s="307" t="s">
        <v>5</v>
      </c>
    </row>
    <row r="63" spans="1:18" ht="38.1" customHeight="1" thickBot="1" x14ac:dyDescent="0.25">
      <c r="A63" s="298"/>
      <c r="B63" s="301"/>
      <c r="C63" s="303"/>
      <c r="D63" s="303"/>
      <c r="E63" s="303"/>
      <c r="F63" s="303"/>
      <c r="G63" s="306"/>
      <c r="H63" s="3">
        <v>1</v>
      </c>
      <c r="I63" s="2">
        <v>2</v>
      </c>
      <c r="J63" s="2">
        <v>3</v>
      </c>
      <c r="K63" s="4" t="s">
        <v>7</v>
      </c>
      <c r="L63" s="309"/>
      <c r="M63" s="303"/>
      <c r="N63" s="310"/>
    </row>
    <row r="64" spans="1:18" ht="15" x14ac:dyDescent="0.2">
      <c r="B64" s="299" t="s">
        <v>4012</v>
      </c>
      <c r="C64" s="299"/>
      <c r="D64" s="299"/>
      <c r="E64" s="299"/>
      <c r="F64" s="299"/>
      <c r="G64" s="299"/>
      <c r="H64" s="299"/>
      <c r="I64" s="299"/>
      <c r="J64" s="299"/>
      <c r="K64" s="299"/>
      <c r="L64" s="299"/>
      <c r="M64" s="299"/>
    </row>
    <row r="65" spans="1:14" x14ac:dyDescent="0.2">
      <c r="A65" s="154">
        <v>1</v>
      </c>
      <c r="B65" s="155" t="s">
        <v>1544</v>
      </c>
      <c r="C65" s="155" t="s">
        <v>1545</v>
      </c>
      <c r="D65" s="155" t="s">
        <v>1546</v>
      </c>
      <c r="E65" s="156" t="str">
        <f>"0,9010"</f>
        <v>0,9010</v>
      </c>
      <c r="F65" s="155" t="s">
        <v>4020</v>
      </c>
      <c r="G65" s="157" t="s">
        <v>3354</v>
      </c>
      <c r="H65" s="37" t="s">
        <v>1547</v>
      </c>
      <c r="I65" s="102" t="s">
        <v>1429</v>
      </c>
      <c r="J65" s="102"/>
      <c r="K65" s="91"/>
      <c r="L65" s="158">
        <v>450</v>
      </c>
      <c r="M65" s="87" t="s">
        <v>3360</v>
      </c>
      <c r="N65" s="155" t="s">
        <v>3391</v>
      </c>
    </row>
  </sheetData>
  <mergeCells count="38">
    <mergeCell ref="A1:N1"/>
    <mergeCell ref="A2:N2"/>
    <mergeCell ref="A3:N3"/>
    <mergeCell ref="A59:N59"/>
    <mergeCell ref="H4:K4"/>
    <mergeCell ref="L4:L5"/>
    <mergeCell ref="M4:M5"/>
    <mergeCell ref="N4:N5"/>
    <mergeCell ref="B37:M37"/>
    <mergeCell ref="B43:M43"/>
    <mergeCell ref="B47:M47"/>
    <mergeCell ref="A4:A5"/>
    <mergeCell ref="B24:M24"/>
    <mergeCell ref="B6:M6"/>
    <mergeCell ref="B9:M9"/>
    <mergeCell ref="B12:M12"/>
    <mergeCell ref="B64:M64"/>
    <mergeCell ref="F62:F63"/>
    <mergeCell ref="G62:G63"/>
    <mergeCell ref="H62:K62"/>
    <mergeCell ref="L62:L63"/>
    <mergeCell ref="M62:M63"/>
    <mergeCell ref="N62:N63"/>
    <mergeCell ref="A61:N61"/>
    <mergeCell ref="C4:C5"/>
    <mergeCell ref="D4:D5"/>
    <mergeCell ref="E4:E5"/>
    <mergeCell ref="F4:F5"/>
    <mergeCell ref="A62:A63"/>
    <mergeCell ref="B62:B63"/>
    <mergeCell ref="C62:C63"/>
    <mergeCell ref="D62:D63"/>
    <mergeCell ref="E62:E63"/>
    <mergeCell ref="A60:N60"/>
    <mergeCell ref="B15:M15"/>
    <mergeCell ref="B31:M31"/>
    <mergeCell ref="B4:B5"/>
    <mergeCell ref="G4:G5"/>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B6" workbookViewId="0">
      <selection activeCell="B25" sqref="B25"/>
    </sheetView>
  </sheetViews>
  <sheetFormatPr defaultColWidth="8.7109375" defaultRowHeight="12.75" x14ac:dyDescent="0.2"/>
  <cols>
    <col min="2" max="2" width="22.140625" customWidth="1"/>
    <col min="3" max="3" width="28.5703125" customWidth="1"/>
    <col min="4" max="4" width="11.42578125" customWidth="1"/>
    <col min="5" max="5" width="10.42578125" customWidth="1"/>
    <col min="6" max="6" width="23.7109375" customWidth="1"/>
    <col min="7" max="7" width="40.5703125" customWidth="1"/>
    <col min="8" max="8" width="12.28515625" customWidth="1"/>
    <col min="11" max="11" width="11" bestFit="1" customWidth="1"/>
    <col min="12" max="12" width="17.28515625" customWidth="1"/>
  </cols>
  <sheetData>
    <row r="1" spans="1:12" ht="30" x14ac:dyDescent="0.2">
      <c r="A1" s="295" t="s">
        <v>3654</v>
      </c>
      <c r="B1" s="295"/>
      <c r="C1" s="295"/>
      <c r="D1" s="295"/>
      <c r="E1" s="295"/>
      <c r="F1" s="295"/>
      <c r="G1" s="295"/>
      <c r="H1" s="295"/>
      <c r="I1" s="295"/>
      <c r="J1" s="295"/>
      <c r="K1" s="295"/>
      <c r="L1" s="296"/>
    </row>
    <row r="2" spans="1:12" ht="30" x14ac:dyDescent="0.4">
      <c r="A2" s="317" t="s">
        <v>3692</v>
      </c>
      <c r="B2" s="317"/>
      <c r="C2" s="317"/>
      <c r="D2" s="317"/>
      <c r="E2" s="317"/>
      <c r="F2" s="317"/>
      <c r="G2" s="317"/>
      <c r="H2" s="317"/>
      <c r="I2" s="317"/>
      <c r="J2" s="317"/>
      <c r="K2" s="317"/>
      <c r="L2" s="318"/>
    </row>
    <row r="3" spans="1:12" ht="30.75" thickBot="1" x14ac:dyDescent="0.45">
      <c r="A3" s="319" t="s">
        <v>3381</v>
      </c>
      <c r="B3" s="319"/>
      <c r="C3" s="319"/>
      <c r="D3" s="319"/>
      <c r="E3" s="319"/>
      <c r="F3" s="319"/>
      <c r="G3" s="319"/>
      <c r="H3" s="319"/>
      <c r="I3" s="319"/>
      <c r="J3" s="319"/>
      <c r="K3" s="319"/>
      <c r="L3" s="320"/>
    </row>
    <row r="4" spans="1:12" ht="15" x14ac:dyDescent="0.2">
      <c r="A4" s="297" t="s">
        <v>719</v>
      </c>
      <c r="B4" s="300" t="s">
        <v>0</v>
      </c>
      <c r="C4" s="302" t="s">
        <v>3600</v>
      </c>
      <c r="D4" s="302" t="s">
        <v>8</v>
      </c>
      <c r="E4" s="304" t="s">
        <v>2675</v>
      </c>
      <c r="F4" s="304" t="s">
        <v>1</v>
      </c>
      <c r="G4" s="305" t="s">
        <v>795</v>
      </c>
      <c r="H4" s="300" t="s">
        <v>3</v>
      </c>
      <c r="I4" s="304"/>
      <c r="J4" s="312" t="s">
        <v>3593</v>
      </c>
      <c r="K4" s="304" t="s">
        <v>6</v>
      </c>
      <c r="L4" s="307" t="s">
        <v>5</v>
      </c>
    </row>
    <row r="5" spans="1:12" ht="15" customHeight="1" thickBot="1" x14ac:dyDescent="0.25">
      <c r="A5" s="298"/>
      <c r="B5" s="301"/>
      <c r="C5" s="303"/>
      <c r="D5" s="303"/>
      <c r="E5" s="303"/>
      <c r="F5" s="303"/>
      <c r="G5" s="306"/>
      <c r="H5" s="215" t="s">
        <v>3693</v>
      </c>
      <c r="I5" s="216" t="s">
        <v>3694</v>
      </c>
      <c r="J5" s="313"/>
      <c r="K5" s="303"/>
      <c r="L5" s="310"/>
    </row>
    <row r="6" spans="1:12" ht="15" x14ac:dyDescent="0.2">
      <c r="A6" s="43"/>
      <c r="B6" s="299" t="s">
        <v>3695</v>
      </c>
      <c r="C6" s="299"/>
      <c r="D6" s="299"/>
      <c r="E6" s="299"/>
      <c r="F6" s="299"/>
      <c r="G6" s="299"/>
      <c r="H6" s="299"/>
      <c r="I6" s="299"/>
      <c r="J6" s="299"/>
      <c r="K6" s="299"/>
      <c r="L6" s="6"/>
    </row>
    <row r="7" spans="1:12" x14ac:dyDescent="0.2">
      <c r="A7" s="43">
        <v>1</v>
      </c>
      <c r="B7" s="15" t="s">
        <v>1677</v>
      </c>
      <c r="C7" s="15" t="s">
        <v>1678</v>
      </c>
      <c r="D7" s="15" t="s">
        <v>3696</v>
      </c>
      <c r="E7" s="15" t="str">
        <f>"1,1212"</f>
        <v>1,1212</v>
      </c>
      <c r="F7" s="15" t="s">
        <v>3655</v>
      </c>
      <c r="G7" s="15" t="s">
        <v>796</v>
      </c>
      <c r="H7" s="15" t="s">
        <v>1588</v>
      </c>
      <c r="I7" s="15" t="s">
        <v>3697</v>
      </c>
      <c r="J7" s="15">
        <v>907.5</v>
      </c>
      <c r="K7" s="15" t="str">
        <f>"1017,4890"</f>
        <v>1017,4890</v>
      </c>
      <c r="L7" s="15" t="s">
        <v>2060</v>
      </c>
    </row>
    <row r="8" spans="1:12" x14ac:dyDescent="0.2">
      <c r="A8" s="43">
        <v>2</v>
      </c>
      <c r="B8" s="16" t="s">
        <v>3698</v>
      </c>
      <c r="C8" s="16" t="s">
        <v>1680</v>
      </c>
      <c r="D8" s="16" t="s">
        <v>1681</v>
      </c>
      <c r="E8" s="16" t="str">
        <f>"1,1110"</f>
        <v>1,1110</v>
      </c>
      <c r="F8" s="16" t="s">
        <v>3655</v>
      </c>
      <c r="G8" s="16" t="s">
        <v>3699</v>
      </c>
      <c r="H8" s="16" t="s">
        <v>1588</v>
      </c>
      <c r="I8" s="16" t="s">
        <v>3700</v>
      </c>
      <c r="J8" s="16">
        <v>495</v>
      </c>
      <c r="K8" s="16" t="str">
        <f>"549,9450"</f>
        <v>549,9450</v>
      </c>
      <c r="L8" s="16" t="s">
        <v>3391</v>
      </c>
    </row>
    <row r="9" spans="1:12" x14ac:dyDescent="0.2">
      <c r="A9" s="43">
        <v>1</v>
      </c>
      <c r="B9" s="17" t="s">
        <v>3701</v>
      </c>
      <c r="C9" s="17" t="s">
        <v>3702</v>
      </c>
      <c r="D9" s="17" t="s">
        <v>3696</v>
      </c>
      <c r="E9" s="17" t="str">
        <f>"1,1212"</f>
        <v>1,1212</v>
      </c>
      <c r="F9" s="17" t="s">
        <v>3655</v>
      </c>
      <c r="G9" s="17" t="s">
        <v>796</v>
      </c>
      <c r="H9" s="17" t="s">
        <v>1588</v>
      </c>
      <c r="I9" s="17" t="s">
        <v>3697</v>
      </c>
      <c r="J9" s="17">
        <v>907.5</v>
      </c>
      <c r="K9" s="17" t="str">
        <f>"1037,8387"</f>
        <v>1037,8387</v>
      </c>
      <c r="L9" s="17" t="s">
        <v>2060</v>
      </c>
    </row>
    <row r="10" spans="1:12" x14ac:dyDescent="0.2">
      <c r="A10" s="43"/>
      <c r="B10" s="6"/>
      <c r="C10" s="6"/>
      <c r="D10" s="6"/>
      <c r="E10" s="6"/>
      <c r="F10" s="6"/>
      <c r="G10" s="6"/>
      <c r="H10" s="6"/>
      <c r="I10" s="6"/>
      <c r="J10" s="6"/>
      <c r="K10" s="6"/>
      <c r="L10" s="6"/>
    </row>
    <row r="11" spans="1:12" ht="15" x14ac:dyDescent="0.2">
      <c r="A11" s="43"/>
      <c r="B11" s="294" t="s">
        <v>3383</v>
      </c>
      <c r="C11" s="294"/>
      <c r="D11" s="294"/>
      <c r="E11" s="294"/>
      <c r="F11" s="294"/>
      <c r="G11" s="294"/>
      <c r="H11" s="294"/>
      <c r="I11" s="294"/>
      <c r="J11" s="294"/>
      <c r="K11" s="294"/>
      <c r="L11" s="6"/>
    </row>
    <row r="12" spans="1:12" x14ac:dyDescent="0.2">
      <c r="A12" s="43">
        <v>1</v>
      </c>
      <c r="B12" s="15" t="s">
        <v>3703</v>
      </c>
      <c r="C12" s="15" t="s">
        <v>3704</v>
      </c>
      <c r="D12" s="15" t="s">
        <v>133</v>
      </c>
      <c r="E12" s="15" t="str">
        <f>"1,0051"</f>
        <v>1,0051</v>
      </c>
      <c r="F12" s="15" t="s">
        <v>863</v>
      </c>
      <c r="G12" s="15" t="s">
        <v>834</v>
      </c>
      <c r="H12" s="15" t="s">
        <v>1589</v>
      </c>
      <c r="I12" s="15" t="s">
        <v>3590</v>
      </c>
      <c r="J12" s="15">
        <v>1080</v>
      </c>
      <c r="K12" s="15" t="str">
        <f>"1085,5080"</f>
        <v>1085,5080</v>
      </c>
      <c r="L12" s="15" t="s">
        <v>3705</v>
      </c>
    </row>
    <row r="13" spans="1:12" x14ac:dyDescent="0.2">
      <c r="A13" s="43">
        <v>1</v>
      </c>
      <c r="B13" s="17" t="s">
        <v>531</v>
      </c>
      <c r="C13" s="17" t="s">
        <v>538</v>
      </c>
      <c r="D13" s="17" t="s">
        <v>133</v>
      </c>
      <c r="E13" s="17" t="str">
        <f>"1,0051"</f>
        <v>1,0051</v>
      </c>
      <c r="F13" s="17" t="s">
        <v>863</v>
      </c>
      <c r="G13" s="17" t="s">
        <v>834</v>
      </c>
      <c r="H13" s="17" t="s">
        <v>1589</v>
      </c>
      <c r="I13" s="17" t="s">
        <v>3590</v>
      </c>
      <c r="J13" s="17">
        <v>1080</v>
      </c>
      <c r="K13" s="17" t="str">
        <f>"1085,5080"</f>
        <v>1085,5080</v>
      </c>
      <c r="L13" s="17" t="s">
        <v>3705</v>
      </c>
    </row>
    <row r="14" spans="1:12" x14ac:dyDescent="0.2">
      <c r="A14" s="43"/>
      <c r="B14" s="6"/>
      <c r="C14" s="6"/>
      <c r="D14" s="6"/>
      <c r="E14" s="6"/>
      <c r="F14" s="6"/>
      <c r="G14" s="6"/>
      <c r="H14" s="6"/>
      <c r="I14" s="6"/>
      <c r="J14" s="6"/>
      <c r="K14" s="6"/>
      <c r="L14" s="6"/>
    </row>
    <row r="15" spans="1:12" ht="15" x14ac:dyDescent="0.2">
      <c r="A15" s="43"/>
      <c r="B15" s="294" t="s">
        <v>3607</v>
      </c>
      <c r="C15" s="294"/>
      <c r="D15" s="294"/>
      <c r="E15" s="294"/>
      <c r="F15" s="294"/>
      <c r="G15" s="294"/>
      <c r="H15" s="294"/>
      <c r="I15" s="294"/>
      <c r="J15" s="294"/>
      <c r="K15" s="294"/>
      <c r="L15" s="6"/>
    </row>
    <row r="16" spans="1:12" x14ac:dyDescent="0.2">
      <c r="A16" s="43">
        <v>1</v>
      </c>
      <c r="B16" s="15" t="s">
        <v>3706</v>
      </c>
      <c r="C16" s="15" t="s">
        <v>3707</v>
      </c>
      <c r="D16" s="15" t="s">
        <v>349</v>
      </c>
      <c r="E16" s="15" t="str">
        <f>"0,9323"</f>
        <v>0,9323</v>
      </c>
      <c r="F16" s="15" t="s">
        <v>857</v>
      </c>
      <c r="G16" s="15" t="s">
        <v>3284</v>
      </c>
      <c r="H16" s="15" t="s">
        <v>1590</v>
      </c>
      <c r="I16" s="15" t="s">
        <v>3708</v>
      </c>
      <c r="J16" s="15">
        <v>877.5</v>
      </c>
      <c r="K16" s="15" t="str">
        <f>"818,0932"</f>
        <v>818,0932</v>
      </c>
      <c r="L16" s="15" t="s">
        <v>2067</v>
      </c>
    </row>
    <row r="17" spans="1:12" x14ac:dyDescent="0.2">
      <c r="A17" s="43">
        <v>1</v>
      </c>
      <c r="B17" s="16" t="s">
        <v>3709</v>
      </c>
      <c r="C17" s="16" t="s">
        <v>2790</v>
      </c>
      <c r="D17" s="16" t="s">
        <v>602</v>
      </c>
      <c r="E17" s="16" t="str">
        <f>"0,9266"</f>
        <v>0,9266</v>
      </c>
      <c r="F17" s="16" t="s">
        <v>3655</v>
      </c>
      <c r="G17" s="16" t="s">
        <v>3260</v>
      </c>
      <c r="H17" s="16" t="s">
        <v>1590</v>
      </c>
      <c r="I17" s="16" t="s">
        <v>3547</v>
      </c>
      <c r="J17" s="16">
        <v>1397.5</v>
      </c>
      <c r="K17" s="16" t="str">
        <f>"1294,9934"</f>
        <v>1294,9934</v>
      </c>
      <c r="L17" s="16" t="s">
        <v>3710</v>
      </c>
    </row>
    <row r="18" spans="1:12" x14ac:dyDescent="0.2">
      <c r="A18" s="43">
        <v>1</v>
      </c>
      <c r="B18" s="16" t="s">
        <v>3711</v>
      </c>
      <c r="C18" s="16" t="s">
        <v>2754</v>
      </c>
      <c r="D18" s="16" t="s">
        <v>602</v>
      </c>
      <c r="E18" s="16" t="str">
        <f>"0,9266"</f>
        <v>0,9266</v>
      </c>
      <c r="F18" s="16" t="s">
        <v>3655</v>
      </c>
      <c r="G18" s="16" t="s">
        <v>3260</v>
      </c>
      <c r="H18" s="16" t="s">
        <v>1590</v>
      </c>
      <c r="I18" s="16" t="s">
        <v>3547</v>
      </c>
      <c r="J18" s="16">
        <v>1397.5</v>
      </c>
      <c r="K18" s="16" t="str">
        <f>"1307,9433"</f>
        <v>1307,9433</v>
      </c>
      <c r="L18" s="16" t="s">
        <v>3710</v>
      </c>
    </row>
    <row r="19" spans="1:12" x14ac:dyDescent="0.2">
      <c r="A19" s="43">
        <v>2</v>
      </c>
      <c r="B19" s="17" t="s">
        <v>3712</v>
      </c>
      <c r="C19" s="17" t="s">
        <v>3713</v>
      </c>
      <c r="D19" s="17" t="s">
        <v>352</v>
      </c>
      <c r="E19" s="17" t="str">
        <f>"0,9200"</f>
        <v>0,9200</v>
      </c>
      <c r="F19" s="17" t="s">
        <v>3655</v>
      </c>
      <c r="G19" s="17" t="s">
        <v>813</v>
      </c>
      <c r="H19" s="17" t="s">
        <v>594</v>
      </c>
      <c r="I19" s="17" t="s">
        <v>3714</v>
      </c>
      <c r="J19" s="17">
        <v>735</v>
      </c>
      <c r="K19" s="17" t="str">
        <f>"731,6086"</f>
        <v>731,6086</v>
      </c>
      <c r="L19" s="17" t="s">
        <v>731</v>
      </c>
    </row>
    <row r="20" spans="1:12" x14ac:dyDescent="0.2">
      <c r="A20" s="43"/>
      <c r="B20" s="6"/>
      <c r="C20" s="6"/>
      <c r="D20" s="6"/>
      <c r="E20" s="6"/>
      <c r="F20" s="6"/>
      <c r="G20" s="6"/>
      <c r="H20" s="6"/>
      <c r="I20" s="6"/>
      <c r="J20" s="6"/>
      <c r="K20" s="6"/>
      <c r="L20" s="6"/>
    </row>
    <row r="21" spans="1:12" ht="15" x14ac:dyDescent="0.2">
      <c r="A21" s="43"/>
      <c r="B21" s="294" t="s">
        <v>3715</v>
      </c>
      <c r="C21" s="294"/>
      <c r="D21" s="294"/>
      <c r="E21" s="294"/>
      <c r="F21" s="294"/>
      <c r="G21" s="294"/>
      <c r="H21" s="294"/>
      <c r="I21" s="294"/>
      <c r="J21" s="294"/>
      <c r="K21" s="294"/>
      <c r="L21" s="6"/>
    </row>
    <row r="22" spans="1:12" x14ac:dyDescent="0.2">
      <c r="A22" s="43">
        <v>1</v>
      </c>
      <c r="B22" s="7" t="s">
        <v>3716</v>
      </c>
      <c r="C22" s="7" t="s">
        <v>3717</v>
      </c>
      <c r="D22" s="7" t="s">
        <v>3718</v>
      </c>
      <c r="E22" s="7" t="str">
        <f>"0,9166"</f>
        <v>0,9166</v>
      </c>
      <c r="F22" s="7" t="s">
        <v>3655</v>
      </c>
      <c r="G22" s="7" t="s">
        <v>3719</v>
      </c>
      <c r="H22" s="7" t="s">
        <v>1588</v>
      </c>
      <c r="I22" s="7" t="s">
        <v>3493</v>
      </c>
      <c r="J22" s="7">
        <v>2420</v>
      </c>
      <c r="K22" s="7" t="str">
        <f>"2218,1720"</f>
        <v>2218,1720</v>
      </c>
      <c r="L22" s="7" t="s">
        <v>3448</v>
      </c>
    </row>
    <row r="23" spans="1:12" x14ac:dyDescent="0.2">
      <c r="A23" s="43"/>
      <c r="B23" s="6"/>
      <c r="C23" s="6"/>
      <c r="D23" s="6"/>
      <c r="E23" s="6"/>
      <c r="F23" s="6"/>
      <c r="G23" s="6"/>
      <c r="H23" s="6"/>
      <c r="I23" s="6"/>
      <c r="J23" s="6"/>
      <c r="K23" s="6"/>
      <c r="L23" s="6"/>
    </row>
    <row r="24" spans="1:12" ht="15" x14ac:dyDescent="0.2">
      <c r="A24" s="43"/>
      <c r="B24" s="294" t="s">
        <v>3383</v>
      </c>
      <c r="C24" s="294"/>
      <c r="D24" s="294"/>
      <c r="E24" s="294"/>
      <c r="F24" s="294"/>
      <c r="G24" s="294"/>
      <c r="H24" s="294"/>
      <c r="I24" s="294"/>
      <c r="J24" s="294"/>
      <c r="K24" s="294"/>
      <c r="L24" s="6"/>
    </row>
    <row r="25" spans="1:12" x14ac:dyDescent="0.2">
      <c r="A25" s="43">
        <v>1</v>
      </c>
      <c r="B25" s="155" t="s">
        <v>3720</v>
      </c>
      <c r="C25" s="7" t="s">
        <v>3721</v>
      </c>
      <c r="D25" s="7" t="s">
        <v>3606</v>
      </c>
      <c r="E25" s="7" t="str">
        <f>"0,8626"</f>
        <v>0,8626</v>
      </c>
      <c r="F25" s="7" t="s">
        <v>3655</v>
      </c>
      <c r="G25" s="7" t="s">
        <v>4120</v>
      </c>
      <c r="H25" s="7" t="s">
        <v>1589</v>
      </c>
      <c r="I25" s="7" t="s">
        <v>52</v>
      </c>
      <c r="J25" s="7">
        <v>1200</v>
      </c>
      <c r="K25" s="7" t="str">
        <f>"1035,1800"</f>
        <v>1035,1800</v>
      </c>
      <c r="L25" s="7" t="s">
        <v>2087</v>
      </c>
    </row>
    <row r="26" spans="1:12" x14ac:dyDescent="0.2">
      <c r="A26" s="43"/>
      <c r="B26" s="6"/>
      <c r="C26" s="6"/>
      <c r="D26" s="6"/>
      <c r="E26" s="6"/>
      <c r="F26" s="6"/>
      <c r="G26" s="6"/>
      <c r="H26" s="6"/>
      <c r="I26" s="6"/>
      <c r="J26" s="6"/>
      <c r="K26" s="6"/>
      <c r="L26" s="6"/>
    </row>
    <row r="27" spans="1:12" ht="15" x14ac:dyDescent="0.2">
      <c r="A27" s="43"/>
      <c r="B27" s="294" t="s">
        <v>3607</v>
      </c>
      <c r="C27" s="294"/>
      <c r="D27" s="294"/>
      <c r="E27" s="294"/>
      <c r="F27" s="294"/>
      <c r="G27" s="294"/>
      <c r="H27" s="294"/>
      <c r="I27" s="294"/>
      <c r="J27" s="294"/>
      <c r="K27" s="294"/>
      <c r="L27" s="6"/>
    </row>
    <row r="28" spans="1:12" x14ac:dyDescent="0.2">
      <c r="A28" s="43">
        <v>1</v>
      </c>
      <c r="B28" s="7" t="s">
        <v>3722</v>
      </c>
      <c r="C28" s="7" t="s">
        <v>3723</v>
      </c>
      <c r="D28" s="7" t="s">
        <v>352</v>
      </c>
      <c r="E28" s="7" t="str">
        <f>"0,7671"</f>
        <v>0,7671</v>
      </c>
      <c r="F28" s="7" t="s">
        <v>3655</v>
      </c>
      <c r="G28" s="7" t="s">
        <v>796</v>
      </c>
      <c r="H28" s="7" t="s">
        <v>594</v>
      </c>
      <c r="I28" s="7" t="s">
        <v>3408</v>
      </c>
      <c r="J28" s="7">
        <v>1085</v>
      </c>
      <c r="K28" s="7" t="str">
        <f>"832,2493"</f>
        <v>832,2493</v>
      </c>
      <c r="L28" s="7" t="s">
        <v>2087</v>
      </c>
    </row>
    <row r="29" spans="1:12" x14ac:dyDescent="0.2">
      <c r="A29" s="43"/>
      <c r="B29" s="6"/>
      <c r="C29" s="6"/>
      <c r="D29" s="6"/>
      <c r="E29" s="6"/>
      <c r="F29" s="6"/>
      <c r="G29" s="6"/>
      <c r="H29" s="6"/>
      <c r="I29" s="6"/>
      <c r="J29" s="6"/>
      <c r="K29" s="6"/>
      <c r="L29" s="6"/>
    </row>
    <row r="30" spans="1:12" ht="15" x14ac:dyDescent="0.2">
      <c r="A30" s="43"/>
      <c r="B30" s="294" t="s">
        <v>3396</v>
      </c>
      <c r="C30" s="294"/>
      <c r="D30" s="294"/>
      <c r="E30" s="294"/>
      <c r="F30" s="294"/>
      <c r="G30" s="294"/>
      <c r="H30" s="294"/>
      <c r="I30" s="294"/>
      <c r="J30" s="294"/>
      <c r="K30" s="294"/>
      <c r="L30" s="6"/>
    </row>
    <row r="31" spans="1:12" x14ac:dyDescent="0.2">
      <c r="A31" s="43">
        <v>1</v>
      </c>
      <c r="B31" s="15" t="s">
        <v>3724</v>
      </c>
      <c r="C31" s="15" t="s">
        <v>3725</v>
      </c>
      <c r="D31" s="15" t="s">
        <v>388</v>
      </c>
      <c r="E31" s="15" t="str">
        <f>"0,7140"</f>
        <v>0,7140</v>
      </c>
      <c r="F31" s="15" t="s">
        <v>861</v>
      </c>
      <c r="G31" s="15" t="s">
        <v>883</v>
      </c>
      <c r="H31" s="15" t="s">
        <v>80</v>
      </c>
      <c r="I31" s="15" t="s">
        <v>116</v>
      </c>
      <c r="J31" s="15">
        <v>5250</v>
      </c>
      <c r="K31" s="15" t="str">
        <f>"3748,7625"</f>
        <v>3748,7625</v>
      </c>
      <c r="L31" s="15" t="s">
        <v>764</v>
      </c>
    </row>
    <row r="32" spans="1:12" x14ac:dyDescent="0.2">
      <c r="A32" s="43">
        <v>2</v>
      </c>
      <c r="B32" s="17" t="s">
        <v>3726</v>
      </c>
      <c r="C32" s="17" t="s">
        <v>3727</v>
      </c>
      <c r="D32" s="17" t="s">
        <v>179</v>
      </c>
      <c r="E32" s="17" t="str">
        <f>"0,7034"</f>
        <v>0,7034</v>
      </c>
      <c r="F32" s="17" t="s">
        <v>857</v>
      </c>
      <c r="G32" s="17" t="s">
        <v>806</v>
      </c>
      <c r="H32" s="17" t="s">
        <v>80</v>
      </c>
      <c r="I32" s="17" t="s">
        <v>3728</v>
      </c>
      <c r="J32" s="17">
        <v>3075</v>
      </c>
      <c r="K32" s="17" t="str">
        <f>"2162,9550"</f>
        <v>2162,9550</v>
      </c>
      <c r="L32" s="17" t="s">
        <v>724</v>
      </c>
    </row>
    <row r="33" spans="1:12" x14ac:dyDescent="0.2">
      <c r="A33" s="43"/>
      <c r="B33" s="6"/>
      <c r="C33" s="6"/>
      <c r="D33" s="6"/>
      <c r="E33" s="6"/>
      <c r="F33" s="6"/>
      <c r="G33" s="6"/>
      <c r="H33" s="6"/>
      <c r="I33" s="6"/>
      <c r="J33" s="6"/>
      <c r="K33" s="6"/>
      <c r="L33" s="6"/>
    </row>
    <row r="34" spans="1:12" x14ac:dyDescent="0.2">
      <c r="A34" s="43"/>
      <c r="B34" s="6"/>
      <c r="C34" s="6"/>
      <c r="D34" s="6"/>
      <c r="E34" s="6"/>
      <c r="F34" s="6"/>
      <c r="G34" s="6"/>
      <c r="H34" s="6"/>
      <c r="I34" s="6"/>
      <c r="J34" s="6"/>
      <c r="K34" s="6"/>
      <c r="L34" s="6"/>
    </row>
    <row r="35" spans="1:12" x14ac:dyDescent="0.2">
      <c r="A35" s="43"/>
      <c r="B35" s="6"/>
      <c r="C35" s="6"/>
      <c r="D35" s="6"/>
      <c r="E35" s="6"/>
      <c r="F35" s="6"/>
      <c r="G35" s="6"/>
      <c r="H35" s="6"/>
      <c r="I35" s="6"/>
      <c r="J35" s="6"/>
      <c r="K35" s="6"/>
      <c r="L35" s="6"/>
    </row>
    <row r="36" spans="1:12" x14ac:dyDescent="0.2">
      <c r="A36" s="43"/>
      <c r="B36" s="6"/>
      <c r="C36" s="6"/>
      <c r="D36" s="6"/>
      <c r="E36" s="6"/>
      <c r="F36" s="6"/>
      <c r="G36" s="6"/>
      <c r="H36" s="6"/>
      <c r="I36" s="6"/>
      <c r="J36" s="6"/>
      <c r="K36" s="6"/>
      <c r="L36" s="6"/>
    </row>
    <row r="37" spans="1:12" x14ac:dyDescent="0.2">
      <c r="A37" s="43"/>
      <c r="B37" s="6"/>
      <c r="C37" s="6"/>
      <c r="D37" s="6"/>
      <c r="E37" s="6"/>
      <c r="F37" s="6"/>
      <c r="G37" s="6"/>
      <c r="H37" s="6"/>
      <c r="I37" s="6"/>
      <c r="J37" s="6"/>
      <c r="K37" s="6"/>
      <c r="L37" s="6"/>
    </row>
    <row r="38" spans="1:12" x14ac:dyDescent="0.2">
      <c r="A38" s="43"/>
      <c r="B38" s="6"/>
      <c r="C38" s="6"/>
      <c r="D38" s="6"/>
      <c r="E38" s="6"/>
      <c r="F38" s="6"/>
      <c r="G38" s="6"/>
      <c r="H38" s="6"/>
      <c r="I38" s="6"/>
      <c r="J38" s="6"/>
      <c r="K38" s="6"/>
      <c r="L38" s="6"/>
    </row>
    <row r="39" spans="1:12" x14ac:dyDescent="0.2">
      <c r="A39" s="43"/>
      <c r="B39" s="6"/>
      <c r="C39" s="6"/>
      <c r="D39" s="6"/>
      <c r="E39" s="6"/>
      <c r="F39" s="6"/>
      <c r="G39" s="6"/>
      <c r="H39" s="6"/>
      <c r="I39" s="6"/>
      <c r="J39" s="6"/>
      <c r="K39" s="6"/>
      <c r="L39" s="6"/>
    </row>
    <row r="40" spans="1:12" x14ac:dyDescent="0.2">
      <c r="A40" s="43"/>
      <c r="B40" s="6"/>
      <c r="C40" s="6"/>
      <c r="D40" s="6"/>
      <c r="E40" s="6"/>
      <c r="F40" s="6"/>
      <c r="G40" s="6"/>
      <c r="H40" s="6"/>
      <c r="I40" s="6"/>
      <c r="J40" s="6"/>
      <c r="K40" s="6"/>
      <c r="L40" s="6"/>
    </row>
    <row r="41" spans="1:12" x14ac:dyDescent="0.2">
      <c r="A41" s="43"/>
      <c r="B41" s="6"/>
      <c r="C41" s="6"/>
      <c r="D41" s="6"/>
      <c r="E41" s="6"/>
      <c r="F41" s="6"/>
      <c r="G41" s="6"/>
      <c r="H41" s="6"/>
      <c r="I41" s="6"/>
      <c r="J41" s="6"/>
      <c r="K41" s="6"/>
      <c r="L41" s="6"/>
    </row>
    <row r="42" spans="1:12" x14ac:dyDescent="0.2">
      <c r="A42" s="43"/>
      <c r="B42" s="6"/>
      <c r="C42" s="6"/>
      <c r="D42" s="6"/>
      <c r="E42" s="6"/>
      <c r="F42" s="6"/>
      <c r="G42" s="6"/>
      <c r="H42" s="6"/>
      <c r="I42" s="6"/>
      <c r="J42" s="6"/>
      <c r="K42" s="6"/>
      <c r="L42" s="6"/>
    </row>
  </sheetData>
  <mergeCells count="21">
    <mergeCell ref="A1:L1"/>
    <mergeCell ref="A2:L2"/>
    <mergeCell ref="A3:L3"/>
    <mergeCell ref="L4:L5"/>
    <mergeCell ref="B6:K6"/>
    <mergeCell ref="B21:K21"/>
    <mergeCell ref="B24:K24"/>
    <mergeCell ref="B27:K27"/>
    <mergeCell ref="B30:K30"/>
    <mergeCell ref="A4:A5"/>
    <mergeCell ref="J4:J5"/>
    <mergeCell ref="K4:K5"/>
    <mergeCell ref="B11:K11"/>
    <mergeCell ref="B15:K15"/>
    <mergeCell ref="B4:B5"/>
    <mergeCell ref="C4:C5"/>
    <mergeCell ref="D4:D5"/>
    <mergeCell ref="E4:E5"/>
    <mergeCell ref="F4:F5"/>
    <mergeCell ref="G4:G5"/>
    <mergeCell ref="H4:I4"/>
  </mergeCells>
  <pageMargins left="0.7" right="0.7" top="0.75" bottom="0.75" header="0.3" footer="0.3"/>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topLeftCell="A37" workbookViewId="0">
      <selection activeCell="F57" sqref="F57"/>
    </sheetView>
  </sheetViews>
  <sheetFormatPr defaultColWidth="8.7109375" defaultRowHeight="12.75" x14ac:dyDescent="0.2"/>
  <cols>
    <col min="1" max="1" width="6.85546875" bestFit="1" customWidth="1"/>
    <col min="2" max="2" width="23.140625" bestFit="1" customWidth="1"/>
    <col min="3" max="3" width="33.42578125" bestFit="1" customWidth="1"/>
    <col min="4" max="4" width="8.5703125" bestFit="1" customWidth="1"/>
    <col min="5" max="5" width="7.5703125" bestFit="1" customWidth="1"/>
    <col min="6" max="6" width="22.42578125" bestFit="1" customWidth="1"/>
    <col min="7" max="7" width="47" bestFit="1" customWidth="1"/>
    <col min="8" max="8" width="11.140625" bestFit="1" customWidth="1"/>
    <col min="9" max="9" width="5.42578125" bestFit="1" customWidth="1"/>
    <col min="10" max="10" width="6.42578125" bestFit="1" customWidth="1"/>
    <col min="11" max="11" width="11" bestFit="1" customWidth="1"/>
    <col min="12" max="12" width="24.140625" bestFit="1" customWidth="1"/>
  </cols>
  <sheetData>
    <row r="1" spans="1:13" ht="30" x14ac:dyDescent="0.2">
      <c r="A1" s="295" t="s">
        <v>3654</v>
      </c>
      <c r="B1" s="295"/>
      <c r="C1" s="295"/>
      <c r="D1" s="295"/>
      <c r="E1" s="295"/>
      <c r="F1" s="295"/>
      <c r="G1" s="295"/>
      <c r="H1" s="295"/>
      <c r="I1" s="295"/>
      <c r="J1" s="295"/>
      <c r="K1" s="295"/>
      <c r="L1" s="296"/>
    </row>
    <row r="2" spans="1:13" ht="30" x14ac:dyDescent="0.4">
      <c r="A2" s="317" t="s">
        <v>4051</v>
      </c>
      <c r="B2" s="317"/>
      <c r="C2" s="317"/>
      <c r="D2" s="317"/>
      <c r="E2" s="317"/>
      <c r="F2" s="317"/>
      <c r="G2" s="317"/>
      <c r="H2" s="317"/>
      <c r="I2" s="317"/>
      <c r="J2" s="317"/>
      <c r="K2" s="317"/>
      <c r="L2" s="318"/>
    </row>
    <row r="3" spans="1:13" ht="30.75" thickBot="1" x14ac:dyDescent="0.45">
      <c r="A3" s="319" t="s">
        <v>3381</v>
      </c>
      <c r="B3" s="319"/>
      <c r="C3" s="319"/>
      <c r="D3" s="319"/>
      <c r="E3" s="319"/>
      <c r="F3" s="319"/>
      <c r="G3" s="319"/>
      <c r="H3" s="319"/>
      <c r="I3" s="319"/>
      <c r="J3" s="319"/>
      <c r="K3" s="319"/>
      <c r="L3" s="320"/>
    </row>
    <row r="4" spans="1:13" ht="15" x14ac:dyDescent="0.2">
      <c r="A4" s="297" t="s">
        <v>719</v>
      </c>
      <c r="B4" s="300" t="s">
        <v>0</v>
      </c>
      <c r="C4" s="302" t="s">
        <v>3600</v>
      </c>
      <c r="D4" s="302" t="s">
        <v>8</v>
      </c>
      <c r="E4" s="304" t="s">
        <v>2675</v>
      </c>
      <c r="F4" s="304" t="s">
        <v>1</v>
      </c>
      <c r="G4" s="305" t="s">
        <v>795</v>
      </c>
      <c r="H4" s="300" t="s">
        <v>3</v>
      </c>
      <c r="I4" s="304"/>
      <c r="J4" s="312" t="s">
        <v>3593</v>
      </c>
      <c r="K4" s="304" t="s">
        <v>6</v>
      </c>
      <c r="L4" s="307" t="s">
        <v>5</v>
      </c>
      <c r="M4" s="5"/>
    </row>
    <row r="5" spans="1:13" ht="15.75" thickBot="1" x14ac:dyDescent="0.25">
      <c r="A5" s="298"/>
      <c r="B5" s="301"/>
      <c r="C5" s="303"/>
      <c r="D5" s="303"/>
      <c r="E5" s="303"/>
      <c r="F5" s="303"/>
      <c r="G5" s="306"/>
      <c r="H5" s="215" t="s">
        <v>3693</v>
      </c>
      <c r="I5" s="217" t="s">
        <v>3694</v>
      </c>
      <c r="J5" s="313"/>
      <c r="K5" s="303"/>
      <c r="L5" s="310"/>
      <c r="M5" s="5"/>
    </row>
    <row r="6" spans="1:13" ht="15" x14ac:dyDescent="0.2">
      <c r="A6" s="43"/>
      <c r="B6" s="299" t="s">
        <v>3729</v>
      </c>
      <c r="C6" s="299"/>
      <c r="D6" s="299"/>
      <c r="E6" s="299"/>
      <c r="F6" s="299"/>
      <c r="G6" s="299"/>
      <c r="H6" s="299"/>
      <c r="I6" s="299"/>
      <c r="J6" s="299"/>
      <c r="K6" s="299"/>
      <c r="L6" s="6"/>
    </row>
    <row r="7" spans="1:13" x14ac:dyDescent="0.2">
      <c r="A7" s="43">
        <v>1</v>
      </c>
      <c r="B7" s="7" t="s">
        <v>3730</v>
      </c>
      <c r="C7" s="7" t="s">
        <v>3731</v>
      </c>
      <c r="D7" s="7" t="s">
        <v>3732</v>
      </c>
      <c r="E7" s="7" t="str">
        <f>"1,2979"</f>
        <v>1,2979</v>
      </c>
      <c r="F7" s="7" t="s">
        <v>3655</v>
      </c>
      <c r="G7" s="7" t="s">
        <v>844</v>
      </c>
      <c r="H7" s="7" t="s">
        <v>44</v>
      </c>
      <c r="I7" s="218" t="s">
        <v>3700</v>
      </c>
      <c r="J7" s="7">
        <v>765</v>
      </c>
      <c r="K7" s="7" t="str">
        <f>"992,8935"</f>
        <v>992,8935</v>
      </c>
      <c r="L7" s="7" t="s">
        <v>2054</v>
      </c>
    </row>
    <row r="8" spans="1:13" x14ac:dyDescent="0.2">
      <c r="A8" s="43"/>
      <c r="B8" s="6"/>
      <c r="C8" s="6"/>
      <c r="D8" s="6"/>
      <c r="E8" s="6"/>
      <c r="F8" s="6"/>
      <c r="G8" s="6"/>
      <c r="H8" s="6"/>
      <c r="I8" s="219"/>
      <c r="J8" s="6"/>
      <c r="K8" s="6"/>
      <c r="L8" s="6"/>
    </row>
    <row r="9" spans="1:13" ht="15" x14ac:dyDescent="0.2">
      <c r="A9" s="43"/>
      <c r="B9" s="294" t="s">
        <v>3607</v>
      </c>
      <c r="C9" s="294"/>
      <c r="D9" s="294"/>
      <c r="E9" s="294"/>
      <c r="F9" s="294"/>
      <c r="G9" s="294"/>
      <c r="H9" s="294"/>
      <c r="I9" s="294"/>
      <c r="J9" s="294"/>
      <c r="K9" s="294"/>
      <c r="L9" s="6"/>
    </row>
    <row r="10" spans="1:13" x14ac:dyDescent="0.2">
      <c r="A10" s="43">
        <v>1</v>
      </c>
      <c r="B10" s="7" t="s">
        <v>3733</v>
      </c>
      <c r="C10" s="7" t="s">
        <v>3734</v>
      </c>
      <c r="D10" s="7" t="s">
        <v>352</v>
      </c>
      <c r="E10" s="7" t="str">
        <f>"0,9200"</f>
        <v>0,9200</v>
      </c>
      <c r="F10" s="7" t="s">
        <v>3655</v>
      </c>
      <c r="G10" s="7" t="s">
        <v>813</v>
      </c>
      <c r="H10" s="7" t="s">
        <v>594</v>
      </c>
      <c r="I10" s="218" t="s">
        <v>3714</v>
      </c>
      <c r="J10" s="7">
        <v>735</v>
      </c>
      <c r="K10" s="7" t="str">
        <f>"676,1633"</f>
        <v>676,1633</v>
      </c>
      <c r="L10" s="7" t="s">
        <v>731</v>
      </c>
    </row>
    <row r="11" spans="1:13" x14ac:dyDescent="0.2">
      <c r="A11" s="43"/>
      <c r="B11" s="6"/>
      <c r="C11" s="6"/>
      <c r="D11" s="6"/>
      <c r="E11" s="6"/>
      <c r="F11" s="6"/>
      <c r="G11" s="6"/>
      <c r="H11" s="6"/>
      <c r="I11" s="219"/>
      <c r="J11" s="6"/>
      <c r="K11" s="6"/>
      <c r="L11" s="6"/>
    </row>
    <row r="12" spans="1:13" ht="15" x14ac:dyDescent="0.2">
      <c r="A12" s="43"/>
      <c r="B12" s="294" t="s">
        <v>3607</v>
      </c>
      <c r="C12" s="294"/>
      <c r="D12" s="294"/>
      <c r="E12" s="294"/>
      <c r="F12" s="294"/>
      <c r="G12" s="294"/>
      <c r="H12" s="294"/>
      <c r="I12" s="294"/>
      <c r="J12" s="294"/>
      <c r="K12" s="294"/>
      <c r="L12" s="6"/>
    </row>
    <row r="13" spans="1:13" x14ac:dyDescent="0.2">
      <c r="A13" s="43">
        <v>1</v>
      </c>
      <c r="B13" s="15" t="s">
        <v>3735</v>
      </c>
      <c r="C13" s="15" t="s">
        <v>3736</v>
      </c>
      <c r="D13" s="15" t="s">
        <v>700</v>
      </c>
      <c r="E13" s="15" t="str">
        <f>"0,7590"</f>
        <v>0,7590</v>
      </c>
      <c r="F13" s="15" t="s">
        <v>3655</v>
      </c>
      <c r="G13" s="15" t="s">
        <v>796</v>
      </c>
      <c r="H13" s="15" t="s">
        <v>68</v>
      </c>
      <c r="I13" s="220" t="s">
        <v>3419</v>
      </c>
      <c r="J13" s="15">
        <v>3307.5</v>
      </c>
      <c r="K13" s="15" t="str">
        <f>"2510,3925"</f>
        <v>2510,3925</v>
      </c>
      <c r="L13" s="15" t="s">
        <v>3391</v>
      </c>
    </row>
    <row r="14" spans="1:13" x14ac:dyDescent="0.2">
      <c r="A14" s="43">
        <v>2</v>
      </c>
      <c r="B14" s="16" t="s">
        <v>3737</v>
      </c>
      <c r="C14" s="16" t="s">
        <v>3738</v>
      </c>
      <c r="D14" s="16" t="s">
        <v>3739</v>
      </c>
      <c r="E14" s="16" t="str">
        <f>"0,8012"</f>
        <v>0,8012</v>
      </c>
      <c r="F14" s="16" t="s">
        <v>3655</v>
      </c>
      <c r="G14" s="16" t="s">
        <v>3740</v>
      </c>
      <c r="H14" s="16" t="s">
        <v>67</v>
      </c>
      <c r="I14" s="221" t="s">
        <v>3402</v>
      </c>
      <c r="J14" s="16">
        <v>2937.5</v>
      </c>
      <c r="K14" s="16" t="str">
        <f>"2353,6718"</f>
        <v>2353,6718</v>
      </c>
      <c r="L14" s="16" t="s">
        <v>3391</v>
      </c>
    </row>
    <row r="15" spans="1:13" x14ac:dyDescent="0.2">
      <c r="A15" s="43">
        <v>3</v>
      </c>
      <c r="B15" s="16" t="s">
        <v>3741</v>
      </c>
      <c r="C15" s="16" t="s">
        <v>3742</v>
      </c>
      <c r="D15" s="16" t="s">
        <v>3743</v>
      </c>
      <c r="E15" s="16" t="str">
        <f>"0,8288"</f>
        <v>0,8288</v>
      </c>
      <c r="F15" s="16" t="s">
        <v>3655</v>
      </c>
      <c r="G15" s="16" t="s">
        <v>888</v>
      </c>
      <c r="H15" s="16" t="s">
        <v>67</v>
      </c>
      <c r="I15" s="221" t="s">
        <v>52</v>
      </c>
      <c r="J15" s="16">
        <v>2500</v>
      </c>
      <c r="K15" s="16" t="str">
        <f>"2072,1249"</f>
        <v>2072,1249</v>
      </c>
      <c r="L15" s="16" t="s">
        <v>3391</v>
      </c>
    </row>
    <row r="16" spans="1:13" x14ac:dyDescent="0.2">
      <c r="A16" s="43">
        <v>1</v>
      </c>
      <c r="B16" s="17" t="s">
        <v>3744</v>
      </c>
      <c r="C16" s="17" t="s">
        <v>3745</v>
      </c>
      <c r="D16" s="17" t="s">
        <v>602</v>
      </c>
      <c r="E16" s="17" t="str">
        <f>"0,7733"</f>
        <v>0,7733</v>
      </c>
      <c r="F16" s="17" t="s">
        <v>3655</v>
      </c>
      <c r="G16" s="17" t="s">
        <v>807</v>
      </c>
      <c r="H16" s="17" t="s">
        <v>53</v>
      </c>
      <c r="I16" s="222" t="s">
        <v>3408</v>
      </c>
      <c r="J16" s="17">
        <v>2015</v>
      </c>
      <c r="K16" s="17" t="str">
        <f>"2128,5005"</f>
        <v>2128,5005</v>
      </c>
      <c r="L16" s="17" t="s">
        <v>3864</v>
      </c>
    </row>
    <row r="17" spans="1:12" x14ac:dyDescent="0.2">
      <c r="A17" s="43"/>
      <c r="B17" s="6"/>
      <c r="C17" s="6"/>
      <c r="D17" s="6"/>
      <c r="E17" s="6"/>
      <c r="F17" s="6"/>
      <c r="G17" s="6"/>
      <c r="H17" s="6"/>
      <c r="I17" s="219"/>
      <c r="J17" s="6"/>
      <c r="K17" s="6"/>
      <c r="L17" s="6"/>
    </row>
    <row r="18" spans="1:12" ht="15" x14ac:dyDescent="0.2">
      <c r="A18" s="43"/>
      <c r="B18" s="294" t="s">
        <v>3396</v>
      </c>
      <c r="C18" s="294"/>
      <c r="D18" s="294"/>
      <c r="E18" s="294"/>
      <c r="F18" s="294"/>
      <c r="G18" s="294"/>
      <c r="H18" s="294"/>
      <c r="I18" s="294"/>
      <c r="J18" s="294"/>
      <c r="K18" s="294"/>
      <c r="L18" s="6"/>
    </row>
    <row r="19" spans="1:12" x14ac:dyDescent="0.2">
      <c r="A19" s="43">
        <v>1</v>
      </c>
      <c r="B19" s="15" t="s">
        <v>3724</v>
      </c>
      <c r="C19" s="15" t="s">
        <v>3725</v>
      </c>
      <c r="D19" s="15" t="s">
        <v>388</v>
      </c>
      <c r="E19" s="15" t="str">
        <f>"0,7140"</f>
        <v>0,7140</v>
      </c>
      <c r="F19" s="15" t="s">
        <v>861</v>
      </c>
      <c r="G19" s="15" t="s">
        <v>883</v>
      </c>
      <c r="H19" s="15" t="s">
        <v>54</v>
      </c>
      <c r="I19" s="220" t="s">
        <v>3700</v>
      </c>
      <c r="J19" s="15">
        <v>1305</v>
      </c>
      <c r="K19" s="15" t="str">
        <f>"931,8352"</f>
        <v>931,8352</v>
      </c>
      <c r="L19" s="15" t="s">
        <v>764</v>
      </c>
    </row>
    <row r="20" spans="1:12" x14ac:dyDescent="0.2">
      <c r="A20" s="43">
        <v>1</v>
      </c>
      <c r="B20" s="16" t="s">
        <v>3746</v>
      </c>
      <c r="C20" s="16" t="s">
        <v>416</v>
      </c>
      <c r="D20" s="16" t="s">
        <v>3407</v>
      </c>
      <c r="E20" s="16" t="str">
        <f>"0,7322"</f>
        <v>0,7322</v>
      </c>
      <c r="F20" s="16" t="s">
        <v>3655</v>
      </c>
      <c r="G20" s="16" t="s">
        <v>796</v>
      </c>
      <c r="H20" s="16" t="s">
        <v>51</v>
      </c>
      <c r="I20" s="221" t="s">
        <v>3413</v>
      </c>
      <c r="J20" s="16">
        <v>2730</v>
      </c>
      <c r="K20" s="16" t="str">
        <f>"1998,9061"</f>
        <v>1998,9061</v>
      </c>
      <c r="L20" s="16" t="s">
        <v>2072</v>
      </c>
    </row>
    <row r="21" spans="1:12" x14ac:dyDescent="0.2">
      <c r="A21" s="43">
        <v>1</v>
      </c>
      <c r="B21" s="16" t="s">
        <v>3747</v>
      </c>
      <c r="C21" s="16" t="s">
        <v>3748</v>
      </c>
      <c r="D21" s="16" t="s">
        <v>3749</v>
      </c>
      <c r="E21" s="16" t="str">
        <f>"0,6906"</f>
        <v>0,6906</v>
      </c>
      <c r="F21" s="16" t="s">
        <v>3655</v>
      </c>
      <c r="G21" s="16" t="s">
        <v>3301</v>
      </c>
      <c r="H21" s="16" t="s">
        <v>41</v>
      </c>
      <c r="I21" s="221" t="s">
        <v>2413</v>
      </c>
      <c r="J21" s="16">
        <v>4050</v>
      </c>
      <c r="K21" s="16" t="str">
        <f>"2796,9299"</f>
        <v>2796,9299</v>
      </c>
      <c r="L21" s="16" t="s">
        <v>3750</v>
      </c>
    </row>
    <row r="22" spans="1:12" x14ac:dyDescent="0.2">
      <c r="A22" s="43">
        <v>2</v>
      </c>
      <c r="B22" s="16" t="s">
        <v>3751</v>
      </c>
      <c r="C22" s="16" t="s">
        <v>3752</v>
      </c>
      <c r="D22" s="16" t="s">
        <v>3753</v>
      </c>
      <c r="E22" s="16" t="str">
        <f>"0,7132"</f>
        <v>0,7132</v>
      </c>
      <c r="F22" s="16" t="s">
        <v>3655</v>
      </c>
      <c r="G22" s="16" t="s">
        <v>847</v>
      </c>
      <c r="H22" s="16" t="s">
        <v>54</v>
      </c>
      <c r="I22" s="221" t="s">
        <v>3401</v>
      </c>
      <c r="J22" s="16">
        <v>3190</v>
      </c>
      <c r="K22" s="16" t="str">
        <f>"2275,2674"</f>
        <v>2275,2674</v>
      </c>
      <c r="L22" s="16" t="s">
        <v>3391</v>
      </c>
    </row>
    <row r="23" spans="1:12" x14ac:dyDescent="0.2">
      <c r="A23" s="43">
        <v>3</v>
      </c>
      <c r="B23" s="16" t="s">
        <v>3754</v>
      </c>
      <c r="C23" s="16" t="s">
        <v>3755</v>
      </c>
      <c r="D23" s="16" t="s">
        <v>407</v>
      </c>
      <c r="E23" s="16" t="str">
        <f>"0,7012"</f>
        <v>0,7012</v>
      </c>
      <c r="F23" s="16" t="s">
        <v>3655</v>
      </c>
      <c r="G23" s="16" t="s">
        <v>3719</v>
      </c>
      <c r="H23" s="16" t="s">
        <v>41</v>
      </c>
      <c r="I23" s="221" t="s">
        <v>3756</v>
      </c>
      <c r="J23" s="16">
        <v>2550</v>
      </c>
      <c r="K23" s="16" t="str">
        <f>"1787,9325"</f>
        <v>1787,9325</v>
      </c>
      <c r="L23" s="16" t="s">
        <v>3757</v>
      </c>
    </row>
    <row r="24" spans="1:12" x14ac:dyDescent="0.2">
      <c r="A24" s="43">
        <v>4</v>
      </c>
      <c r="B24" s="16" t="s">
        <v>3758</v>
      </c>
      <c r="C24" s="16" t="s">
        <v>3759</v>
      </c>
      <c r="D24" s="16" t="s">
        <v>3417</v>
      </c>
      <c r="E24" s="16" t="str">
        <f>"0,7419"</f>
        <v>0,7419</v>
      </c>
      <c r="F24" s="16" t="s">
        <v>3655</v>
      </c>
      <c r="G24" s="16" t="s">
        <v>796</v>
      </c>
      <c r="H24" s="16" t="s">
        <v>51</v>
      </c>
      <c r="I24" s="221" t="s">
        <v>3697</v>
      </c>
      <c r="J24" s="16">
        <v>2310</v>
      </c>
      <c r="K24" s="16" t="str">
        <f>"1713,9044"</f>
        <v>1713,9044</v>
      </c>
      <c r="L24" s="16" t="s">
        <v>2072</v>
      </c>
    </row>
    <row r="25" spans="1:12" x14ac:dyDescent="0.2">
      <c r="A25" s="43">
        <v>5</v>
      </c>
      <c r="B25" s="16" t="s">
        <v>3760</v>
      </c>
      <c r="C25" s="16" t="s">
        <v>3761</v>
      </c>
      <c r="D25" s="16" t="s">
        <v>1758</v>
      </c>
      <c r="E25" s="16" t="str">
        <f>"0,6940"</f>
        <v>0,6940</v>
      </c>
      <c r="F25" s="16" t="s">
        <v>3655</v>
      </c>
      <c r="G25" s="16" t="s">
        <v>796</v>
      </c>
      <c r="H25" s="16" t="s">
        <v>41</v>
      </c>
      <c r="I25" s="221" t="s">
        <v>3762</v>
      </c>
      <c r="J25" s="16">
        <v>2400</v>
      </c>
      <c r="K25" s="16" t="str">
        <f>"1665,6000"</f>
        <v>1665,6000</v>
      </c>
      <c r="L25" s="16" t="s">
        <v>3391</v>
      </c>
    </row>
    <row r="26" spans="1:12" x14ac:dyDescent="0.2">
      <c r="A26" s="43">
        <v>6</v>
      </c>
      <c r="B26" s="16" t="s">
        <v>3763</v>
      </c>
      <c r="C26" s="16" t="s">
        <v>1759</v>
      </c>
      <c r="D26" s="16" t="s">
        <v>176</v>
      </c>
      <c r="E26" s="16" t="str">
        <f>"0,6975"</f>
        <v>0,6975</v>
      </c>
      <c r="F26" s="16" t="s">
        <v>3655</v>
      </c>
      <c r="G26" s="16" t="s">
        <v>890</v>
      </c>
      <c r="H26" s="16" t="s">
        <v>41</v>
      </c>
      <c r="I26" s="221" t="s">
        <v>2874</v>
      </c>
      <c r="J26" s="16">
        <v>1875</v>
      </c>
      <c r="K26" s="16" t="str">
        <f>"1307,9062"</f>
        <v>1307,9062</v>
      </c>
      <c r="L26" s="16" t="s">
        <v>2079</v>
      </c>
    </row>
    <row r="27" spans="1:12" x14ac:dyDescent="0.2">
      <c r="A27" s="43">
        <v>1</v>
      </c>
      <c r="B27" s="17" t="s">
        <v>3764</v>
      </c>
      <c r="C27" s="17" t="s">
        <v>3765</v>
      </c>
      <c r="D27" s="17" t="s">
        <v>3102</v>
      </c>
      <c r="E27" s="17" t="str">
        <f>"0,6913"</f>
        <v>0,6913</v>
      </c>
      <c r="F27" s="17" t="s">
        <v>3655</v>
      </c>
      <c r="G27" s="17" t="s">
        <v>799</v>
      </c>
      <c r="H27" s="17" t="s">
        <v>41</v>
      </c>
      <c r="I27" s="222" t="s">
        <v>3756</v>
      </c>
      <c r="J27" s="17">
        <v>2550</v>
      </c>
      <c r="K27" s="17" t="str">
        <f>"2122,2758"</f>
        <v>2122,2758</v>
      </c>
      <c r="L27" s="17" t="s">
        <v>3391</v>
      </c>
    </row>
    <row r="28" spans="1:12" x14ac:dyDescent="0.2">
      <c r="A28" s="43"/>
      <c r="B28" s="6"/>
      <c r="C28" s="6"/>
      <c r="D28" s="6"/>
      <c r="E28" s="6"/>
      <c r="F28" s="6"/>
      <c r="G28" s="6"/>
      <c r="H28" s="6"/>
      <c r="I28" s="219"/>
      <c r="J28" s="6"/>
      <c r="K28" s="6"/>
      <c r="L28" s="6"/>
    </row>
    <row r="29" spans="1:12" ht="15" x14ac:dyDescent="0.2">
      <c r="A29" s="43"/>
      <c r="B29" s="294" t="s">
        <v>3624</v>
      </c>
      <c r="C29" s="294"/>
      <c r="D29" s="294"/>
      <c r="E29" s="294"/>
      <c r="F29" s="294"/>
      <c r="G29" s="294"/>
      <c r="H29" s="294"/>
      <c r="I29" s="294"/>
      <c r="J29" s="294"/>
      <c r="K29" s="294"/>
      <c r="L29" s="6"/>
    </row>
    <row r="30" spans="1:12" x14ac:dyDescent="0.2">
      <c r="A30" s="43">
        <v>1</v>
      </c>
      <c r="B30" s="15" t="s">
        <v>3766</v>
      </c>
      <c r="C30" s="15" t="s">
        <v>3767</v>
      </c>
      <c r="D30" s="15" t="s">
        <v>545</v>
      </c>
      <c r="E30" s="15" t="str">
        <f>"0,6467"</f>
        <v>0,6467</v>
      </c>
      <c r="F30" s="15" t="s">
        <v>3655</v>
      </c>
      <c r="G30" s="15" t="s">
        <v>813</v>
      </c>
      <c r="H30" s="15" t="s">
        <v>43</v>
      </c>
      <c r="I30" s="220" t="s">
        <v>3401</v>
      </c>
      <c r="J30" s="15">
        <v>3630</v>
      </c>
      <c r="K30" s="15" t="str">
        <f>"2347,3396"</f>
        <v>2347,3396</v>
      </c>
      <c r="L30" s="15" t="s">
        <v>731</v>
      </c>
    </row>
    <row r="31" spans="1:12" x14ac:dyDescent="0.2">
      <c r="A31" s="43">
        <v>2</v>
      </c>
      <c r="B31" s="16" t="s">
        <v>3768</v>
      </c>
      <c r="C31" s="16" t="s">
        <v>3769</v>
      </c>
      <c r="D31" s="16" t="s">
        <v>1090</v>
      </c>
      <c r="E31" s="16" t="str">
        <f>"0,6730"</f>
        <v>0,6730</v>
      </c>
      <c r="F31" s="16" t="s">
        <v>3655</v>
      </c>
      <c r="G31" s="16" t="s">
        <v>3770</v>
      </c>
      <c r="H31" s="16" t="s">
        <v>55</v>
      </c>
      <c r="I31" s="221" t="s">
        <v>3771</v>
      </c>
      <c r="J31" s="16">
        <v>3255</v>
      </c>
      <c r="K31" s="16" t="str">
        <f>"2190,7777"</f>
        <v>2190,7777</v>
      </c>
      <c r="L31" s="16" t="s">
        <v>3391</v>
      </c>
    </row>
    <row r="32" spans="1:12" x14ac:dyDescent="0.2">
      <c r="A32" s="43">
        <v>3</v>
      </c>
      <c r="B32" s="16" t="s">
        <v>3772</v>
      </c>
      <c r="C32" s="16" t="s">
        <v>3773</v>
      </c>
      <c r="D32" s="16" t="s">
        <v>1328</v>
      </c>
      <c r="E32" s="16" t="str">
        <f>"0,6446"</f>
        <v>0,6446</v>
      </c>
      <c r="F32" s="16" t="s">
        <v>3655</v>
      </c>
      <c r="G32" s="16" t="s">
        <v>796</v>
      </c>
      <c r="H32" s="16" t="s">
        <v>43</v>
      </c>
      <c r="I32" s="221" t="s">
        <v>3774</v>
      </c>
      <c r="J32" s="16">
        <v>3052.5</v>
      </c>
      <c r="K32" s="16" t="str">
        <f>"1967,6414"</f>
        <v>1967,6414</v>
      </c>
      <c r="L32" s="16" t="s">
        <v>3775</v>
      </c>
    </row>
    <row r="33" spans="1:12" x14ac:dyDescent="0.2">
      <c r="A33" s="43">
        <v>4</v>
      </c>
      <c r="B33" s="16" t="s">
        <v>3776</v>
      </c>
      <c r="C33" s="16" t="s">
        <v>3777</v>
      </c>
      <c r="D33" s="16" t="s">
        <v>2452</v>
      </c>
      <c r="E33" s="16" t="str">
        <f>"0,6589"</f>
        <v>0,6589</v>
      </c>
      <c r="F33" s="16" t="s">
        <v>3655</v>
      </c>
      <c r="G33" s="16" t="s">
        <v>796</v>
      </c>
      <c r="H33" s="16" t="s">
        <v>42</v>
      </c>
      <c r="I33" s="221" t="s">
        <v>3408</v>
      </c>
      <c r="J33" s="16">
        <v>2480</v>
      </c>
      <c r="K33" s="16" t="str">
        <f>"1634,1959"</f>
        <v>1634,1959</v>
      </c>
      <c r="L33" s="16" t="s">
        <v>1068</v>
      </c>
    </row>
    <row r="34" spans="1:12" x14ac:dyDescent="0.2">
      <c r="A34" s="43">
        <v>1</v>
      </c>
      <c r="B34" s="16" t="s">
        <v>3778</v>
      </c>
      <c r="C34" s="16" t="s">
        <v>3779</v>
      </c>
      <c r="D34" s="16" t="s">
        <v>563</v>
      </c>
      <c r="E34" s="16" t="str">
        <f>"0,6487"</f>
        <v>0,6487</v>
      </c>
      <c r="F34" s="16" t="s">
        <v>3655</v>
      </c>
      <c r="G34" s="16" t="s">
        <v>796</v>
      </c>
      <c r="H34" s="16" t="s">
        <v>43</v>
      </c>
      <c r="I34" s="221" t="s">
        <v>1589</v>
      </c>
      <c r="J34" s="16">
        <v>2475</v>
      </c>
      <c r="K34" s="16" t="str">
        <f>"1621,5878"</f>
        <v>1621,5878</v>
      </c>
      <c r="L34" s="16" t="s">
        <v>3391</v>
      </c>
    </row>
    <row r="35" spans="1:12" x14ac:dyDescent="0.2">
      <c r="A35" s="43">
        <v>1</v>
      </c>
      <c r="B35" s="17" t="s">
        <v>3780</v>
      </c>
      <c r="C35" s="17" t="s">
        <v>3781</v>
      </c>
      <c r="D35" s="17" t="s">
        <v>563</v>
      </c>
      <c r="E35" s="17" t="str">
        <f>"0,6487"</f>
        <v>0,6487</v>
      </c>
      <c r="F35" s="17" t="s">
        <v>3655</v>
      </c>
      <c r="G35" s="17" t="s">
        <v>3294</v>
      </c>
      <c r="H35" s="17" t="s">
        <v>43</v>
      </c>
      <c r="I35" s="222" t="s">
        <v>3708</v>
      </c>
      <c r="J35" s="17">
        <v>2227.5</v>
      </c>
      <c r="K35" s="17" t="str">
        <f>"1800,4441"</f>
        <v>1800,4441</v>
      </c>
      <c r="L35" s="17" t="s">
        <v>3391</v>
      </c>
    </row>
    <row r="36" spans="1:12" x14ac:dyDescent="0.2">
      <c r="A36" s="43"/>
      <c r="B36" s="6"/>
      <c r="C36" s="6"/>
      <c r="D36" s="6"/>
      <c r="E36" s="6"/>
      <c r="F36" s="6"/>
      <c r="G36" s="6"/>
      <c r="H36" s="6"/>
      <c r="I36" s="219"/>
      <c r="J36" s="6"/>
      <c r="K36" s="6"/>
      <c r="L36" s="6"/>
    </row>
    <row r="37" spans="1:12" ht="15" x14ac:dyDescent="0.2">
      <c r="A37" s="43"/>
      <c r="B37" s="294" t="s">
        <v>3435</v>
      </c>
      <c r="C37" s="294"/>
      <c r="D37" s="294"/>
      <c r="E37" s="294"/>
      <c r="F37" s="294"/>
      <c r="G37" s="294"/>
      <c r="H37" s="294"/>
      <c r="I37" s="294"/>
      <c r="J37" s="294"/>
      <c r="K37" s="294"/>
      <c r="L37" s="6"/>
    </row>
    <row r="38" spans="1:12" x14ac:dyDescent="0.2">
      <c r="A38" s="43">
        <v>1</v>
      </c>
      <c r="B38" s="15" t="s">
        <v>3782</v>
      </c>
      <c r="C38" s="15" t="s">
        <v>459</v>
      </c>
      <c r="D38" s="15" t="s">
        <v>1826</v>
      </c>
      <c r="E38" s="15" t="str">
        <f>"0,6119"</f>
        <v>0,6119</v>
      </c>
      <c r="F38" s="15" t="s">
        <v>492</v>
      </c>
      <c r="G38" s="15" t="s">
        <v>818</v>
      </c>
      <c r="H38" s="15" t="s">
        <v>46</v>
      </c>
      <c r="I38" s="220" t="s">
        <v>52</v>
      </c>
      <c r="J38" s="15">
        <v>3600</v>
      </c>
      <c r="K38" s="15" t="str">
        <f>"2202,6601"</f>
        <v>2202,6601</v>
      </c>
      <c r="L38" s="15" t="s">
        <v>3391</v>
      </c>
    </row>
    <row r="39" spans="1:12" x14ac:dyDescent="0.2">
      <c r="A39" s="43">
        <v>2</v>
      </c>
      <c r="B39" s="16" t="s">
        <v>3783</v>
      </c>
      <c r="C39" s="16" t="s">
        <v>1794</v>
      </c>
      <c r="D39" s="16" t="s">
        <v>1795</v>
      </c>
      <c r="E39" s="16" t="str">
        <f>"0,6133"</f>
        <v>0,6133</v>
      </c>
      <c r="F39" s="16" t="s">
        <v>3655</v>
      </c>
      <c r="G39" s="16" t="s">
        <v>840</v>
      </c>
      <c r="H39" s="16" t="s">
        <v>46</v>
      </c>
      <c r="I39" s="221" t="s">
        <v>3774</v>
      </c>
      <c r="J39" s="16">
        <v>3330</v>
      </c>
      <c r="K39" s="16" t="str">
        <f>"2042,4554"</f>
        <v>2042,4554</v>
      </c>
      <c r="L39" s="16" t="s">
        <v>1190</v>
      </c>
    </row>
    <row r="40" spans="1:12" x14ac:dyDescent="0.2">
      <c r="A40" s="43">
        <v>3</v>
      </c>
      <c r="B40" s="16" t="s">
        <v>3784</v>
      </c>
      <c r="C40" s="16" t="s">
        <v>3785</v>
      </c>
      <c r="D40" s="16" t="s">
        <v>3786</v>
      </c>
      <c r="E40" s="16" t="str">
        <f>"0,6421"</f>
        <v>0,6421</v>
      </c>
      <c r="F40" s="16" t="s">
        <v>4020</v>
      </c>
      <c r="G40" s="16" t="s">
        <v>796</v>
      </c>
      <c r="H40" s="16" t="s">
        <v>81</v>
      </c>
      <c r="I40" s="221" t="s">
        <v>3697</v>
      </c>
      <c r="J40" s="16">
        <v>2805</v>
      </c>
      <c r="K40" s="16" t="str">
        <f>"1801,0904"</f>
        <v>1801,0904</v>
      </c>
      <c r="L40" s="16" t="s">
        <v>3787</v>
      </c>
    </row>
    <row r="41" spans="1:12" x14ac:dyDescent="0.2">
      <c r="A41" s="43">
        <v>4</v>
      </c>
      <c r="B41" s="16" t="s">
        <v>3788</v>
      </c>
      <c r="C41" s="16" t="s">
        <v>3789</v>
      </c>
      <c r="D41" s="16" t="s">
        <v>566</v>
      </c>
      <c r="E41" s="16" t="str">
        <f>"0,6169"</f>
        <v>0,6169</v>
      </c>
      <c r="F41" s="16" t="s">
        <v>3655</v>
      </c>
      <c r="G41" s="16" t="s">
        <v>796</v>
      </c>
      <c r="H41" s="16" t="s">
        <v>46</v>
      </c>
      <c r="I41" s="221" t="s">
        <v>3697</v>
      </c>
      <c r="J41" s="16">
        <v>2970</v>
      </c>
      <c r="K41" s="16" t="str">
        <f>"1832,0446"</f>
        <v>1832,0446</v>
      </c>
      <c r="L41" s="16" t="s">
        <v>3391</v>
      </c>
    </row>
    <row r="42" spans="1:12" x14ac:dyDescent="0.2">
      <c r="A42" s="43">
        <v>5</v>
      </c>
      <c r="B42" s="16" t="s">
        <v>3790</v>
      </c>
      <c r="C42" s="16" t="s">
        <v>3791</v>
      </c>
      <c r="D42" s="16" t="s">
        <v>567</v>
      </c>
      <c r="E42" s="16" t="str">
        <f>"0,6157"</f>
        <v>0,6157</v>
      </c>
      <c r="F42" s="16" t="s">
        <v>2103</v>
      </c>
      <c r="G42" s="16" t="s">
        <v>3257</v>
      </c>
      <c r="H42" s="16" t="s">
        <v>46</v>
      </c>
      <c r="I42" s="221" t="s">
        <v>3697</v>
      </c>
      <c r="J42" s="16">
        <v>2970</v>
      </c>
      <c r="K42" s="16" t="str">
        <f>"1828,6290"</f>
        <v>1828,6290</v>
      </c>
      <c r="L42" s="16" t="s">
        <v>3391</v>
      </c>
    </row>
    <row r="43" spans="1:12" x14ac:dyDescent="0.2">
      <c r="A43" s="43">
        <v>6</v>
      </c>
      <c r="B43" s="16" t="s">
        <v>3792</v>
      </c>
      <c r="C43" s="16" t="s">
        <v>702</v>
      </c>
      <c r="D43" s="16" t="s">
        <v>946</v>
      </c>
      <c r="E43" s="16" t="str">
        <f>"0,6149"</f>
        <v>0,6149</v>
      </c>
      <c r="F43" s="16" t="s">
        <v>3655</v>
      </c>
      <c r="G43" s="16" t="s">
        <v>796</v>
      </c>
      <c r="H43" s="16" t="s">
        <v>46</v>
      </c>
      <c r="I43" s="221" t="s">
        <v>3762</v>
      </c>
      <c r="J43" s="16">
        <v>2880</v>
      </c>
      <c r="K43" s="16" t="str">
        <f>"1770,9120"</f>
        <v>1770,9120</v>
      </c>
      <c r="L43" s="16" t="s">
        <v>3793</v>
      </c>
    </row>
    <row r="44" spans="1:12" x14ac:dyDescent="0.2">
      <c r="A44" s="43">
        <v>7</v>
      </c>
      <c r="B44" s="16" t="s">
        <v>3794</v>
      </c>
      <c r="C44" s="16" t="s">
        <v>1800</v>
      </c>
      <c r="D44" s="16" t="s">
        <v>1107</v>
      </c>
      <c r="E44" s="16" t="str">
        <f>"0,6192"</f>
        <v>0,6192</v>
      </c>
      <c r="F44" s="16" t="s">
        <v>3795</v>
      </c>
      <c r="G44" s="16" t="s">
        <v>3796</v>
      </c>
      <c r="H44" s="16" t="s">
        <v>46</v>
      </c>
      <c r="I44" s="221" t="s">
        <v>1589</v>
      </c>
      <c r="J44" s="16">
        <v>2700</v>
      </c>
      <c r="K44" s="16" t="str">
        <f>"1671,9750"</f>
        <v>1671,9750</v>
      </c>
      <c r="L44" s="16" t="s">
        <v>1801</v>
      </c>
    </row>
    <row r="45" spans="1:12" x14ac:dyDescent="0.2">
      <c r="A45" s="43">
        <v>8</v>
      </c>
      <c r="B45" s="16" t="s">
        <v>3797</v>
      </c>
      <c r="C45" s="16" t="s">
        <v>3798</v>
      </c>
      <c r="D45" s="16" t="s">
        <v>1795</v>
      </c>
      <c r="E45" s="16" t="str">
        <f>"0,6133"</f>
        <v>0,6133</v>
      </c>
      <c r="F45" s="16" t="s">
        <v>3655</v>
      </c>
      <c r="G45" s="16" t="s">
        <v>4029</v>
      </c>
      <c r="H45" s="16" t="s">
        <v>46</v>
      </c>
      <c r="I45" s="221" t="s">
        <v>3799</v>
      </c>
      <c r="J45" s="16">
        <v>2610</v>
      </c>
      <c r="K45" s="16" t="str">
        <f>"1600,8434"</f>
        <v>1600,8434</v>
      </c>
      <c r="L45" s="16" t="s">
        <v>3391</v>
      </c>
    </row>
    <row r="46" spans="1:12" x14ac:dyDescent="0.2">
      <c r="A46" s="43">
        <v>1</v>
      </c>
      <c r="B46" s="16" t="s">
        <v>3800</v>
      </c>
      <c r="C46" s="16" t="s">
        <v>3801</v>
      </c>
      <c r="D46" s="16" t="s">
        <v>1795</v>
      </c>
      <c r="E46" s="16" t="str">
        <f>"0,6133"</f>
        <v>0,6133</v>
      </c>
      <c r="F46" s="16" t="s">
        <v>3655</v>
      </c>
      <c r="G46" s="16" t="s">
        <v>4029</v>
      </c>
      <c r="H46" s="16" t="s">
        <v>46</v>
      </c>
      <c r="I46" s="221" t="s">
        <v>3799</v>
      </c>
      <c r="J46" s="16">
        <v>2610</v>
      </c>
      <c r="K46" s="16" t="str">
        <f>"1600,8434"</f>
        <v>1600,8434</v>
      </c>
      <c r="L46" s="16" t="s">
        <v>3391</v>
      </c>
    </row>
    <row r="47" spans="1:12" x14ac:dyDescent="0.2">
      <c r="A47" s="43">
        <v>1</v>
      </c>
      <c r="B47" s="16" t="s">
        <v>3802</v>
      </c>
      <c r="C47" s="16" t="s">
        <v>3803</v>
      </c>
      <c r="D47" s="16" t="s">
        <v>3786</v>
      </c>
      <c r="E47" s="16" t="str">
        <f>"0,6421"</f>
        <v>0,6421</v>
      </c>
      <c r="F47" s="16" t="s">
        <v>4020</v>
      </c>
      <c r="G47" s="16" t="s">
        <v>796</v>
      </c>
      <c r="H47" s="16" t="s">
        <v>81</v>
      </c>
      <c r="I47" s="221" t="s">
        <v>3697</v>
      </c>
      <c r="J47" s="16">
        <v>2805</v>
      </c>
      <c r="K47" s="16" t="str">
        <f>"1801,0904"</f>
        <v>1801,0904</v>
      </c>
      <c r="L47" s="16" t="s">
        <v>3787</v>
      </c>
    </row>
    <row r="48" spans="1:12" x14ac:dyDescent="0.2">
      <c r="A48" s="43">
        <v>1</v>
      </c>
      <c r="B48" s="16" t="s">
        <v>3804</v>
      </c>
      <c r="C48" s="16" t="s">
        <v>3805</v>
      </c>
      <c r="D48" s="16" t="s">
        <v>3806</v>
      </c>
      <c r="E48" s="16" t="str">
        <f>"0,6226"</f>
        <v>0,6226</v>
      </c>
      <c r="F48" s="16" t="s">
        <v>3655</v>
      </c>
      <c r="G48" s="16" t="s">
        <v>843</v>
      </c>
      <c r="H48" s="16" t="s">
        <v>85</v>
      </c>
      <c r="I48" s="221" t="s">
        <v>3708</v>
      </c>
      <c r="J48" s="16">
        <v>2362.5</v>
      </c>
      <c r="K48" s="16" t="str">
        <f>"1770,9546"</f>
        <v>1770,9546</v>
      </c>
      <c r="L48" s="16" t="s">
        <v>3391</v>
      </c>
    </row>
    <row r="49" spans="1:12" x14ac:dyDescent="0.2">
      <c r="A49" s="43">
        <v>2</v>
      </c>
      <c r="B49" s="16" t="s">
        <v>3807</v>
      </c>
      <c r="C49" s="16" t="s">
        <v>3808</v>
      </c>
      <c r="D49" s="16" t="s">
        <v>10</v>
      </c>
      <c r="E49" s="16" t="str">
        <f>"0,6145"</f>
        <v>0,6145</v>
      </c>
      <c r="F49" s="16" t="s">
        <v>3655</v>
      </c>
      <c r="G49" s="16" t="s">
        <v>3324</v>
      </c>
      <c r="H49" s="16" t="s">
        <v>46</v>
      </c>
      <c r="I49" s="221" t="s">
        <v>3700</v>
      </c>
      <c r="J49" s="16">
        <v>1620</v>
      </c>
      <c r="K49" s="16" t="str">
        <f>"1124,9952"</f>
        <v>1124,9952</v>
      </c>
      <c r="L49" s="16" t="s">
        <v>3809</v>
      </c>
    </row>
    <row r="50" spans="1:12" x14ac:dyDescent="0.2">
      <c r="A50" s="43">
        <v>3</v>
      </c>
      <c r="B50" s="17" t="s">
        <v>2043</v>
      </c>
      <c r="C50" s="17" t="s">
        <v>3810</v>
      </c>
      <c r="D50" s="17" t="s">
        <v>1107</v>
      </c>
      <c r="E50" s="17" t="str">
        <f>"0,6192"</f>
        <v>0,6192</v>
      </c>
      <c r="F50" s="17" t="s">
        <v>3655</v>
      </c>
      <c r="G50" s="17" t="s">
        <v>3699</v>
      </c>
      <c r="H50" s="17" t="s">
        <v>46</v>
      </c>
      <c r="I50" s="222" t="s">
        <v>3811</v>
      </c>
      <c r="J50" s="17">
        <v>1080</v>
      </c>
      <c r="K50" s="17" t="str">
        <f>"879,4588"</f>
        <v>879,4588</v>
      </c>
      <c r="L50" s="17" t="s">
        <v>3391</v>
      </c>
    </row>
    <row r="51" spans="1:12" x14ac:dyDescent="0.2">
      <c r="A51" s="43"/>
      <c r="B51" s="6"/>
      <c r="C51" s="6"/>
      <c r="D51" s="6"/>
      <c r="E51" s="6"/>
      <c r="F51" s="6"/>
      <c r="G51" s="6"/>
      <c r="H51" s="6"/>
      <c r="I51" s="219"/>
      <c r="J51" s="6"/>
      <c r="K51" s="6"/>
      <c r="L51" s="6"/>
    </row>
    <row r="52" spans="1:12" ht="15" x14ac:dyDescent="0.2">
      <c r="A52" s="43"/>
      <c r="B52" s="294" t="s">
        <v>3466</v>
      </c>
      <c r="C52" s="294"/>
      <c r="D52" s="294"/>
      <c r="E52" s="294"/>
      <c r="F52" s="294"/>
      <c r="G52" s="294"/>
      <c r="H52" s="294"/>
      <c r="I52" s="294"/>
      <c r="J52" s="294"/>
      <c r="K52" s="294"/>
      <c r="L52" s="6"/>
    </row>
    <row r="53" spans="1:12" x14ac:dyDescent="0.2">
      <c r="A53" s="43">
        <v>1</v>
      </c>
      <c r="B53" s="15" t="s">
        <v>3812</v>
      </c>
      <c r="C53" s="15" t="s">
        <v>3813</v>
      </c>
      <c r="D53" s="15" t="s">
        <v>953</v>
      </c>
      <c r="E53" s="15" t="str">
        <f>"0,5980"</f>
        <v>0,5980</v>
      </c>
      <c r="F53" s="15" t="s">
        <v>861</v>
      </c>
      <c r="G53" s="15" t="s">
        <v>883</v>
      </c>
      <c r="H53" s="15" t="s">
        <v>61</v>
      </c>
      <c r="I53" s="220" t="s">
        <v>3814</v>
      </c>
      <c r="J53" s="15">
        <v>1805</v>
      </c>
      <c r="K53" s="15" t="str">
        <f>"1079,3900"</f>
        <v>1079,3900</v>
      </c>
      <c r="L53" s="15" t="s">
        <v>764</v>
      </c>
    </row>
    <row r="54" spans="1:12" x14ac:dyDescent="0.2">
      <c r="A54" s="43">
        <v>1</v>
      </c>
      <c r="B54" s="16" t="s">
        <v>3815</v>
      </c>
      <c r="C54" s="16" t="s">
        <v>3816</v>
      </c>
      <c r="D54" s="16" t="s">
        <v>2985</v>
      </c>
      <c r="E54" s="16" t="str">
        <f>"0,6079"</f>
        <v>0,6079</v>
      </c>
      <c r="F54" s="16" t="s">
        <v>3655</v>
      </c>
      <c r="G54" s="16" t="s">
        <v>796</v>
      </c>
      <c r="H54" s="16" t="s">
        <v>91</v>
      </c>
      <c r="I54" s="221" t="s">
        <v>3408</v>
      </c>
      <c r="J54" s="16">
        <v>2867.5</v>
      </c>
      <c r="K54" s="16" t="str">
        <f>"1743,0099"</f>
        <v>1743,0099</v>
      </c>
      <c r="L54" s="16" t="s">
        <v>3391</v>
      </c>
    </row>
    <row r="55" spans="1:12" x14ac:dyDescent="0.2">
      <c r="A55" s="43">
        <v>2</v>
      </c>
      <c r="B55" s="16" t="s">
        <v>3817</v>
      </c>
      <c r="C55" s="16" t="s">
        <v>1849</v>
      </c>
      <c r="D55" s="16" t="s">
        <v>1494</v>
      </c>
      <c r="E55" s="16" t="str">
        <f>"0,5894"</f>
        <v>0,5894</v>
      </c>
      <c r="F55" s="16" t="s">
        <v>3795</v>
      </c>
      <c r="G55" s="16" t="s">
        <v>3796</v>
      </c>
      <c r="H55" s="16" t="s">
        <v>47</v>
      </c>
      <c r="I55" s="221" t="s">
        <v>3408</v>
      </c>
      <c r="J55" s="16">
        <v>3022.5</v>
      </c>
      <c r="K55" s="16" t="str">
        <f>"1781,4615"</f>
        <v>1781,4615</v>
      </c>
      <c r="L55" s="16" t="s">
        <v>3391</v>
      </c>
    </row>
    <row r="56" spans="1:12" x14ac:dyDescent="0.2">
      <c r="A56" s="43">
        <v>3</v>
      </c>
      <c r="B56" s="16" t="s">
        <v>3818</v>
      </c>
      <c r="C56" s="16" t="s">
        <v>3819</v>
      </c>
      <c r="D56" s="16" t="s">
        <v>3820</v>
      </c>
      <c r="E56" s="16" t="str">
        <f>"0,6100"</f>
        <v>0,6100</v>
      </c>
      <c r="F56" s="16" t="s">
        <v>4020</v>
      </c>
      <c r="G56" s="16" t="s">
        <v>796</v>
      </c>
      <c r="H56" s="16" t="s">
        <v>91</v>
      </c>
      <c r="I56" s="221" t="s">
        <v>3708</v>
      </c>
      <c r="J56" s="16">
        <v>2497.5</v>
      </c>
      <c r="K56" s="16" t="str">
        <f>"1523,4750"</f>
        <v>1523,4750</v>
      </c>
      <c r="L56" s="16" t="s">
        <v>3821</v>
      </c>
    </row>
    <row r="57" spans="1:12" x14ac:dyDescent="0.2">
      <c r="A57" s="43">
        <v>1</v>
      </c>
      <c r="B57" s="17" t="s">
        <v>3822</v>
      </c>
      <c r="C57" s="17" t="s">
        <v>3823</v>
      </c>
      <c r="D57" s="17" t="s">
        <v>1874</v>
      </c>
      <c r="E57" s="17" t="str">
        <f>"0,6007"</f>
        <v>0,6007</v>
      </c>
      <c r="F57" s="223" t="s">
        <v>1212</v>
      </c>
      <c r="G57" s="17" t="s">
        <v>3257</v>
      </c>
      <c r="H57" s="17" t="s">
        <v>61</v>
      </c>
      <c r="I57" s="222" t="s">
        <v>3824</v>
      </c>
      <c r="J57" s="17">
        <v>2280</v>
      </c>
      <c r="K57" s="17" t="str">
        <f>"1481,7796"</f>
        <v>1481,7796</v>
      </c>
      <c r="L57" s="17" t="s">
        <v>2093</v>
      </c>
    </row>
    <row r="58" spans="1:12" x14ac:dyDescent="0.2">
      <c r="A58" s="43"/>
      <c r="B58" s="6"/>
      <c r="C58" s="6"/>
      <c r="D58" s="6"/>
      <c r="E58" s="6"/>
      <c r="F58" s="6"/>
      <c r="G58" s="6"/>
      <c r="H58" s="6"/>
      <c r="I58" s="219"/>
      <c r="J58" s="6"/>
      <c r="K58" s="6"/>
      <c r="L58" s="6"/>
    </row>
    <row r="59" spans="1:12" ht="15" x14ac:dyDescent="0.2">
      <c r="A59" s="43"/>
      <c r="B59" s="294" t="s">
        <v>3485</v>
      </c>
      <c r="C59" s="294"/>
      <c r="D59" s="294"/>
      <c r="E59" s="294"/>
      <c r="F59" s="294"/>
      <c r="G59" s="294"/>
      <c r="H59" s="294"/>
      <c r="I59" s="294"/>
      <c r="J59" s="294"/>
      <c r="K59" s="294"/>
      <c r="L59" s="6"/>
    </row>
    <row r="60" spans="1:12" x14ac:dyDescent="0.2">
      <c r="A60" s="43">
        <v>1</v>
      </c>
      <c r="B60" s="15" t="s">
        <v>3825</v>
      </c>
      <c r="C60" s="15" t="s">
        <v>1910</v>
      </c>
      <c r="D60" s="15" t="s">
        <v>1911</v>
      </c>
      <c r="E60" s="15" t="str">
        <f>"0,5565"</f>
        <v>0,5565</v>
      </c>
      <c r="F60" s="15" t="s">
        <v>3655</v>
      </c>
      <c r="G60" s="15" t="s">
        <v>3306</v>
      </c>
      <c r="H60" s="15" t="s">
        <v>70</v>
      </c>
      <c r="I60" s="220" t="s">
        <v>3714</v>
      </c>
      <c r="J60" s="15">
        <v>2415</v>
      </c>
      <c r="K60" s="15" t="str">
        <f>"1343,8268"</f>
        <v>1343,8268</v>
      </c>
      <c r="L60" s="15" t="s">
        <v>3391</v>
      </c>
    </row>
    <row r="61" spans="1:12" x14ac:dyDescent="0.2">
      <c r="A61" s="43">
        <v>2</v>
      </c>
      <c r="B61" s="16" t="s">
        <v>3826</v>
      </c>
      <c r="C61" s="16" t="s">
        <v>3827</v>
      </c>
      <c r="D61" s="16" t="s">
        <v>3828</v>
      </c>
      <c r="E61" s="16" t="str">
        <f>"0,5616"</f>
        <v>0,5616</v>
      </c>
      <c r="F61" s="16" t="s">
        <v>3655</v>
      </c>
      <c r="G61" s="16" t="s">
        <v>796</v>
      </c>
      <c r="H61" s="16" t="s">
        <v>87</v>
      </c>
      <c r="I61" s="221" t="s">
        <v>3829</v>
      </c>
      <c r="J61" s="16">
        <v>1912.5</v>
      </c>
      <c r="K61" s="16" t="str">
        <f>"1074,1556"</f>
        <v>1074,1556</v>
      </c>
      <c r="L61" s="16" t="s">
        <v>3391</v>
      </c>
    </row>
    <row r="62" spans="1:12" x14ac:dyDescent="0.2">
      <c r="A62" s="43">
        <v>1</v>
      </c>
      <c r="B62" s="16" t="s">
        <v>1920</v>
      </c>
      <c r="C62" s="16" t="s">
        <v>1921</v>
      </c>
      <c r="D62" s="16" t="s">
        <v>1911</v>
      </c>
      <c r="E62" s="16" t="str">
        <f>"0,5565"</f>
        <v>0,5565</v>
      </c>
      <c r="F62" s="16" t="s">
        <v>3655</v>
      </c>
      <c r="G62" s="16" t="s">
        <v>3306</v>
      </c>
      <c r="H62" s="16" t="s">
        <v>70</v>
      </c>
      <c r="I62" s="221" t="s">
        <v>3714</v>
      </c>
      <c r="J62" s="16">
        <v>2415</v>
      </c>
      <c r="K62" s="16" t="str">
        <f>"1343,8268"</f>
        <v>1343,8268</v>
      </c>
      <c r="L62" s="16" t="s">
        <v>3391</v>
      </c>
    </row>
    <row r="63" spans="1:12" x14ac:dyDescent="0.2">
      <c r="A63" s="43">
        <v>1</v>
      </c>
      <c r="B63" s="17" t="s">
        <v>3830</v>
      </c>
      <c r="C63" s="17" t="s">
        <v>3831</v>
      </c>
      <c r="D63" s="17" t="s">
        <v>1927</v>
      </c>
      <c r="E63" s="17" t="str">
        <f>"0,5618"</f>
        <v>0,5618</v>
      </c>
      <c r="F63" s="17" t="s">
        <v>3655</v>
      </c>
      <c r="G63" s="17" t="s">
        <v>807</v>
      </c>
      <c r="H63" s="17" t="s">
        <v>87</v>
      </c>
      <c r="I63" s="222" t="s">
        <v>3832</v>
      </c>
      <c r="J63" s="17">
        <v>1462.5</v>
      </c>
      <c r="K63" s="17" t="str">
        <f>"1167,5398"</f>
        <v>1167,5398</v>
      </c>
      <c r="L63" s="17" t="s">
        <v>3391</v>
      </c>
    </row>
    <row r="64" spans="1:12" x14ac:dyDescent="0.2">
      <c r="A64" s="43"/>
      <c r="B64" s="6"/>
      <c r="C64" s="6"/>
      <c r="D64" s="6"/>
      <c r="E64" s="6"/>
      <c r="F64" s="6"/>
      <c r="G64" s="6"/>
      <c r="H64" s="6"/>
      <c r="I64" s="219"/>
      <c r="J64" s="6"/>
      <c r="K64" s="6"/>
      <c r="L64" s="6"/>
    </row>
    <row r="65" spans="1:12" ht="15" x14ac:dyDescent="0.2">
      <c r="A65" s="43"/>
      <c r="B65" s="294" t="s">
        <v>3833</v>
      </c>
      <c r="C65" s="294"/>
      <c r="D65" s="294"/>
      <c r="E65" s="294"/>
      <c r="F65" s="294"/>
      <c r="G65" s="294"/>
      <c r="H65" s="294"/>
      <c r="I65" s="294"/>
      <c r="J65" s="294"/>
      <c r="K65" s="294"/>
      <c r="L65" s="6"/>
    </row>
    <row r="66" spans="1:12" x14ac:dyDescent="0.2">
      <c r="A66" s="43">
        <v>1</v>
      </c>
      <c r="B66" s="15" t="s">
        <v>3834</v>
      </c>
      <c r="C66" s="15" t="s">
        <v>3835</v>
      </c>
      <c r="D66" s="15" t="s">
        <v>1159</v>
      </c>
      <c r="E66" s="15" t="str">
        <f>"0,5410"</f>
        <v>0,5410</v>
      </c>
      <c r="F66" s="15" t="s">
        <v>3655</v>
      </c>
      <c r="G66" s="15" t="s">
        <v>796</v>
      </c>
      <c r="H66" s="15" t="s">
        <v>104</v>
      </c>
      <c r="I66" s="220" t="s">
        <v>3708</v>
      </c>
      <c r="J66" s="15">
        <v>3510</v>
      </c>
      <c r="K66" s="15" t="str">
        <f>"1898,8749"</f>
        <v>1898,8749</v>
      </c>
      <c r="L66" s="15" t="s">
        <v>3836</v>
      </c>
    </row>
    <row r="67" spans="1:12" x14ac:dyDescent="0.2">
      <c r="A67" s="43">
        <v>1</v>
      </c>
      <c r="B67" s="17" t="s">
        <v>3837</v>
      </c>
      <c r="C67" s="17" t="s">
        <v>3838</v>
      </c>
      <c r="D67" s="17" t="s">
        <v>1931</v>
      </c>
      <c r="E67" s="17" t="str">
        <f>"0,5361"</f>
        <v>0,5361</v>
      </c>
      <c r="F67" s="17" t="s">
        <v>862</v>
      </c>
      <c r="G67" s="17" t="s">
        <v>796</v>
      </c>
      <c r="H67" s="17" t="s">
        <v>23</v>
      </c>
      <c r="I67" s="222" t="s">
        <v>3839</v>
      </c>
      <c r="J67" s="17">
        <v>1890</v>
      </c>
      <c r="K67" s="17" t="str">
        <f>"1013,3046"</f>
        <v>1013,3046</v>
      </c>
      <c r="L67" s="17" t="s">
        <v>1655</v>
      </c>
    </row>
    <row r="68" spans="1:12" x14ac:dyDescent="0.2">
      <c r="A68" s="43"/>
      <c r="B68" s="6"/>
      <c r="C68" s="6"/>
      <c r="D68" s="6"/>
      <c r="E68" s="6"/>
      <c r="F68" s="6"/>
      <c r="G68" s="6"/>
      <c r="H68" s="6"/>
      <c r="I68" s="219"/>
      <c r="J68" s="6"/>
      <c r="K68" s="6"/>
      <c r="L68" s="6"/>
    </row>
    <row r="69" spans="1:12" ht="15" x14ac:dyDescent="0.2">
      <c r="A69" s="43"/>
      <c r="B69" s="294" t="s">
        <v>3683</v>
      </c>
      <c r="C69" s="294"/>
      <c r="D69" s="294"/>
      <c r="E69" s="294"/>
      <c r="F69" s="294"/>
      <c r="G69" s="294"/>
      <c r="H69" s="294"/>
      <c r="I69" s="294"/>
      <c r="J69" s="294"/>
      <c r="K69" s="294"/>
      <c r="L69" s="6"/>
    </row>
    <row r="70" spans="1:12" x14ac:dyDescent="0.2">
      <c r="A70" s="43">
        <v>1</v>
      </c>
      <c r="B70" s="15" t="s">
        <v>3840</v>
      </c>
      <c r="C70" s="15" t="s">
        <v>3841</v>
      </c>
      <c r="D70" s="15" t="s">
        <v>3842</v>
      </c>
      <c r="E70" s="15" t="str">
        <f>"0,5296"</f>
        <v>0,5296</v>
      </c>
      <c r="F70" s="114" t="s">
        <v>3655</v>
      </c>
      <c r="G70" s="15" t="s">
        <v>796</v>
      </c>
      <c r="H70" s="146" t="s">
        <v>186</v>
      </c>
      <c r="I70" s="220" t="s">
        <v>3811</v>
      </c>
      <c r="J70" s="15">
        <v>1710</v>
      </c>
      <c r="K70" s="15" t="str">
        <f>"905,5732"</f>
        <v>905,5732</v>
      </c>
      <c r="L70" s="15" t="s">
        <v>724</v>
      </c>
    </row>
    <row r="71" spans="1:12" x14ac:dyDescent="0.2">
      <c r="A71" s="43">
        <v>1</v>
      </c>
      <c r="B71" s="17" t="s">
        <v>3843</v>
      </c>
      <c r="C71" s="17" t="s">
        <v>3844</v>
      </c>
      <c r="D71" s="17" t="s">
        <v>3842</v>
      </c>
      <c r="E71" s="17" t="str">
        <f>"0,5296"</f>
        <v>0,5296</v>
      </c>
      <c r="F71" s="116" t="s">
        <v>3655</v>
      </c>
      <c r="G71" s="17" t="s">
        <v>796</v>
      </c>
      <c r="H71" s="141" t="s">
        <v>186</v>
      </c>
      <c r="I71" s="222" t="s">
        <v>3811</v>
      </c>
      <c r="J71" s="17">
        <v>1710</v>
      </c>
      <c r="K71" s="17" t="str">
        <f>"1109,3272"</f>
        <v>1109,3272</v>
      </c>
      <c r="L71" s="17" t="s">
        <v>724</v>
      </c>
    </row>
    <row r="72" spans="1:12" x14ac:dyDescent="0.2">
      <c r="A72" s="43"/>
      <c r="B72" s="6"/>
      <c r="C72" s="6"/>
      <c r="D72" s="6"/>
      <c r="E72" s="6"/>
      <c r="F72" s="6"/>
      <c r="G72" s="6"/>
      <c r="H72" s="6"/>
      <c r="I72" s="219"/>
      <c r="J72" s="6"/>
      <c r="K72" s="6"/>
      <c r="L72" s="6"/>
    </row>
    <row r="73" spans="1:12" ht="18" x14ac:dyDescent="0.25">
      <c r="A73" s="43"/>
      <c r="B73" s="8" t="s">
        <v>4022</v>
      </c>
      <c r="C73" s="8"/>
      <c r="D73" s="6"/>
      <c r="E73" s="6"/>
      <c r="F73" s="6"/>
      <c r="G73" s="6"/>
      <c r="H73" s="6"/>
      <c r="I73" s="219"/>
      <c r="J73" s="6"/>
      <c r="K73" s="6"/>
      <c r="L73" s="6"/>
    </row>
    <row r="74" spans="1:12" ht="15" x14ac:dyDescent="0.2">
      <c r="A74" s="43"/>
      <c r="B74" s="9" t="s">
        <v>3499</v>
      </c>
      <c r="C74" s="6"/>
      <c r="D74" s="6"/>
      <c r="E74" s="6"/>
      <c r="F74" s="6"/>
      <c r="G74" s="6"/>
      <c r="H74" s="6"/>
      <c r="I74" s="219"/>
      <c r="J74" s="6"/>
      <c r="K74" s="6"/>
      <c r="L74" s="6"/>
    </row>
    <row r="75" spans="1:12" ht="14.25" x14ac:dyDescent="0.2">
      <c r="A75" s="43"/>
      <c r="B75" s="11"/>
      <c r="C75" s="12" t="s">
        <v>18</v>
      </c>
      <c r="D75" s="6"/>
      <c r="E75" s="6"/>
      <c r="F75" s="6"/>
      <c r="G75" s="6"/>
      <c r="H75" s="6"/>
      <c r="I75" s="219"/>
      <c r="J75" s="6"/>
      <c r="K75" s="6"/>
      <c r="L75" s="6"/>
    </row>
    <row r="76" spans="1:12" ht="15" x14ac:dyDescent="0.2">
      <c r="A76" s="43"/>
      <c r="B76" s="13" t="s">
        <v>0</v>
      </c>
      <c r="C76" s="13" t="s">
        <v>19</v>
      </c>
      <c r="D76" s="13" t="s">
        <v>20</v>
      </c>
      <c r="E76" s="13" t="s">
        <v>3593</v>
      </c>
      <c r="F76" s="13" t="s">
        <v>2675</v>
      </c>
      <c r="G76" s="6"/>
      <c r="H76" s="6"/>
      <c r="I76" s="219"/>
      <c r="J76" s="6"/>
      <c r="K76" s="6"/>
      <c r="L76" s="6"/>
    </row>
    <row r="77" spans="1:12" x14ac:dyDescent="0.2">
      <c r="A77" s="43">
        <v>1</v>
      </c>
      <c r="B77" s="10" t="s">
        <v>3845</v>
      </c>
      <c r="C77" s="6" t="s">
        <v>18</v>
      </c>
      <c r="D77" s="18" t="s">
        <v>291</v>
      </c>
      <c r="E77" s="18" t="s">
        <v>3846</v>
      </c>
      <c r="F77" s="27" t="s">
        <v>3847</v>
      </c>
      <c r="G77" s="6"/>
      <c r="H77" s="6"/>
      <c r="I77" s="219"/>
      <c r="J77" s="6"/>
      <c r="K77" s="6"/>
      <c r="L77" s="6"/>
    </row>
    <row r="78" spans="1:12" x14ac:dyDescent="0.2">
      <c r="A78" s="43">
        <v>2</v>
      </c>
      <c r="B78" s="10" t="s">
        <v>3848</v>
      </c>
      <c r="C78" s="6" t="s">
        <v>18</v>
      </c>
      <c r="D78" s="18" t="s">
        <v>295</v>
      </c>
      <c r="E78" s="18" t="s">
        <v>3849</v>
      </c>
      <c r="F78" s="27" t="s">
        <v>3850</v>
      </c>
      <c r="G78" s="6"/>
      <c r="H78" s="6"/>
      <c r="I78" s="219"/>
      <c r="J78" s="6"/>
      <c r="K78" s="6"/>
      <c r="L78" s="6"/>
    </row>
    <row r="79" spans="1:12" x14ac:dyDescent="0.2">
      <c r="A79" s="43">
        <v>3</v>
      </c>
      <c r="B79" s="10" t="s">
        <v>3851</v>
      </c>
      <c r="C79" s="6" t="s">
        <v>18</v>
      </c>
      <c r="D79" s="18" t="s">
        <v>295</v>
      </c>
      <c r="E79" s="18" t="s">
        <v>3852</v>
      </c>
      <c r="F79" s="27" t="s">
        <v>3853</v>
      </c>
      <c r="G79" s="6"/>
      <c r="H79" s="6"/>
      <c r="I79" s="219"/>
      <c r="J79" s="6"/>
      <c r="K79" s="6"/>
      <c r="L79" s="6"/>
    </row>
    <row r="80" spans="1:12" x14ac:dyDescent="0.2">
      <c r="A80" s="43"/>
      <c r="B80" s="6"/>
      <c r="C80" s="6"/>
      <c r="D80" s="18"/>
      <c r="E80" s="18"/>
      <c r="F80" s="18"/>
      <c r="G80" s="6"/>
      <c r="H80" s="6"/>
      <c r="I80" s="219"/>
      <c r="J80" s="6"/>
      <c r="K80" s="6"/>
      <c r="L80" s="6"/>
    </row>
    <row r="81" spans="1:12" ht="14.25" x14ac:dyDescent="0.2">
      <c r="A81" s="43"/>
      <c r="B81" s="11"/>
      <c r="C81" s="12" t="s">
        <v>310</v>
      </c>
      <c r="D81" s="18"/>
      <c r="E81" s="18"/>
      <c r="F81" s="18"/>
      <c r="G81" s="6"/>
      <c r="H81" s="6"/>
      <c r="I81" s="219"/>
      <c r="J81" s="6"/>
      <c r="K81" s="6"/>
      <c r="L81" s="6"/>
    </row>
    <row r="82" spans="1:12" ht="15" x14ac:dyDescent="0.2">
      <c r="A82" s="43"/>
      <c r="B82" s="13" t="s">
        <v>0</v>
      </c>
      <c r="C82" s="13" t="s">
        <v>19</v>
      </c>
      <c r="D82" s="13" t="s">
        <v>20</v>
      </c>
      <c r="E82" s="13" t="s">
        <v>3593</v>
      </c>
      <c r="F82" s="13" t="s">
        <v>2675</v>
      </c>
      <c r="G82" s="6"/>
      <c r="H82" s="6"/>
      <c r="I82" s="219"/>
      <c r="J82" s="6"/>
      <c r="K82" s="6"/>
      <c r="L82" s="6"/>
    </row>
    <row r="83" spans="1:12" x14ac:dyDescent="0.2">
      <c r="A83" s="43">
        <v>1</v>
      </c>
      <c r="B83" s="10" t="s">
        <v>3854</v>
      </c>
      <c r="C83" s="6" t="s">
        <v>3855</v>
      </c>
      <c r="D83" s="18" t="s">
        <v>295</v>
      </c>
      <c r="E83" s="18" t="s">
        <v>3856</v>
      </c>
      <c r="F83" s="27" t="s">
        <v>3857</v>
      </c>
      <c r="G83" s="6"/>
      <c r="H83" s="6"/>
      <c r="I83" s="219"/>
      <c r="J83" s="6"/>
      <c r="K83" s="6"/>
      <c r="L83" s="6"/>
    </row>
    <row r="84" spans="1:12" x14ac:dyDescent="0.2">
      <c r="A84" s="43">
        <v>2</v>
      </c>
      <c r="B84" s="10" t="s">
        <v>3858</v>
      </c>
      <c r="C84" s="6" t="s">
        <v>3859</v>
      </c>
      <c r="D84" s="18" t="s">
        <v>291</v>
      </c>
      <c r="E84" s="18" t="s">
        <v>3860</v>
      </c>
      <c r="F84" s="27" t="s">
        <v>3861</v>
      </c>
      <c r="G84" s="6"/>
      <c r="H84" s="6"/>
      <c r="I84" s="219"/>
      <c r="J84" s="6"/>
      <c r="K84" s="6"/>
      <c r="L84" s="6"/>
    </row>
    <row r="85" spans="1:12" x14ac:dyDescent="0.2">
      <c r="A85" s="43">
        <v>3</v>
      </c>
      <c r="B85" s="10" t="s">
        <v>3784</v>
      </c>
      <c r="C85" s="6" t="s">
        <v>2734</v>
      </c>
      <c r="D85" s="18" t="s">
        <v>32</v>
      </c>
      <c r="E85" s="18" t="s">
        <v>3862</v>
      </c>
      <c r="F85" s="27" t="s">
        <v>3863</v>
      </c>
      <c r="G85" s="6"/>
      <c r="H85" s="6"/>
      <c r="I85" s="219"/>
      <c r="J85" s="6"/>
      <c r="K85" s="6"/>
      <c r="L85" s="6"/>
    </row>
    <row r="86" spans="1:12" x14ac:dyDescent="0.2">
      <c r="A86" s="43"/>
      <c r="B86" s="6"/>
      <c r="C86" s="6"/>
      <c r="D86" s="6"/>
      <c r="E86" s="6"/>
      <c r="F86" s="6"/>
      <c r="G86" s="6"/>
      <c r="H86" s="6"/>
      <c r="I86" s="219"/>
      <c r="J86" s="6"/>
      <c r="K86" s="6"/>
      <c r="L86" s="6"/>
    </row>
    <row r="87" spans="1:12" x14ac:dyDescent="0.2">
      <c r="A87" s="43"/>
      <c r="B87" s="6"/>
      <c r="C87" s="6"/>
      <c r="D87" s="6"/>
      <c r="E87" s="6"/>
      <c r="F87" s="6"/>
      <c r="G87" s="6"/>
      <c r="H87" s="6"/>
      <c r="I87" s="219"/>
      <c r="J87" s="6"/>
      <c r="K87" s="6"/>
      <c r="L87" s="6"/>
    </row>
    <row r="88" spans="1:12" x14ac:dyDescent="0.2">
      <c r="A88" s="43"/>
      <c r="B88" s="6"/>
      <c r="C88" s="6"/>
      <c r="D88" s="6"/>
      <c r="E88" s="6"/>
      <c r="F88" s="6"/>
      <c r="G88" s="6"/>
      <c r="H88" s="6"/>
      <c r="I88" s="219"/>
      <c r="J88" s="6"/>
      <c r="K88" s="6"/>
      <c r="L88" s="6"/>
    </row>
    <row r="89" spans="1:12" x14ac:dyDescent="0.2">
      <c r="A89" s="43"/>
      <c r="B89" s="6"/>
      <c r="C89" s="6"/>
      <c r="D89" s="6"/>
      <c r="E89" s="6"/>
      <c r="F89" s="6"/>
      <c r="G89" s="6"/>
      <c r="H89" s="6"/>
      <c r="I89" s="219"/>
      <c r="J89" s="6"/>
      <c r="K89" s="6"/>
      <c r="L89" s="6"/>
    </row>
    <row r="90" spans="1:12" x14ac:dyDescent="0.2">
      <c r="A90" s="43"/>
      <c r="B90" s="6"/>
      <c r="C90" s="6"/>
      <c r="D90" s="6"/>
      <c r="E90" s="6"/>
      <c r="F90" s="6"/>
      <c r="G90" s="6"/>
      <c r="H90" s="6"/>
      <c r="I90" s="219"/>
      <c r="J90" s="6"/>
      <c r="K90" s="6"/>
      <c r="L90" s="6"/>
    </row>
    <row r="91" spans="1:12" x14ac:dyDescent="0.2">
      <c r="A91" s="43"/>
      <c r="B91" s="6"/>
      <c r="C91" s="6"/>
      <c r="D91" s="6"/>
      <c r="E91" s="6"/>
      <c r="F91" s="6"/>
      <c r="G91" s="6"/>
      <c r="H91" s="6"/>
      <c r="I91" s="219"/>
      <c r="J91" s="6"/>
      <c r="K91" s="6"/>
      <c r="L91" s="6"/>
    </row>
    <row r="92" spans="1:12" x14ac:dyDescent="0.2">
      <c r="A92" s="43"/>
      <c r="B92" s="6"/>
      <c r="C92" s="6"/>
      <c r="D92" s="6"/>
      <c r="E92" s="6"/>
      <c r="F92" s="6"/>
      <c r="G92" s="6"/>
      <c r="H92" s="6"/>
      <c r="I92" s="219"/>
      <c r="J92" s="6"/>
      <c r="K92" s="6"/>
      <c r="L92" s="6"/>
    </row>
  </sheetData>
  <mergeCells count="24">
    <mergeCell ref="B6:K6"/>
    <mergeCell ref="F4:F5"/>
    <mergeCell ref="G4:G5"/>
    <mergeCell ref="H4:I4"/>
    <mergeCell ref="A1:L1"/>
    <mergeCell ref="A2:L2"/>
    <mergeCell ref="A3:L3"/>
    <mergeCell ref="L4:L5"/>
    <mergeCell ref="B69:K69"/>
    <mergeCell ref="A4:A5"/>
    <mergeCell ref="B18:K18"/>
    <mergeCell ref="B29:K29"/>
    <mergeCell ref="B37:K37"/>
    <mergeCell ref="B52:K52"/>
    <mergeCell ref="B59:K59"/>
    <mergeCell ref="B65:K65"/>
    <mergeCell ref="J4:J5"/>
    <mergeCell ref="K4:K5"/>
    <mergeCell ref="B9:K9"/>
    <mergeCell ref="B12:K12"/>
    <mergeCell ref="B4:B5"/>
    <mergeCell ref="C4:C5"/>
    <mergeCell ref="D4:D5"/>
    <mergeCell ref="E4:E5"/>
  </mergeCells>
  <pageMargins left="0.7" right="0.7" top="0.75" bottom="0.75"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sqref="A1:L1"/>
    </sheetView>
  </sheetViews>
  <sheetFormatPr defaultColWidth="8.7109375" defaultRowHeight="12.75" x14ac:dyDescent="0.2"/>
  <cols>
    <col min="1" max="1" width="6.85546875" bestFit="1" customWidth="1"/>
    <col min="2" max="2" width="19" bestFit="1" customWidth="1"/>
    <col min="3" max="3" width="21.42578125" bestFit="1" customWidth="1"/>
    <col min="4" max="4" width="8.5703125" bestFit="1" customWidth="1"/>
    <col min="5" max="5" width="7.5703125" bestFit="1" customWidth="1"/>
    <col min="6" max="6" width="16.7109375" bestFit="1" customWidth="1"/>
    <col min="7" max="7" width="32.5703125" bestFit="1" customWidth="1"/>
    <col min="8" max="8" width="11.140625" bestFit="1" customWidth="1"/>
    <col min="9" max="9" width="5.42578125" bestFit="1" customWidth="1"/>
    <col min="10" max="10" width="7.5703125" bestFit="1" customWidth="1"/>
    <col min="11" max="11" width="11" bestFit="1" customWidth="1"/>
    <col min="12" max="12" width="7.7109375" bestFit="1" customWidth="1"/>
  </cols>
  <sheetData>
    <row r="1" spans="1:12" ht="30" x14ac:dyDescent="0.2">
      <c r="A1" s="295" t="s">
        <v>3654</v>
      </c>
      <c r="B1" s="295"/>
      <c r="C1" s="295"/>
      <c r="D1" s="295"/>
      <c r="E1" s="295"/>
      <c r="F1" s="295"/>
      <c r="G1" s="295"/>
      <c r="H1" s="295"/>
      <c r="I1" s="295"/>
      <c r="J1" s="295"/>
      <c r="K1" s="295"/>
      <c r="L1" s="296"/>
    </row>
    <row r="2" spans="1:12" ht="30" x14ac:dyDescent="0.4">
      <c r="A2" s="317" t="s">
        <v>3865</v>
      </c>
      <c r="B2" s="317"/>
      <c r="C2" s="317"/>
      <c r="D2" s="317"/>
      <c r="E2" s="317"/>
      <c r="F2" s="317"/>
      <c r="G2" s="317"/>
      <c r="H2" s="317"/>
      <c r="I2" s="317"/>
      <c r="J2" s="317"/>
      <c r="K2" s="317"/>
      <c r="L2" s="318"/>
    </row>
    <row r="3" spans="1:12" ht="30.75" thickBot="1" x14ac:dyDescent="0.45">
      <c r="A3" s="319" t="s">
        <v>3381</v>
      </c>
      <c r="B3" s="319"/>
      <c r="C3" s="319"/>
      <c r="D3" s="319"/>
      <c r="E3" s="319"/>
      <c r="F3" s="319"/>
      <c r="G3" s="319"/>
      <c r="H3" s="319"/>
      <c r="I3" s="319"/>
      <c r="J3" s="319"/>
      <c r="K3" s="319"/>
      <c r="L3" s="320"/>
    </row>
    <row r="4" spans="1:12" ht="15" x14ac:dyDescent="0.2">
      <c r="A4" s="297" t="s">
        <v>719</v>
      </c>
      <c r="B4" s="300" t="s">
        <v>0</v>
      </c>
      <c r="C4" s="302" t="s">
        <v>3600</v>
      </c>
      <c r="D4" s="302" t="s">
        <v>8</v>
      </c>
      <c r="E4" s="304" t="s">
        <v>2675</v>
      </c>
      <c r="F4" s="304" t="s">
        <v>1</v>
      </c>
      <c r="G4" s="305" t="s">
        <v>795</v>
      </c>
      <c r="H4" s="300" t="s">
        <v>3</v>
      </c>
      <c r="I4" s="304"/>
      <c r="J4" s="312" t="s">
        <v>3593</v>
      </c>
      <c r="K4" s="304" t="s">
        <v>6</v>
      </c>
      <c r="L4" s="307" t="s">
        <v>5</v>
      </c>
    </row>
    <row r="5" spans="1:12" ht="15" customHeight="1" thickBot="1" x14ac:dyDescent="0.25">
      <c r="A5" s="298"/>
      <c r="B5" s="301"/>
      <c r="C5" s="303"/>
      <c r="D5" s="303"/>
      <c r="E5" s="303"/>
      <c r="F5" s="303"/>
      <c r="G5" s="306"/>
      <c r="H5" s="215" t="s">
        <v>3693</v>
      </c>
      <c r="I5" s="216" t="s">
        <v>3694</v>
      </c>
      <c r="J5" s="313"/>
      <c r="K5" s="303"/>
      <c r="L5" s="310"/>
    </row>
    <row r="6" spans="1:12" ht="15" x14ac:dyDescent="0.2">
      <c r="B6" s="299" t="s">
        <v>3624</v>
      </c>
      <c r="C6" s="299"/>
      <c r="D6" s="299"/>
      <c r="E6" s="299"/>
      <c r="F6" s="299"/>
      <c r="G6" s="299"/>
      <c r="H6" s="299"/>
      <c r="I6" s="299"/>
      <c r="J6" s="299"/>
      <c r="K6" s="299"/>
      <c r="L6" s="6"/>
    </row>
    <row r="7" spans="1:12" x14ac:dyDescent="0.2">
      <c r="A7" s="43">
        <v>1</v>
      </c>
      <c r="B7" s="7" t="s">
        <v>3866</v>
      </c>
      <c r="C7" s="7" t="s">
        <v>3867</v>
      </c>
      <c r="D7" s="7" t="s">
        <v>3868</v>
      </c>
      <c r="E7" s="7" t="str">
        <f>"0,7973"</f>
        <v>0,7973</v>
      </c>
      <c r="F7" s="68" t="s">
        <v>3655</v>
      </c>
      <c r="G7" s="68" t="s">
        <v>796</v>
      </c>
      <c r="H7" s="7" t="s">
        <v>44</v>
      </c>
      <c r="I7" s="224" t="s">
        <v>53</v>
      </c>
      <c r="J7" s="7">
        <v>2762.5</v>
      </c>
      <c r="K7" s="7" t="str">
        <f>"2202,6793"</f>
        <v>2202,6793</v>
      </c>
      <c r="L7" s="7" t="s">
        <v>3391</v>
      </c>
    </row>
    <row r="8" spans="1:12" x14ac:dyDescent="0.2">
      <c r="B8" s="6"/>
      <c r="C8" s="6"/>
      <c r="D8" s="6"/>
      <c r="E8" s="6"/>
      <c r="F8" s="6"/>
      <c r="G8" s="6"/>
      <c r="H8" s="6"/>
      <c r="I8" s="6"/>
      <c r="J8" s="6"/>
      <c r="K8" s="6"/>
      <c r="L8" s="6"/>
    </row>
    <row r="9" spans="1:12" x14ac:dyDescent="0.2">
      <c r="B9" s="6"/>
      <c r="C9" s="6"/>
      <c r="D9" s="6"/>
      <c r="E9" s="6"/>
      <c r="F9" s="6"/>
      <c r="G9" s="6"/>
      <c r="H9" s="6"/>
      <c r="I9" s="6"/>
      <c r="J9" s="6"/>
      <c r="K9" s="6"/>
      <c r="L9" s="6"/>
    </row>
    <row r="10" spans="1:12" x14ac:dyDescent="0.2">
      <c r="B10" s="6"/>
      <c r="C10" s="6"/>
      <c r="D10" s="6"/>
      <c r="E10" s="6"/>
      <c r="F10" s="6"/>
      <c r="G10" s="6"/>
      <c r="H10" s="6"/>
      <c r="I10" s="6"/>
      <c r="J10" s="6"/>
      <c r="K10" s="6"/>
      <c r="L10" s="6"/>
    </row>
    <row r="11" spans="1:12" x14ac:dyDescent="0.2">
      <c r="B11" s="6"/>
      <c r="C11" s="6"/>
      <c r="D11" s="6"/>
      <c r="E11" s="6"/>
      <c r="F11" s="6"/>
      <c r="G11" s="6"/>
      <c r="H11" s="6"/>
      <c r="I11" s="6"/>
      <c r="J11" s="6"/>
      <c r="K11" s="6"/>
      <c r="L11" s="6"/>
    </row>
    <row r="12" spans="1:12" x14ac:dyDescent="0.2">
      <c r="B12" s="6"/>
      <c r="C12" s="6"/>
      <c r="D12" s="6"/>
      <c r="E12" s="6"/>
      <c r="F12" s="6"/>
      <c r="G12" s="6"/>
      <c r="H12" s="6"/>
      <c r="I12" s="6"/>
      <c r="J12" s="6"/>
      <c r="K12" s="6"/>
      <c r="L12" s="6"/>
    </row>
  </sheetData>
  <mergeCells count="15">
    <mergeCell ref="B6:K6"/>
    <mergeCell ref="A4:A5"/>
    <mergeCell ref="A1:L1"/>
    <mergeCell ref="A2:L2"/>
    <mergeCell ref="A3:L3"/>
    <mergeCell ref="B4:B5"/>
    <mergeCell ref="C4:C5"/>
    <mergeCell ref="D4:D5"/>
    <mergeCell ref="E4:E5"/>
    <mergeCell ref="F4:F5"/>
    <mergeCell ref="G4:G5"/>
    <mergeCell ref="H4:I4"/>
    <mergeCell ref="J4:J5"/>
    <mergeCell ref="K4:K5"/>
    <mergeCell ref="L4:L5"/>
  </mergeCells>
  <pageMargins left="0.7" right="0.7" top="0.75" bottom="0.75" header="0.3" footer="0.3"/>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topLeftCell="D56" workbookViewId="0">
      <selection activeCell="F54" sqref="F54"/>
    </sheetView>
  </sheetViews>
  <sheetFormatPr defaultColWidth="8.7109375" defaultRowHeight="12.75" x14ac:dyDescent="0.2"/>
  <cols>
    <col min="1" max="1" width="8" customWidth="1"/>
    <col min="2" max="2" width="21" customWidth="1"/>
    <col min="3" max="3" width="29.42578125" customWidth="1"/>
    <col min="4" max="4" width="13.28515625" customWidth="1"/>
    <col min="6" max="6" width="25.140625" customWidth="1"/>
    <col min="7" max="7" width="41.28515625" customWidth="1"/>
    <col min="8" max="8" width="13" customWidth="1"/>
    <col min="9" max="9" width="9.85546875" customWidth="1"/>
    <col min="11" max="11" width="11" bestFit="1" customWidth="1"/>
    <col min="12" max="12" width="13" customWidth="1"/>
  </cols>
  <sheetData>
    <row r="1" spans="1:13" ht="30" x14ac:dyDescent="0.2">
      <c r="A1" s="295" t="s">
        <v>3654</v>
      </c>
      <c r="B1" s="295"/>
      <c r="C1" s="295"/>
      <c r="D1" s="295"/>
      <c r="E1" s="295"/>
      <c r="F1" s="295"/>
      <c r="G1" s="295"/>
      <c r="H1" s="295"/>
      <c r="I1" s="295"/>
      <c r="J1" s="295"/>
      <c r="K1" s="295"/>
      <c r="L1" s="296"/>
    </row>
    <row r="2" spans="1:13" ht="30" x14ac:dyDescent="0.4">
      <c r="A2" s="317" t="s">
        <v>3869</v>
      </c>
      <c r="B2" s="317"/>
      <c r="C2" s="317"/>
      <c r="D2" s="317"/>
      <c r="E2" s="317"/>
      <c r="F2" s="317"/>
      <c r="G2" s="317"/>
      <c r="H2" s="317"/>
      <c r="I2" s="317"/>
      <c r="J2" s="317"/>
      <c r="K2" s="317"/>
      <c r="L2" s="318"/>
    </row>
    <row r="3" spans="1:13" ht="30.75" thickBot="1" x14ac:dyDescent="0.45">
      <c r="A3" s="319" t="s">
        <v>3381</v>
      </c>
      <c r="B3" s="319"/>
      <c r="C3" s="319"/>
      <c r="D3" s="319"/>
      <c r="E3" s="319"/>
      <c r="F3" s="319"/>
      <c r="G3" s="319"/>
      <c r="H3" s="319"/>
      <c r="I3" s="319"/>
      <c r="J3" s="319"/>
      <c r="K3" s="319"/>
      <c r="L3" s="320"/>
    </row>
    <row r="4" spans="1:13" ht="15" x14ac:dyDescent="0.2">
      <c r="A4" s="297" t="s">
        <v>719</v>
      </c>
      <c r="B4" s="329" t="s">
        <v>0</v>
      </c>
      <c r="C4" s="330" t="s">
        <v>3600</v>
      </c>
      <c r="D4" s="330" t="s">
        <v>8</v>
      </c>
      <c r="E4" s="326" t="s">
        <v>2675</v>
      </c>
      <c r="F4" s="326" t="s">
        <v>1</v>
      </c>
      <c r="G4" s="305" t="s">
        <v>795</v>
      </c>
      <c r="H4" s="300" t="s">
        <v>3</v>
      </c>
      <c r="I4" s="304"/>
      <c r="J4" s="325" t="s">
        <v>3593</v>
      </c>
      <c r="K4" s="326" t="s">
        <v>6</v>
      </c>
      <c r="L4" s="327" t="s">
        <v>5</v>
      </c>
      <c r="M4" s="5"/>
    </row>
    <row r="5" spans="1:13" ht="15.75" thickBot="1" x14ac:dyDescent="0.25">
      <c r="A5" s="298"/>
      <c r="B5" s="301"/>
      <c r="C5" s="303"/>
      <c r="D5" s="303"/>
      <c r="E5" s="303"/>
      <c r="F5" s="303"/>
      <c r="G5" s="306"/>
      <c r="H5" s="215" t="s">
        <v>3693</v>
      </c>
      <c r="I5" s="217" t="s">
        <v>3694</v>
      </c>
      <c r="J5" s="313"/>
      <c r="K5" s="303"/>
      <c r="L5" s="310"/>
      <c r="M5" s="5"/>
    </row>
    <row r="6" spans="1:13" ht="15" x14ac:dyDescent="0.2">
      <c r="A6" s="86"/>
      <c r="B6" s="328" t="s">
        <v>3715</v>
      </c>
      <c r="C6" s="299"/>
      <c r="D6" s="299"/>
      <c r="E6" s="299"/>
      <c r="F6" s="299"/>
      <c r="G6" s="299"/>
      <c r="H6" s="299"/>
      <c r="I6" s="299"/>
      <c r="J6" s="299"/>
      <c r="K6" s="299"/>
      <c r="L6" s="65"/>
      <c r="M6" s="66"/>
    </row>
    <row r="7" spans="1:13" x14ac:dyDescent="0.2">
      <c r="A7" s="86" t="s">
        <v>892</v>
      </c>
      <c r="B7" s="68" t="s">
        <v>3870</v>
      </c>
      <c r="C7" s="67" t="s">
        <v>3871</v>
      </c>
      <c r="D7" s="67" t="s">
        <v>3872</v>
      </c>
      <c r="E7" s="67" t="str">
        <f>"1,1009"</f>
        <v>1,1009</v>
      </c>
      <c r="F7" s="68" t="s">
        <v>857</v>
      </c>
      <c r="G7" s="68" t="s">
        <v>3188</v>
      </c>
      <c r="H7" s="67" t="s">
        <v>60</v>
      </c>
      <c r="I7" s="224" t="s">
        <v>1589</v>
      </c>
      <c r="J7" s="225" t="s">
        <v>3873</v>
      </c>
      <c r="K7" s="67" t="str">
        <f>"1733,9176"</f>
        <v>1733,9176</v>
      </c>
      <c r="L7" s="68" t="s">
        <v>3391</v>
      </c>
      <c r="M7" s="66"/>
    </row>
    <row r="8" spans="1:13" x14ac:dyDescent="0.2">
      <c r="A8" s="86"/>
      <c r="B8" s="75"/>
      <c r="C8" s="66"/>
      <c r="D8" s="66"/>
      <c r="E8" s="66"/>
      <c r="F8" s="65"/>
      <c r="G8" s="65"/>
      <c r="H8" s="66"/>
      <c r="I8" s="226"/>
      <c r="J8" s="69"/>
      <c r="K8" s="66"/>
      <c r="L8" s="65"/>
      <c r="M8" s="66"/>
    </row>
    <row r="9" spans="1:13" ht="15" x14ac:dyDescent="0.2">
      <c r="A9" s="42"/>
      <c r="B9" s="324" t="s">
        <v>3607</v>
      </c>
      <c r="C9" s="316"/>
      <c r="D9" s="316"/>
      <c r="E9" s="316"/>
      <c r="F9" s="316"/>
      <c r="G9" s="316"/>
      <c r="H9" s="316"/>
      <c r="I9" s="316"/>
      <c r="J9" s="324"/>
      <c r="K9" s="316"/>
      <c r="L9" s="65"/>
      <c r="M9" s="1"/>
    </row>
    <row r="10" spans="1:13" x14ac:dyDescent="0.2">
      <c r="A10" s="42">
        <v>1</v>
      </c>
      <c r="B10" s="68" t="s">
        <v>2589</v>
      </c>
      <c r="C10" s="67" t="s">
        <v>2417</v>
      </c>
      <c r="D10" s="67" t="s">
        <v>1708</v>
      </c>
      <c r="E10" s="67" t="str">
        <f>"0,9657"</f>
        <v>0,9657</v>
      </c>
      <c r="F10" s="68" t="s">
        <v>851</v>
      </c>
      <c r="G10" s="68" t="s">
        <v>864</v>
      </c>
      <c r="H10" s="67" t="s">
        <v>67</v>
      </c>
      <c r="I10" s="224" t="s">
        <v>1589</v>
      </c>
      <c r="J10" s="225">
        <v>1875</v>
      </c>
      <c r="K10" s="67" t="str">
        <f>"1810,7812"</f>
        <v>1810,7812</v>
      </c>
      <c r="L10" s="68" t="s">
        <v>3391</v>
      </c>
      <c r="M10" s="1"/>
    </row>
    <row r="11" spans="1:13" x14ac:dyDescent="0.2">
      <c r="A11" s="42"/>
      <c r="B11" s="75"/>
      <c r="C11" s="66"/>
      <c r="D11" s="66"/>
      <c r="E11" s="66"/>
      <c r="F11" s="65"/>
      <c r="G11" s="65"/>
      <c r="H11" s="66"/>
      <c r="I11" s="226"/>
      <c r="J11" s="69"/>
      <c r="K11" s="66"/>
      <c r="L11" s="65"/>
      <c r="M11" s="1"/>
    </row>
    <row r="12" spans="1:13" ht="15" x14ac:dyDescent="0.2">
      <c r="A12" s="42"/>
      <c r="B12" s="324" t="s">
        <v>3695</v>
      </c>
      <c r="C12" s="316"/>
      <c r="D12" s="316"/>
      <c r="E12" s="316"/>
      <c r="F12" s="316"/>
      <c r="G12" s="316"/>
      <c r="H12" s="316"/>
      <c r="I12" s="316"/>
      <c r="J12" s="324"/>
      <c r="K12" s="316"/>
      <c r="L12" s="65"/>
      <c r="M12" s="1"/>
    </row>
    <row r="13" spans="1:13" x14ac:dyDescent="0.2">
      <c r="A13" s="42">
        <v>1</v>
      </c>
      <c r="B13" s="68" t="s">
        <v>3874</v>
      </c>
      <c r="C13" s="67" t="s">
        <v>3875</v>
      </c>
      <c r="D13" s="67" t="s">
        <v>3876</v>
      </c>
      <c r="E13" s="67" t="str">
        <f>"1,3243"</f>
        <v>1,3243</v>
      </c>
      <c r="F13" s="68" t="s">
        <v>3655</v>
      </c>
      <c r="G13" s="68" t="s">
        <v>796</v>
      </c>
      <c r="H13" s="67" t="s">
        <v>1590</v>
      </c>
      <c r="I13" s="224" t="s">
        <v>3824</v>
      </c>
      <c r="J13" s="225">
        <v>780</v>
      </c>
      <c r="K13" s="67" t="str">
        <f>"1032,9930"</f>
        <v>1032,9930</v>
      </c>
      <c r="L13" s="68" t="s">
        <v>3877</v>
      </c>
      <c r="M13" s="1"/>
    </row>
    <row r="14" spans="1:13" x14ac:dyDescent="0.2">
      <c r="A14" s="42"/>
      <c r="B14" s="75"/>
      <c r="C14" s="66"/>
      <c r="D14" s="66"/>
      <c r="E14" s="66"/>
      <c r="F14" s="65"/>
      <c r="G14" s="65"/>
      <c r="H14" s="66"/>
      <c r="I14" s="226"/>
      <c r="J14" s="69"/>
      <c r="K14" s="66"/>
      <c r="L14" s="65"/>
      <c r="M14" s="1"/>
    </row>
    <row r="15" spans="1:13" ht="15" x14ac:dyDescent="0.2">
      <c r="A15" s="42"/>
      <c r="B15" s="324" t="s">
        <v>3715</v>
      </c>
      <c r="C15" s="316"/>
      <c r="D15" s="316"/>
      <c r="E15" s="316"/>
      <c r="F15" s="316"/>
      <c r="G15" s="316"/>
      <c r="H15" s="316"/>
      <c r="I15" s="316"/>
      <c r="J15" s="324"/>
      <c r="K15" s="316"/>
      <c r="L15" s="65"/>
      <c r="M15" s="1"/>
    </row>
    <row r="16" spans="1:13" x14ac:dyDescent="0.2">
      <c r="A16" s="42">
        <v>1</v>
      </c>
      <c r="B16" s="76" t="s">
        <v>3878</v>
      </c>
      <c r="C16" s="165" t="s">
        <v>3879</v>
      </c>
      <c r="D16" s="165" t="s">
        <v>3880</v>
      </c>
      <c r="E16" s="165" t="str">
        <f>"0,9113"</f>
        <v>0,9113</v>
      </c>
      <c r="F16" s="70" t="s">
        <v>3655</v>
      </c>
      <c r="G16" s="70" t="s">
        <v>3881</v>
      </c>
      <c r="H16" s="165" t="s">
        <v>93</v>
      </c>
      <c r="I16" s="227" t="s">
        <v>3774</v>
      </c>
      <c r="J16" s="228">
        <v>2035</v>
      </c>
      <c r="K16" s="165" t="str">
        <f>"1854,4955"</f>
        <v>1854,4955</v>
      </c>
      <c r="L16" s="70" t="s">
        <v>3391</v>
      </c>
      <c r="M16" s="1"/>
    </row>
    <row r="17" spans="1:13" x14ac:dyDescent="0.2">
      <c r="A17" s="42">
        <v>1</v>
      </c>
      <c r="B17" s="72" t="s">
        <v>3882</v>
      </c>
      <c r="C17" s="169" t="s">
        <v>3883</v>
      </c>
      <c r="D17" s="169" t="s">
        <v>3880</v>
      </c>
      <c r="E17" s="169" t="str">
        <f>"0,9113"</f>
        <v>0,9113</v>
      </c>
      <c r="F17" s="72" t="s">
        <v>3655</v>
      </c>
      <c r="G17" s="72" t="s">
        <v>3881</v>
      </c>
      <c r="H17" s="169" t="s">
        <v>93</v>
      </c>
      <c r="I17" s="229" t="s">
        <v>3774</v>
      </c>
      <c r="J17" s="230">
        <v>2035</v>
      </c>
      <c r="K17" s="169" t="str">
        <f>"1934,2388"</f>
        <v>1934,2388</v>
      </c>
      <c r="L17" s="72" t="s">
        <v>3391</v>
      </c>
      <c r="M17" s="1"/>
    </row>
    <row r="18" spans="1:13" x14ac:dyDescent="0.2">
      <c r="A18" s="42"/>
      <c r="B18" s="75"/>
      <c r="C18" s="66"/>
      <c r="D18" s="66"/>
      <c r="E18" s="66"/>
      <c r="F18" s="65"/>
      <c r="G18" s="65"/>
      <c r="H18" s="66"/>
      <c r="I18" s="226"/>
      <c r="J18" s="69"/>
      <c r="K18" s="66"/>
      <c r="L18" s="65"/>
      <c r="M18" s="1"/>
    </row>
    <row r="19" spans="1:13" ht="15" x14ac:dyDescent="0.2">
      <c r="A19" s="42"/>
      <c r="B19" s="324" t="s">
        <v>3383</v>
      </c>
      <c r="C19" s="316"/>
      <c r="D19" s="316"/>
      <c r="E19" s="316"/>
      <c r="F19" s="316"/>
      <c r="G19" s="316"/>
      <c r="H19" s="316"/>
      <c r="I19" s="316"/>
      <c r="J19" s="324"/>
      <c r="K19" s="316"/>
      <c r="L19" s="65"/>
      <c r="M19" s="1"/>
    </row>
    <row r="20" spans="1:13" x14ac:dyDescent="0.2">
      <c r="A20" s="42">
        <v>1</v>
      </c>
      <c r="B20" s="76" t="s">
        <v>2429</v>
      </c>
      <c r="C20" s="165" t="s">
        <v>3884</v>
      </c>
      <c r="D20" s="165" t="s">
        <v>329</v>
      </c>
      <c r="E20" s="165" t="str">
        <f>"0,8411"</f>
        <v>0,8411</v>
      </c>
      <c r="F20" s="70" t="s">
        <v>3655</v>
      </c>
      <c r="G20" s="70" t="s">
        <v>796</v>
      </c>
      <c r="H20" s="165" t="s">
        <v>86</v>
      </c>
      <c r="I20" s="227" t="s">
        <v>3885</v>
      </c>
      <c r="J20" s="228">
        <v>600</v>
      </c>
      <c r="K20" s="165" t="str">
        <f>"504,6300"</f>
        <v>504,6300</v>
      </c>
      <c r="L20" s="70" t="s">
        <v>2659</v>
      </c>
      <c r="M20" s="1"/>
    </row>
    <row r="21" spans="1:13" x14ac:dyDescent="0.2">
      <c r="A21" s="42">
        <v>1</v>
      </c>
      <c r="B21" s="72" t="s">
        <v>3886</v>
      </c>
      <c r="C21" s="169" t="s">
        <v>3883</v>
      </c>
      <c r="D21" s="169" t="s">
        <v>1294</v>
      </c>
      <c r="E21" s="169" t="str">
        <f>"0,8383"</f>
        <v>0,8383</v>
      </c>
      <c r="F21" s="72" t="s">
        <v>3655</v>
      </c>
      <c r="G21" s="72" t="s">
        <v>3881</v>
      </c>
      <c r="H21" s="169" t="s">
        <v>86</v>
      </c>
      <c r="I21" s="229" t="s">
        <v>3887</v>
      </c>
      <c r="J21" s="230">
        <v>2280</v>
      </c>
      <c r="K21" s="169" t="str">
        <f>"1993,5109"</f>
        <v>1993,5109</v>
      </c>
      <c r="L21" s="72" t="s">
        <v>3391</v>
      </c>
      <c r="M21" s="1"/>
    </row>
    <row r="22" spans="1:13" x14ac:dyDescent="0.2">
      <c r="A22" s="42"/>
      <c r="B22" s="75"/>
      <c r="C22" s="66"/>
      <c r="D22" s="66"/>
      <c r="E22" s="66"/>
      <c r="F22" s="65"/>
      <c r="G22" s="65"/>
      <c r="H22" s="66"/>
      <c r="I22" s="226"/>
      <c r="J22" s="69"/>
      <c r="K22" s="66"/>
      <c r="L22" s="65"/>
      <c r="M22" s="1"/>
    </row>
    <row r="23" spans="1:13" ht="15" x14ac:dyDescent="0.2">
      <c r="A23" s="42"/>
      <c r="B23" s="324" t="s">
        <v>3607</v>
      </c>
      <c r="C23" s="316"/>
      <c r="D23" s="316"/>
      <c r="E23" s="316"/>
      <c r="F23" s="316"/>
      <c r="G23" s="316"/>
      <c r="H23" s="316"/>
      <c r="I23" s="316"/>
      <c r="J23" s="324"/>
      <c r="K23" s="316"/>
      <c r="L23" s="65"/>
      <c r="M23" s="1"/>
    </row>
    <row r="24" spans="1:13" x14ac:dyDescent="0.2">
      <c r="A24" s="42">
        <v>1</v>
      </c>
      <c r="B24" s="68" t="s">
        <v>3888</v>
      </c>
      <c r="C24" s="67" t="s">
        <v>2434</v>
      </c>
      <c r="D24" s="67" t="s">
        <v>115</v>
      </c>
      <c r="E24" s="67" t="str">
        <f>"0,7551"</f>
        <v>0,7551</v>
      </c>
      <c r="F24" s="68" t="s">
        <v>3655</v>
      </c>
      <c r="G24" s="68" t="s">
        <v>3319</v>
      </c>
      <c r="H24" s="67" t="s">
        <v>68</v>
      </c>
      <c r="I24" s="224" t="s">
        <v>3401</v>
      </c>
      <c r="J24" s="225">
        <v>2970</v>
      </c>
      <c r="K24" s="67" t="str">
        <f>"2242,6470"</f>
        <v>2242,6470</v>
      </c>
      <c r="L24" s="68" t="s">
        <v>3391</v>
      </c>
      <c r="M24" s="1"/>
    </row>
    <row r="25" spans="1:13" x14ac:dyDescent="0.2">
      <c r="A25" s="42"/>
      <c r="B25" s="75"/>
      <c r="C25" s="66"/>
      <c r="D25" s="66"/>
      <c r="E25" s="66"/>
      <c r="F25" s="65"/>
      <c r="G25" s="65"/>
      <c r="H25" s="66"/>
      <c r="I25" s="226"/>
      <c r="J25" s="69"/>
      <c r="K25" s="66"/>
      <c r="L25" s="65"/>
      <c r="M25" s="1"/>
    </row>
    <row r="26" spans="1:13" ht="15" x14ac:dyDescent="0.2">
      <c r="A26" s="42"/>
      <c r="B26" s="324" t="s">
        <v>3396</v>
      </c>
      <c r="C26" s="316"/>
      <c r="D26" s="316"/>
      <c r="E26" s="316"/>
      <c r="F26" s="316"/>
      <c r="G26" s="316"/>
      <c r="H26" s="316"/>
      <c r="I26" s="316"/>
      <c r="J26" s="324"/>
      <c r="K26" s="316"/>
      <c r="L26" s="65"/>
      <c r="M26" s="1"/>
    </row>
    <row r="27" spans="1:13" x14ac:dyDescent="0.2">
      <c r="A27" s="42">
        <v>1</v>
      </c>
      <c r="B27" s="70" t="s">
        <v>3889</v>
      </c>
      <c r="C27" s="165" t="s">
        <v>3890</v>
      </c>
      <c r="D27" s="165" t="s">
        <v>176</v>
      </c>
      <c r="E27" s="165" t="str">
        <f>"0,6975"</f>
        <v>0,6975</v>
      </c>
      <c r="F27" s="70" t="s">
        <v>3655</v>
      </c>
      <c r="G27" s="70" t="s">
        <v>796</v>
      </c>
      <c r="H27" s="165" t="s">
        <v>41</v>
      </c>
      <c r="I27" s="227" t="s">
        <v>52</v>
      </c>
      <c r="J27" s="228">
        <v>3000</v>
      </c>
      <c r="K27" s="165" t="str">
        <f>"2092,6500"</f>
        <v>2092,6500</v>
      </c>
      <c r="L27" s="70" t="s">
        <v>3391</v>
      </c>
      <c r="M27" s="1"/>
    </row>
    <row r="28" spans="1:13" x14ac:dyDescent="0.2">
      <c r="A28" s="42">
        <v>1</v>
      </c>
      <c r="B28" s="71" t="s">
        <v>3891</v>
      </c>
      <c r="C28" s="173" t="s">
        <v>3892</v>
      </c>
      <c r="D28" s="173" t="s">
        <v>1748</v>
      </c>
      <c r="E28" s="173" t="str">
        <f>"0,7064"</f>
        <v>0,7064</v>
      </c>
      <c r="F28" s="71" t="s">
        <v>3655</v>
      </c>
      <c r="G28" s="71" t="s">
        <v>3893</v>
      </c>
      <c r="H28" s="173" t="s">
        <v>54</v>
      </c>
      <c r="I28" s="231" t="s">
        <v>61</v>
      </c>
      <c r="J28" s="232">
        <v>6887.5</v>
      </c>
      <c r="K28" s="173" t="str">
        <f>"4865,3298"</f>
        <v>4865,3298</v>
      </c>
      <c r="L28" s="71" t="s">
        <v>3894</v>
      </c>
      <c r="M28" s="1"/>
    </row>
    <row r="29" spans="1:13" x14ac:dyDescent="0.2">
      <c r="A29" s="42">
        <v>2</v>
      </c>
      <c r="B29" s="71" t="s">
        <v>3895</v>
      </c>
      <c r="C29" s="173" t="s">
        <v>3896</v>
      </c>
      <c r="D29" s="173" t="s">
        <v>2202</v>
      </c>
      <c r="E29" s="173" t="str">
        <f>"0,7005"</f>
        <v>0,7005</v>
      </c>
      <c r="F29" s="71" t="s">
        <v>3655</v>
      </c>
      <c r="G29" s="71" t="s">
        <v>3294</v>
      </c>
      <c r="H29" s="173" t="s">
        <v>41</v>
      </c>
      <c r="I29" s="231" t="s">
        <v>745</v>
      </c>
      <c r="J29" s="232">
        <v>3900</v>
      </c>
      <c r="K29" s="173" t="str">
        <f>"2731,7550"</f>
        <v>2731,7550</v>
      </c>
      <c r="L29" s="71" t="s">
        <v>3391</v>
      </c>
      <c r="M29" s="1"/>
    </row>
    <row r="30" spans="1:13" x14ac:dyDescent="0.2">
      <c r="A30" s="42">
        <v>3</v>
      </c>
      <c r="B30" s="77" t="s">
        <v>3897</v>
      </c>
      <c r="C30" s="173" t="s">
        <v>3898</v>
      </c>
      <c r="D30" s="173" t="s">
        <v>176</v>
      </c>
      <c r="E30" s="173" t="str">
        <f>"0,6975"</f>
        <v>0,6975</v>
      </c>
      <c r="F30" s="71" t="s">
        <v>3655</v>
      </c>
      <c r="G30" s="71" t="s">
        <v>796</v>
      </c>
      <c r="H30" s="173" t="s">
        <v>41</v>
      </c>
      <c r="I30" s="231" t="s">
        <v>52</v>
      </c>
      <c r="J30" s="232">
        <v>3000</v>
      </c>
      <c r="K30" s="173" t="str">
        <f>"2092,6500"</f>
        <v>2092,6500</v>
      </c>
      <c r="L30" s="71" t="s">
        <v>3391</v>
      </c>
      <c r="M30" s="1"/>
    </row>
    <row r="31" spans="1:13" x14ac:dyDescent="0.2">
      <c r="A31" s="42">
        <v>4</v>
      </c>
      <c r="B31" s="72" t="s">
        <v>3899</v>
      </c>
      <c r="C31" s="169" t="s">
        <v>3900</v>
      </c>
      <c r="D31" s="169" t="s">
        <v>3901</v>
      </c>
      <c r="E31" s="169" t="str">
        <f>"0,7375"</f>
        <v>0,7375</v>
      </c>
      <c r="F31" s="72" t="s">
        <v>3655</v>
      </c>
      <c r="G31" s="72" t="s">
        <v>3902</v>
      </c>
      <c r="H31" s="169" t="s">
        <v>51</v>
      </c>
      <c r="I31" s="229" t="s">
        <v>3756</v>
      </c>
      <c r="J31" s="230">
        <v>2380</v>
      </c>
      <c r="K31" s="169" t="str">
        <f>"1755,1310"</f>
        <v>1755,1310</v>
      </c>
      <c r="L31" s="72" t="s">
        <v>3391</v>
      </c>
      <c r="M31" s="1"/>
    </row>
    <row r="32" spans="1:13" x14ac:dyDescent="0.2">
      <c r="A32" s="42"/>
      <c r="B32" s="75"/>
      <c r="C32" s="66"/>
      <c r="D32" s="66"/>
      <c r="E32" s="66"/>
      <c r="F32" s="65"/>
      <c r="G32" s="65"/>
      <c r="H32" s="66"/>
      <c r="I32" s="226"/>
      <c r="J32" s="69"/>
      <c r="K32" s="66"/>
      <c r="L32" s="65"/>
      <c r="M32" s="1"/>
    </row>
    <row r="33" spans="1:13" ht="15" x14ac:dyDescent="0.2">
      <c r="A33" s="42"/>
      <c r="B33" s="324" t="s">
        <v>3624</v>
      </c>
      <c r="C33" s="316"/>
      <c r="D33" s="316"/>
      <c r="E33" s="316"/>
      <c r="F33" s="316"/>
      <c r="G33" s="316"/>
      <c r="H33" s="316"/>
      <c r="I33" s="316"/>
      <c r="J33" s="324"/>
      <c r="K33" s="316"/>
      <c r="L33" s="65"/>
      <c r="M33" s="1"/>
    </row>
    <row r="34" spans="1:13" x14ac:dyDescent="0.2">
      <c r="A34" s="42">
        <v>1</v>
      </c>
      <c r="B34" s="70" t="s">
        <v>2603</v>
      </c>
      <c r="C34" s="165" t="s">
        <v>2443</v>
      </c>
      <c r="D34" s="165" t="s">
        <v>1783</v>
      </c>
      <c r="E34" s="165" t="str">
        <f>"0,6550"</f>
        <v>0,6550</v>
      </c>
      <c r="F34" s="70" t="s">
        <v>4020</v>
      </c>
      <c r="G34" s="70" t="s">
        <v>3259</v>
      </c>
      <c r="H34" s="165" t="s">
        <v>43</v>
      </c>
      <c r="I34" s="227" t="s">
        <v>3756</v>
      </c>
      <c r="J34" s="228">
        <v>2805</v>
      </c>
      <c r="K34" s="165" t="str">
        <f>"1837,4152"</f>
        <v>1837,4152</v>
      </c>
      <c r="L34" s="70" t="s">
        <v>3391</v>
      </c>
      <c r="M34" s="1"/>
    </row>
    <row r="35" spans="1:13" x14ac:dyDescent="0.2">
      <c r="A35" s="42">
        <v>2</v>
      </c>
      <c r="B35" s="71" t="s">
        <v>3903</v>
      </c>
      <c r="C35" s="173" t="s">
        <v>1319</v>
      </c>
      <c r="D35" s="173" t="s">
        <v>919</v>
      </c>
      <c r="E35" s="173" t="str">
        <f>"0,6623"</f>
        <v>0,6623</v>
      </c>
      <c r="F35" s="71" t="s">
        <v>851</v>
      </c>
      <c r="G35" s="71" t="s">
        <v>864</v>
      </c>
      <c r="H35" s="173" t="s">
        <v>42</v>
      </c>
      <c r="I35" s="231" t="s">
        <v>3799</v>
      </c>
      <c r="J35" s="232">
        <v>2320</v>
      </c>
      <c r="K35" s="173" t="str">
        <f>"1536,6520"</f>
        <v>1536,6520</v>
      </c>
      <c r="L35" s="71" t="s">
        <v>1479</v>
      </c>
      <c r="M35" s="1"/>
    </row>
    <row r="36" spans="1:13" x14ac:dyDescent="0.2">
      <c r="A36" s="42">
        <v>1</v>
      </c>
      <c r="B36" s="71" t="s">
        <v>3904</v>
      </c>
      <c r="C36" s="173" t="s">
        <v>3905</v>
      </c>
      <c r="D36" s="173" t="s">
        <v>13</v>
      </c>
      <c r="E36" s="173" t="str">
        <f>"0,6497"</f>
        <v>0,6497</v>
      </c>
      <c r="F36" s="71" t="s">
        <v>3655</v>
      </c>
      <c r="G36" s="71" t="s">
        <v>3906</v>
      </c>
      <c r="H36" s="173" t="s">
        <v>43</v>
      </c>
      <c r="I36" s="231" t="s">
        <v>3543</v>
      </c>
      <c r="J36" s="232">
        <v>4867.5</v>
      </c>
      <c r="K36" s="173" t="str">
        <f>"3162,6581"</f>
        <v>3162,6581</v>
      </c>
      <c r="L36" s="71" t="s">
        <v>3391</v>
      </c>
      <c r="M36" s="1"/>
    </row>
    <row r="37" spans="1:13" x14ac:dyDescent="0.2">
      <c r="A37" s="42">
        <v>2</v>
      </c>
      <c r="B37" s="71" t="s">
        <v>3907</v>
      </c>
      <c r="C37" s="173" t="s">
        <v>3908</v>
      </c>
      <c r="D37" s="173" t="s">
        <v>563</v>
      </c>
      <c r="E37" s="173" t="str">
        <f>"0,6487"</f>
        <v>0,6487</v>
      </c>
      <c r="F37" s="71" t="s">
        <v>3655</v>
      </c>
      <c r="G37" s="71" t="s">
        <v>3327</v>
      </c>
      <c r="H37" s="173" t="s">
        <v>43</v>
      </c>
      <c r="I37" s="231" t="s">
        <v>3547</v>
      </c>
      <c r="J37" s="232">
        <v>3547.5</v>
      </c>
      <c r="K37" s="173" t="str">
        <f>"2301,2632"</f>
        <v>2301,2632</v>
      </c>
      <c r="L37" s="71" t="s">
        <v>3391</v>
      </c>
      <c r="M37" s="1"/>
    </row>
    <row r="38" spans="1:13" x14ac:dyDescent="0.2">
      <c r="A38" s="42">
        <v>3</v>
      </c>
      <c r="B38" s="77" t="s">
        <v>3909</v>
      </c>
      <c r="C38" s="173" t="s">
        <v>3910</v>
      </c>
      <c r="D38" s="173" t="s">
        <v>2446</v>
      </c>
      <c r="E38" s="173" t="str">
        <f>"0,6513"</f>
        <v>0,6513</v>
      </c>
      <c r="F38" s="71" t="s">
        <v>3655</v>
      </c>
      <c r="G38" s="71" t="s">
        <v>3227</v>
      </c>
      <c r="H38" s="173" t="s">
        <v>43</v>
      </c>
      <c r="I38" s="231" t="s">
        <v>3774</v>
      </c>
      <c r="J38" s="232">
        <v>3052.5</v>
      </c>
      <c r="K38" s="173" t="str">
        <f>"1988,0933"</f>
        <v>1988,0933</v>
      </c>
      <c r="L38" s="71" t="s">
        <v>3391</v>
      </c>
      <c r="M38" s="1"/>
    </row>
    <row r="39" spans="1:13" x14ac:dyDescent="0.2">
      <c r="A39" s="42">
        <v>1</v>
      </c>
      <c r="B39" s="77" t="s">
        <v>3911</v>
      </c>
      <c r="C39" s="173" t="s">
        <v>3912</v>
      </c>
      <c r="D39" s="173" t="s">
        <v>563</v>
      </c>
      <c r="E39" s="173" t="str">
        <f>"0,6487"</f>
        <v>0,6487</v>
      </c>
      <c r="F39" s="71" t="s">
        <v>3655</v>
      </c>
      <c r="G39" s="71" t="s">
        <v>3327</v>
      </c>
      <c r="H39" s="173" t="s">
        <v>43</v>
      </c>
      <c r="I39" s="231" t="s">
        <v>3547</v>
      </c>
      <c r="J39" s="232">
        <v>3547.5</v>
      </c>
      <c r="K39" s="173" t="str">
        <f>"2347,2885"</f>
        <v>2347,2885</v>
      </c>
      <c r="L39" s="71" t="s">
        <v>3391</v>
      </c>
      <c r="M39" s="1"/>
    </row>
    <row r="40" spans="1:13" x14ac:dyDescent="0.2">
      <c r="A40" s="42">
        <v>2</v>
      </c>
      <c r="B40" s="71" t="s">
        <v>3913</v>
      </c>
      <c r="C40" s="173" t="s">
        <v>3914</v>
      </c>
      <c r="D40" s="173" t="s">
        <v>2446</v>
      </c>
      <c r="E40" s="173" t="str">
        <f>"0,6513"</f>
        <v>0,6513</v>
      </c>
      <c r="F40" s="71" t="s">
        <v>3655</v>
      </c>
      <c r="G40" s="71" t="s">
        <v>3227</v>
      </c>
      <c r="H40" s="173" t="s">
        <v>43</v>
      </c>
      <c r="I40" s="231" t="s">
        <v>3774</v>
      </c>
      <c r="J40" s="232">
        <v>3052.5</v>
      </c>
      <c r="K40" s="173" t="str">
        <f>"2073,5813"</f>
        <v>2073,5813</v>
      </c>
      <c r="L40" s="71" t="s">
        <v>3391</v>
      </c>
      <c r="M40" s="1"/>
    </row>
    <row r="41" spans="1:13" x14ac:dyDescent="0.2">
      <c r="A41" s="42">
        <v>3</v>
      </c>
      <c r="B41" s="72" t="s">
        <v>2609</v>
      </c>
      <c r="C41" s="169" t="s">
        <v>3915</v>
      </c>
      <c r="D41" s="169" t="s">
        <v>563</v>
      </c>
      <c r="E41" s="169" t="str">
        <f>"0,6487"</f>
        <v>0,6487</v>
      </c>
      <c r="F41" s="72" t="s">
        <v>3655</v>
      </c>
      <c r="G41" s="72" t="s">
        <v>840</v>
      </c>
      <c r="H41" s="169" t="s">
        <v>43</v>
      </c>
      <c r="I41" s="229" t="s">
        <v>3799</v>
      </c>
      <c r="J41" s="230">
        <v>2392.5</v>
      </c>
      <c r="K41" s="169" t="str">
        <f>"1618,7514"</f>
        <v>1618,7514</v>
      </c>
      <c r="L41" s="72" t="s">
        <v>3391</v>
      </c>
      <c r="M41" s="1"/>
    </row>
    <row r="42" spans="1:13" x14ac:dyDescent="0.2">
      <c r="A42" s="42"/>
      <c r="B42" s="75"/>
      <c r="C42" s="66"/>
      <c r="D42" s="66"/>
      <c r="E42" s="66"/>
      <c r="F42" s="65"/>
      <c r="G42" s="65"/>
      <c r="H42" s="66"/>
      <c r="I42" s="226"/>
      <c r="J42" s="69"/>
      <c r="K42" s="66"/>
      <c r="L42" s="65"/>
      <c r="M42" s="1"/>
    </row>
    <row r="43" spans="1:13" ht="15" x14ac:dyDescent="0.2">
      <c r="A43" s="42"/>
      <c r="B43" s="324" t="s">
        <v>3435</v>
      </c>
      <c r="C43" s="316"/>
      <c r="D43" s="316"/>
      <c r="E43" s="316"/>
      <c r="F43" s="316"/>
      <c r="G43" s="316"/>
      <c r="H43" s="316"/>
      <c r="I43" s="316"/>
      <c r="J43" s="324"/>
      <c r="K43" s="316"/>
      <c r="L43" s="65"/>
      <c r="M43" s="1"/>
    </row>
    <row r="44" spans="1:13" x14ac:dyDescent="0.2">
      <c r="A44" s="42">
        <v>1</v>
      </c>
      <c r="B44" s="70" t="s">
        <v>3916</v>
      </c>
      <c r="C44" s="165" t="s">
        <v>3917</v>
      </c>
      <c r="D44" s="165" t="s">
        <v>1826</v>
      </c>
      <c r="E44" s="165" t="str">
        <f>"0,6119"</f>
        <v>0,6119</v>
      </c>
      <c r="F44" s="70" t="s">
        <v>3655</v>
      </c>
      <c r="G44" s="70" t="s">
        <v>3918</v>
      </c>
      <c r="H44" s="165" t="s">
        <v>46</v>
      </c>
      <c r="I44" s="227" t="s">
        <v>3919</v>
      </c>
      <c r="J44" s="228">
        <v>4590</v>
      </c>
      <c r="K44" s="165" t="str">
        <f>"2808,3916"</f>
        <v>2808,3916</v>
      </c>
      <c r="L44" s="70" t="s">
        <v>3920</v>
      </c>
      <c r="M44" s="1"/>
    </row>
    <row r="45" spans="1:13" x14ac:dyDescent="0.2">
      <c r="A45" s="42">
        <v>2</v>
      </c>
      <c r="B45" s="71" t="s">
        <v>3921</v>
      </c>
      <c r="C45" s="173" t="s">
        <v>3922</v>
      </c>
      <c r="D45" s="173" t="s">
        <v>564</v>
      </c>
      <c r="E45" s="173" t="str">
        <f>"0,6130"</f>
        <v>0,6130</v>
      </c>
      <c r="F45" s="71" t="s">
        <v>3655</v>
      </c>
      <c r="G45" s="71" t="s">
        <v>3923</v>
      </c>
      <c r="H45" s="173" t="s">
        <v>46</v>
      </c>
      <c r="I45" s="231" t="s">
        <v>3548</v>
      </c>
      <c r="J45" s="232">
        <v>4320</v>
      </c>
      <c r="K45" s="173" t="str">
        <f>"2648,1599"</f>
        <v>2648,1599</v>
      </c>
      <c r="L45" s="71" t="s">
        <v>3924</v>
      </c>
      <c r="M45" s="1"/>
    </row>
    <row r="46" spans="1:13" x14ac:dyDescent="0.2">
      <c r="A46" s="42">
        <v>3</v>
      </c>
      <c r="B46" s="71" t="s">
        <v>3925</v>
      </c>
      <c r="C46" s="173" t="s">
        <v>2457</v>
      </c>
      <c r="D46" s="173" t="s">
        <v>228</v>
      </c>
      <c r="E46" s="173" t="str">
        <f>"0,6165"</f>
        <v>0,6165</v>
      </c>
      <c r="F46" s="71" t="s">
        <v>3655</v>
      </c>
      <c r="G46" s="71" t="s">
        <v>3319</v>
      </c>
      <c r="H46" s="173" t="s">
        <v>46</v>
      </c>
      <c r="I46" s="231" t="s">
        <v>52</v>
      </c>
      <c r="J46" s="232">
        <v>3600</v>
      </c>
      <c r="K46" s="173" t="str">
        <f>"2219,2200"</f>
        <v>2219,2200</v>
      </c>
      <c r="L46" s="71" t="s">
        <v>2663</v>
      </c>
      <c r="M46" s="1"/>
    </row>
    <row r="47" spans="1:13" x14ac:dyDescent="0.2">
      <c r="A47" s="42">
        <v>4</v>
      </c>
      <c r="B47" s="71" t="s">
        <v>3926</v>
      </c>
      <c r="C47" s="173" t="s">
        <v>3665</v>
      </c>
      <c r="D47" s="173" t="s">
        <v>565</v>
      </c>
      <c r="E47" s="173" t="str">
        <f>"0,6326"</f>
        <v>0,6326</v>
      </c>
      <c r="F47" s="71" t="s">
        <v>3655</v>
      </c>
      <c r="G47" s="71" t="s">
        <v>3294</v>
      </c>
      <c r="H47" s="173" t="s">
        <v>81</v>
      </c>
      <c r="I47" s="231" t="s">
        <v>594</v>
      </c>
      <c r="J47" s="232">
        <v>2975</v>
      </c>
      <c r="K47" s="173" t="str">
        <f>"1881,9850"</f>
        <v>1881,9850</v>
      </c>
      <c r="L47" s="71" t="s">
        <v>3391</v>
      </c>
      <c r="M47" s="1"/>
    </row>
    <row r="48" spans="1:13" x14ac:dyDescent="0.2">
      <c r="A48" s="42">
        <v>5</v>
      </c>
      <c r="B48" s="71" t="s">
        <v>3927</v>
      </c>
      <c r="C48" s="173" t="s">
        <v>3928</v>
      </c>
      <c r="D48" s="173" t="s">
        <v>1263</v>
      </c>
      <c r="E48" s="173" t="str">
        <f>"0,6122"</f>
        <v>0,6122</v>
      </c>
      <c r="F48" s="71" t="s">
        <v>3655</v>
      </c>
      <c r="G48" s="71" t="s">
        <v>3328</v>
      </c>
      <c r="H48" s="173" t="s">
        <v>46</v>
      </c>
      <c r="I48" s="231" t="s">
        <v>3408</v>
      </c>
      <c r="J48" s="232">
        <v>2790</v>
      </c>
      <c r="K48" s="173" t="str">
        <f>"1708,1774"</f>
        <v>1708,1774</v>
      </c>
      <c r="L48" s="71" t="s">
        <v>3391</v>
      </c>
      <c r="M48" s="1"/>
    </row>
    <row r="49" spans="1:13" x14ac:dyDescent="0.2">
      <c r="A49" s="42">
        <v>1</v>
      </c>
      <c r="B49" s="71" t="s">
        <v>3929</v>
      </c>
      <c r="C49" s="173" t="s">
        <v>3930</v>
      </c>
      <c r="D49" s="173" t="s">
        <v>214</v>
      </c>
      <c r="E49" s="173" t="str">
        <f>"0,6201"</f>
        <v>0,6201</v>
      </c>
      <c r="F49" s="71" t="s">
        <v>861</v>
      </c>
      <c r="G49" s="71" t="s">
        <v>3931</v>
      </c>
      <c r="H49" s="173" t="s">
        <v>46</v>
      </c>
      <c r="I49" s="231" t="s">
        <v>1589</v>
      </c>
      <c r="J49" s="232">
        <v>2700</v>
      </c>
      <c r="K49" s="173" t="str">
        <f>"1691,0128"</f>
        <v>1691,0128</v>
      </c>
      <c r="L49" s="71" t="s">
        <v>3932</v>
      </c>
      <c r="M49" s="1"/>
    </row>
    <row r="50" spans="1:13" x14ac:dyDescent="0.2">
      <c r="A50" s="42">
        <v>2</v>
      </c>
      <c r="B50" s="72" t="s">
        <v>3933</v>
      </c>
      <c r="C50" s="169" t="s">
        <v>3934</v>
      </c>
      <c r="D50" s="169" t="s">
        <v>3638</v>
      </c>
      <c r="E50" s="169" t="str">
        <f>"0,6431"</f>
        <v>0,6431</v>
      </c>
      <c r="F50" s="72" t="s">
        <v>3655</v>
      </c>
      <c r="G50" s="72" t="s">
        <v>3187</v>
      </c>
      <c r="H50" s="169" t="s">
        <v>81</v>
      </c>
      <c r="I50" s="229" t="s">
        <v>3935</v>
      </c>
      <c r="J50" s="230">
        <v>2380</v>
      </c>
      <c r="K50" s="169" t="str">
        <f>"1530,5781"</f>
        <v>1530,5781</v>
      </c>
      <c r="L50" s="72" t="s">
        <v>768</v>
      </c>
      <c r="M50" s="1"/>
    </row>
    <row r="51" spans="1:13" x14ac:dyDescent="0.2">
      <c r="A51" s="42"/>
      <c r="B51" s="75"/>
      <c r="C51" s="66"/>
      <c r="D51" s="66"/>
      <c r="E51" s="66"/>
      <c r="F51" s="65"/>
      <c r="G51" s="65"/>
      <c r="H51" s="66"/>
      <c r="I51" s="226"/>
      <c r="J51" s="69"/>
      <c r="K51" s="66"/>
      <c r="L51" s="65"/>
      <c r="M51" s="1"/>
    </row>
    <row r="52" spans="1:13" ht="15" x14ac:dyDescent="0.2">
      <c r="A52" s="42"/>
      <c r="B52" s="324" t="s">
        <v>3466</v>
      </c>
      <c r="C52" s="316"/>
      <c r="D52" s="316"/>
      <c r="E52" s="316"/>
      <c r="F52" s="316"/>
      <c r="G52" s="316"/>
      <c r="H52" s="316"/>
      <c r="I52" s="316"/>
      <c r="J52" s="324"/>
      <c r="K52" s="316"/>
      <c r="L52" s="65"/>
      <c r="M52" s="1"/>
    </row>
    <row r="53" spans="1:13" x14ac:dyDescent="0.2">
      <c r="A53" s="42">
        <v>1</v>
      </c>
      <c r="B53" s="70" t="s">
        <v>3936</v>
      </c>
      <c r="C53" s="165" t="s">
        <v>3937</v>
      </c>
      <c r="D53" s="165" t="s">
        <v>3938</v>
      </c>
      <c r="E53" s="165" t="str">
        <f>"0,6090"</f>
        <v>0,6090</v>
      </c>
      <c r="F53" s="70" t="s">
        <v>857</v>
      </c>
      <c r="G53" s="70" t="s">
        <v>801</v>
      </c>
      <c r="H53" s="165" t="s">
        <v>91</v>
      </c>
      <c r="I53" s="227" t="s">
        <v>3887</v>
      </c>
      <c r="J53" s="228">
        <v>3515</v>
      </c>
      <c r="K53" s="165" t="str">
        <f>"2140,4593"</f>
        <v>2140,4593</v>
      </c>
      <c r="L53" s="70" t="s">
        <v>3391</v>
      </c>
      <c r="M53" s="1"/>
    </row>
    <row r="54" spans="1:13" x14ac:dyDescent="0.2">
      <c r="A54" s="42">
        <v>2</v>
      </c>
      <c r="B54" s="71" t="s">
        <v>3939</v>
      </c>
      <c r="C54" s="173" t="s">
        <v>2287</v>
      </c>
      <c r="D54" s="173" t="s">
        <v>1883</v>
      </c>
      <c r="E54" s="173" t="str">
        <f>"0,5949"</f>
        <v>0,5949</v>
      </c>
      <c r="F54" s="71" t="s">
        <v>4020</v>
      </c>
      <c r="G54" s="71" t="s">
        <v>796</v>
      </c>
      <c r="H54" s="173" t="s">
        <v>61</v>
      </c>
      <c r="I54" s="231" t="s">
        <v>3697</v>
      </c>
      <c r="J54" s="232">
        <v>3135</v>
      </c>
      <c r="K54" s="173" t="str">
        <f>"1865,0115"</f>
        <v>1865,0115</v>
      </c>
      <c r="L54" s="71" t="s">
        <v>1068</v>
      </c>
      <c r="M54" s="1"/>
    </row>
    <row r="55" spans="1:13" x14ac:dyDescent="0.2">
      <c r="A55" s="42">
        <v>1</v>
      </c>
      <c r="B55" s="71" t="s">
        <v>3940</v>
      </c>
      <c r="C55" s="173" t="s">
        <v>3941</v>
      </c>
      <c r="D55" s="173" t="s">
        <v>3942</v>
      </c>
      <c r="E55" s="173" t="str">
        <f>"0,5825"</f>
        <v>0,5825</v>
      </c>
      <c r="F55" s="71" t="s">
        <v>3655</v>
      </c>
      <c r="G55" s="71" t="s">
        <v>804</v>
      </c>
      <c r="H55" s="173" t="s">
        <v>76</v>
      </c>
      <c r="I55" s="231" t="s">
        <v>3943</v>
      </c>
      <c r="J55" s="232">
        <v>4600</v>
      </c>
      <c r="K55" s="173" t="str">
        <f>"2679,7300"</f>
        <v>2679,7300</v>
      </c>
      <c r="L55" s="71" t="s">
        <v>3391</v>
      </c>
      <c r="M55" s="1"/>
    </row>
    <row r="56" spans="1:13" x14ac:dyDescent="0.2">
      <c r="A56" s="42">
        <v>2</v>
      </c>
      <c r="B56" s="77" t="s">
        <v>3944</v>
      </c>
      <c r="C56" s="173" t="s">
        <v>3169</v>
      </c>
      <c r="D56" s="173" t="s">
        <v>1367</v>
      </c>
      <c r="E56" s="173" t="str">
        <f>"0,6040"</f>
        <v>0,6040</v>
      </c>
      <c r="F56" s="71" t="s">
        <v>3655</v>
      </c>
      <c r="G56" s="71" t="s">
        <v>840</v>
      </c>
      <c r="H56" s="173" t="s">
        <v>91</v>
      </c>
      <c r="I56" s="231" t="s">
        <v>45</v>
      </c>
      <c r="J56" s="232">
        <v>4162.5</v>
      </c>
      <c r="K56" s="173" t="str">
        <f>"2514,1499"</f>
        <v>2514,1499</v>
      </c>
      <c r="L56" s="71" t="s">
        <v>3391</v>
      </c>
      <c r="M56" s="1"/>
    </row>
    <row r="57" spans="1:13" x14ac:dyDescent="0.2">
      <c r="A57" s="42">
        <v>3</v>
      </c>
      <c r="B57" s="71" t="s">
        <v>3945</v>
      </c>
      <c r="C57" s="173" t="s">
        <v>3946</v>
      </c>
      <c r="D57" s="173" t="s">
        <v>2502</v>
      </c>
      <c r="E57" s="173" t="str">
        <f>"0,6036"</f>
        <v>0,6036</v>
      </c>
      <c r="F57" s="71" t="s">
        <v>861</v>
      </c>
      <c r="G57" s="71" t="s">
        <v>3902</v>
      </c>
      <c r="H57" s="173" t="s">
        <v>91</v>
      </c>
      <c r="I57" s="231" t="s">
        <v>52</v>
      </c>
      <c r="J57" s="232">
        <v>3700</v>
      </c>
      <c r="K57" s="173" t="str">
        <f>"2233,5049"</f>
        <v>2233,5049</v>
      </c>
      <c r="L57" s="71" t="s">
        <v>3391</v>
      </c>
      <c r="M57" s="1"/>
    </row>
    <row r="58" spans="1:13" x14ac:dyDescent="0.2">
      <c r="A58" s="42">
        <v>4</v>
      </c>
      <c r="B58" s="71" t="s">
        <v>3947</v>
      </c>
      <c r="C58" s="173" t="s">
        <v>3948</v>
      </c>
      <c r="D58" s="173" t="s">
        <v>1377</v>
      </c>
      <c r="E58" s="173" t="str">
        <f>"0,5889"</f>
        <v>0,5889</v>
      </c>
      <c r="F58" s="71" t="s">
        <v>3655</v>
      </c>
      <c r="G58" s="71" t="s">
        <v>3190</v>
      </c>
      <c r="H58" s="173" t="s">
        <v>47</v>
      </c>
      <c r="I58" s="231" t="s">
        <v>52</v>
      </c>
      <c r="J58" s="232">
        <v>3900</v>
      </c>
      <c r="K58" s="173" t="str">
        <f>"2296,5151"</f>
        <v>2296,5151</v>
      </c>
      <c r="L58" s="71" t="s">
        <v>3391</v>
      </c>
      <c r="M58" s="1"/>
    </row>
    <row r="59" spans="1:13" x14ac:dyDescent="0.2">
      <c r="A59" s="42">
        <v>5</v>
      </c>
      <c r="B59" s="77" t="s">
        <v>3949</v>
      </c>
      <c r="C59" s="173" t="s">
        <v>3950</v>
      </c>
      <c r="D59" s="173" t="s">
        <v>3938</v>
      </c>
      <c r="E59" s="173" t="str">
        <f>"0,6090"</f>
        <v>0,6090</v>
      </c>
      <c r="F59" s="71" t="s">
        <v>857</v>
      </c>
      <c r="G59" s="71" t="s">
        <v>801</v>
      </c>
      <c r="H59" s="173" t="s">
        <v>91</v>
      </c>
      <c r="I59" s="231" t="s">
        <v>3887</v>
      </c>
      <c r="J59" s="232">
        <v>3515</v>
      </c>
      <c r="K59" s="173" t="str">
        <f>"2140,4593"</f>
        <v>2140,4593</v>
      </c>
      <c r="L59" s="71" t="s">
        <v>3391</v>
      </c>
      <c r="M59" s="1"/>
    </row>
    <row r="60" spans="1:13" x14ac:dyDescent="0.2">
      <c r="A60" s="42">
        <v>6</v>
      </c>
      <c r="B60" s="71" t="s">
        <v>3951</v>
      </c>
      <c r="C60" s="173" t="s">
        <v>2490</v>
      </c>
      <c r="D60" s="173" t="s">
        <v>2216</v>
      </c>
      <c r="E60" s="173" t="str">
        <f>"0,5955"</f>
        <v>0,5955</v>
      </c>
      <c r="F60" s="71" t="s">
        <v>853</v>
      </c>
      <c r="G60" s="71" t="s">
        <v>796</v>
      </c>
      <c r="H60" s="173" t="s">
        <v>61</v>
      </c>
      <c r="I60" s="231" t="s">
        <v>3887</v>
      </c>
      <c r="J60" s="232">
        <v>3610</v>
      </c>
      <c r="K60" s="173" t="str">
        <f>"2149,7550"</f>
        <v>2149,7550</v>
      </c>
      <c r="L60" s="71" t="s">
        <v>3391</v>
      </c>
      <c r="M60" s="1"/>
    </row>
    <row r="61" spans="1:13" x14ac:dyDescent="0.2">
      <c r="A61" s="42">
        <v>7</v>
      </c>
      <c r="B61" s="71" t="s">
        <v>3952</v>
      </c>
      <c r="C61" s="173" t="s">
        <v>3953</v>
      </c>
      <c r="D61" s="173" t="s">
        <v>643</v>
      </c>
      <c r="E61" s="173" t="str">
        <f>"0,5859"</f>
        <v>0,5859</v>
      </c>
      <c r="F61" s="71" t="s">
        <v>3655</v>
      </c>
      <c r="G61" s="71" t="s">
        <v>3185</v>
      </c>
      <c r="H61" s="173" t="s">
        <v>76</v>
      </c>
      <c r="I61" s="231" t="s">
        <v>3590</v>
      </c>
      <c r="J61" s="232">
        <v>3600</v>
      </c>
      <c r="K61" s="173" t="str">
        <f>"2109,0600"</f>
        <v>2109,0600</v>
      </c>
      <c r="L61" s="71" t="s">
        <v>3954</v>
      </c>
      <c r="M61" s="1"/>
    </row>
    <row r="62" spans="1:13" x14ac:dyDescent="0.2">
      <c r="A62" s="42">
        <v>8</v>
      </c>
      <c r="B62" s="71" t="s">
        <v>3955</v>
      </c>
      <c r="C62" s="173" t="s">
        <v>3956</v>
      </c>
      <c r="D62" s="173" t="s">
        <v>1226</v>
      </c>
      <c r="E62" s="173" t="str">
        <f>"0,5821"</f>
        <v>0,5821</v>
      </c>
      <c r="F62" s="71" t="s">
        <v>3655</v>
      </c>
      <c r="G62" s="71" t="s">
        <v>3957</v>
      </c>
      <c r="H62" s="173" t="s">
        <v>76</v>
      </c>
      <c r="I62" s="231" t="s">
        <v>594</v>
      </c>
      <c r="J62" s="232">
        <v>3500</v>
      </c>
      <c r="K62" s="173" t="str">
        <f>"2037,1751"</f>
        <v>2037,1751</v>
      </c>
      <c r="L62" s="71" t="s">
        <v>3391</v>
      </c>
      <c r="M62" s="1"/>
    </row>
    <row r="63" spans="1:13" x14ac:dyDescent="0.2">
      <c r="A63" s="42">
        <v>9</v>
      </c>
      <c r="B63" s="71" t="s">
        <v>3958</v>
      </c>
      <c r="C63" s="173" t="s">
        <v>3959</v>
      </c>
      <c r="D63" s="173" t="s">
        <v>1834</v>
      </c>
      <c r="E63" s="173" t="str">
        <f>"0,5952"</f>
        <v>0,5952</v>
      </c>
      <c r="F63" s="71" t="s">
        <v>855</v>
      </c>
      <c r="G63" s="71" t="s">
        <v>813</v>
      </c>
      <c r="H63" s="173" t="s">
        <v>61</v>
      </c>
      <c r="I63" s="231" t="s">
        <v>1589</v>
      </c>
      <c r="J63" s="232">
        <v>2850</v>
      </c>
      <c r="K63" s="173" t="str">
        <f>"1696,3200"</f>
        <v>1696,3200</v>
      </c>
      <c r="L63" s="71" t="s">
        <v>3750</v>
      </c>
      <c r="M63" s="1"/>
    </row>
    <row r="64" spans="1:13" x14ac:dyDescent="0.2">
      <c r="A64" s="42">
        <v>1</v>
      </c>
      <c r="B64" s="71" t="s">
        <v>3960</v>
      </c>
      <c r="C64" s="173" t="s">
        <v>3961</v>
      </c>
      <c r="D64" s="173" t="s">
        <v>1367</v>
      </c>
      <c r="E64" s="173" t="str">
        <f>"0,6040"</f>
        <v>0,6040</v>
      </c>
      <c r="F64" s="71" t="s">
        <v>3655</v>
      </c>
      <c r="G64" s="71" t="s">
        <v>840</v>
      </c>
      <c r="H64" s="173" t="s">
        <v>91</v>
      </c>
      <c r="I64" s="231" t="s">
        <v>45</v>
      </c>
      <c r="J64" s="232">
        <v>4162.5</v>
      </c>
      <c r="K64" s="173" t="str">
        <f>"2539,2914"</f>
        <v>2539,2914</v>
      </c>
      <c r="L64" s="71" t="s">
        <v>3391</v>
      </c>
      <c r="M64" s="1"/>
    </row>
    <row r="65" spans="1:13" x14ac:dyDescent="0.2">
      <c r="A65" s="42">
        <v>2</v>
      </c>
      <c r="B65" s="71" t="s">
        <v>3962</v>
      </c>
      <c r="C65" s="173" t="s">
        <v>3963</v>
      </c>
      <c r="D65" s="173" t="s">
        <v>3964</v>
      </c>
      <c r="E65" s="173" t="str">
        <f>"0,6000"</f>
        <v>0,6000</v>
      </c>
      <c r="F65" s="71" t="s">
        <v>3655</v>
      </c>
      <c r="G65" s="71" t="s">
        <v>3965</v>
      </c>
      <c r="H65" s="173" t="s">
        <v>61</v>
      </c>
      <c r="I65" s="231" t="s">
        <v>3697</v>
      </c>
      <c r="J65" s="232">
        <v>3135</v>
      </c>
      <c r="K65" s="173" t="str">
        <f>"2008,7406"</f>
        <v>2008,7406</v>
      </c>
      <c r="L65" s="71" t="s">
        <v>3391</v>
      </c>
      <c r="M65" s="1"/>
    </row>
    <row r="66" spans="1:13" x14ac:dyDescent="0.2">
      <c r="A66" s="42">
        <v>1</v>
      </c>
      <c r="B66" s="72" t="s">
        <v>3966</v>
      </c>
      <c r="C66" s="169" t="s">
        <v>3967</v>
      </c>
      <c r="D66" s="169" t="s">
        <v>245</v>
      </c>
      <c r="E66" s="169" t="str">
        <f>"0,5880"</f>
        <v>0,5880</v>
      </c>
      <c r="F66" s="72" t="s">
        <v>3968</v>
      </c>
      <c r="G66" s="72" t="s">
        <v>3969</v>
      </c>
      <c r="H66" s="169" t="s">
        <v>47</v>
      </c>
      <c r="I66" s="229" t="s">
        <v>3714</v>
      </c>
      <c r="J66" s="230">
        <v>2047.5</v>
      </c>
      <c r="K66" s="169" t="str">
        <f>"1402,5784"</f>
        <v>1402,5784</v>
      </c>
      <c r="L66" s="72" t="s">
        <v>977</v>
      </c>
      <c r="M66" s="1"/>
    </row>
    <row r="67" spans="1:13" x14ac:dyDescent="0.2">
      <c r="A67" s="42"/>
      <c r="B67" s="75"/>
      <c r="C67" s="66"/>
      <c r="D67" s="66"/>
      <c r="E67" s="66"/>
      <c r="F67" s="65"/>
      <c r="G67" s="65"/>
      <c r="H67" s="66"/>
      <c r="I67" s="226"/>
      <c r="J67" s="69"/>
      <c r="K67" s="66"/>
      <c r="L67" s="65"/>
      <c r="M67" s="1"/>
    </row>
    <row r="68" spans="1:13" ht="15" x14ac:dyDescent="0.2">
      <c r="A68" s="42"/>
      <c r="B68" s="324" t="s">
        <v>3474</v>
      </c>
      <c r="C68" s="316"/>
      <c r="D68" s="316"/>
      <c r="E68" s="316"/>
      <c r="F68" s="316"/>
      <c r="G68" s="316"/>
      <c r="H68" s="316"/>
      <c r="I68" s="316"/>
      <c r="J68" s="324"/>
      <c r="K68" s="316"/>
      <c r="L68" s="65"/>
      <c r="M68" s="1"/>
    </row>
    <row r="69" spans="1:13" x14ac:dyDescent="0.2">
      <c r="A69" s="42">
        <v>1</v>
      </c>
      <c r="B69" s="70" t="s">
        <v>3970</v>
      </c>
      <c r="C69" s="165" t="s">
        <v>3971</v>
      </c>
      <c r="D69" s="165" t="s">
        <v>1132</v>
      </c>
      <c r="E69" s="165" t="str">
        <f>"0,5706"</f>
        <v>0,5706</v>
      </c>
      <c r="F69" s="70" t="s">
        <v>3655</v>
      </c>
      <c r="G69" s="70" t="s">
        <v>3202</v>
      </c>
      <c r="H69" s="165" t="s">
        <v>97</v>
      </c>
      <c r="I69" s="227" t="s">
        <v>3972</v>
      </c>
      <c r="J69" s="228">
        <v>2310</v>
      </c>
      <c r="K69" s="165" t="str">
        <f>"1318,2015"</f>
        <v>1318,2015</v>
      </c>
      <c r="L69" s="70" t="s">
        <v>3391</v>
      </c>
      <c r="M69" s="1"/>
    </row>
    <row r="70" spans="1:13" x14ac:dyDescent="0.2">
      <c r="A70" s="42">
        <v>1</v>
      </c>
      <c r="B70" s="71" t="s">
        <v>2629</v>
      </c>
      <c r="C70" s="173" t="s">
        <v>2515</v>
      </c>
      <c r="D70" s="173" t="s">
        <v>1398</v>
      </c>
      <c r="E70" s="173" t="str">
        <f>"0,5710"</f>
        <v>0,5710</v>
      </c>
      <c r="F70" s="71" t="s">
        <v>3655</v>
      </c>
      <c r="G70" s="71" t="s">
        <v>3294</v>
      </c>
      <c r="H70" s="173" t="s">
        <v>97</v>
      </c>
      <c r="I70" s="231" t="s">
        <v>3402</v>
      </c>
      <c r="J70" s="232">
        <v>4935</v>
      </c>
      <c r="K70" s="173" t="str">
        <f>"2818,1317"</f>
        <v>2818,1317</v>
      </c>
      <c r="L70" s="71" t="s">
        <v>3391</v>
      </c>
      <c r="M70" s="1"/>
    </row>
    <row r="71" spans="1:13" x14ac:dyDescent="0.2">
      <c r="A71" s="42">
        <v>2</v>
      </c>
      <c r="B71" s="71" t="s">
        <v>3973</v>
      </c>
      <c r="C71" s="173" t="s">
        <v>3974</v>
      </c>
      <c r="D71" s="173" t="s">
        <v>2322</v>
      </c>
      <c r="E71" s="173" t="str">
        <f>"0,5666"</f>
        <v>0,5666</v>
      </c>
      <c r="F71" s="71" t="s">
        <v>861</v>
      </c>
      <c r="G71" s="71" t="s">
        <v>3902</v>
      </c>
      <c r="H71" s="173" t="s">
        <v>66</v>
      </c>
      <c r="I71" s="231" t="s">
        <v>3413</v>
      </c>
      <c r="J71" s="232">
        <v>4192.5</v>
      </c>
      <c r="K71" s="173" t="str">
        <f>"2375,6800"</f>
        <v>2375,6800</v>
      </c>
      <c r="L71" s="71" t="s">
        <v>3391</v>
      </c>
      <c r="M71" s="1"/>
    </row>
    <row r="72" spans="1:13" x14ac:dyDescent="0.2">
      <c r="A72" s="42">
        <v>3</v>
      </c>
      <c r="B72" s="72" t="s">
        <v>3975</v>
      </c>
      <c r="C72" s="169" t="s">
        <v>3009</v>
      </c>
      <c r="D72" s="169" t="s">
        <v>1382</v>
      </c>
      <c r="E72" s="169" t="str">
        <f>"0,5647"</f>
        <v>0,5647</v>
      </c>
      <c r="F72" s="72" t="s">
        <v>3181</v>
      </c>
      <c r="G72" s="72" t="s">
        <v>3976</v>
      </c>
      <c r="H72" s="169" t="s">
        <v>69</v>
      </c>
      <c r="I72" s="229" t="s">
        <v>2874</v>
      </c>
      <c r="J72" s="230">
        <v>2750</v>
      </c>
      <c r="K72" s="169" t="str">
        <f>"1552,9250"</f>
        <v>1552,9250</v>
      </c>
      <c r="L72" s="72" t="s">
        <v>3391</v>
      </c>
      <c r="M72" s="1"/>
    </row>
    <row r="73" spans="1:13" x14ac:dyDescent="0.2">
      <c r="A73" s="42"/>
      <c r="B73" s="75"/>
      <c r="C73" s="66"/>
      <c r="D73" s="66"/>
      <c r="E73" s="66"/>
      <c r="F73" s="65"/>
      <c r="G73" s="65"/>
      <c r="H73" s="66"/>
      <c r="I73" s="226"/>
      <c r="J73" s="69"/>
      <c r="K73" s="66"/>
      <c r="L73" s="65"/>
      <c r="M73" s="1"/>
    </row>
    <row r="74" spans="1:13" ht="15" x14ac:dyDescent="0.2">
      <c r="A74" s="42"/>
      <c r="B74" s="324" t="s">
        <v>3485</v>
      </c>
      <c r="C74" s="316"/>
      <c r="D74" s="316"/>
      <c r="E74" s="316"/>
      <c r="F74" s="316"/>
      <c r="G74" s="316"/>
      <c r="H74" s="316"/>
      <c r="I74" s="316"/>
      <c r="J74" s="324"/>
      <c r="K74" s="316"/>
      <c r="L74" s="65"/>
      <c r="M74" s="1"/>
    </row>
    <row r="75" spans="1:13" x14ac:dyDescent="0.2">
      <c r="A75" s="42">
        <v>1</v>
      </c>
      <c r="B75" s="70" t="s">
        <v>3977</v>
      </c>
      <c r="C75" s="165" t="s">
        <v>3978</v>
      </c>
      <c r="D75" s="165" t="s">
        <v>2324</v>
      </c>
      <c r="E75" s="165" t="str">
        <f>"0,5580"</f>
        <v>0,5580</v>
      </c>
      <c r="F75" s="70" t="s">
        <v>3655</v>
      </c>
      <c r="G75" s="70" t="s">
        <v>3979</v>
      </c>
      <c r="H75" s="165" t="s">
        <v>70</v>
      </c>
      <c r="I75" s="227" t="s">
        <v>3756</v>
      </c>
      <c r="J75" s="228">
        <v>3910</v>
      </c>
      <c r="K75" s="165" t="str">
        <f>"2181,5846"</f>
        <v>2181,5846</v>
      </c>
      <c r="L75" s="70" t="s">
        <v>3980</v>
      </c>
      <c r="M75" s="1"/>
    </row>
    <row r="76" spans="1:13" x14ac:dyDescent="0.2">
      <c r="A76" s="42">
        <v>1</v>
      </c>
      <c r="B76" s="71" t="s">
        <v>3981</v>
      </c>
      <c r="C76" s="173" t="s">
        <v>3982</v>
      </c>
      <c r="D76" s="173" t="s">
        <v>3983</v>
      </c>
      <c r="E76" s="173" t="str">
        <f>"0,5555"</f>
        <v>0,5555</v>
      </c>
      <c r="F76" s="71" t="s">
        <v>855</v>
      </c>
      <c r="G76" s="71" t="s">
        <v>3194</v>
      </c>
      <c r="H76" s="173" t="s">
        <v>169</v>
      </c>
      <c r="I76" s="231" t="s">
        <v>3762</v>
      </c>
      <c r="J76" s="232">
        <v>3760</v>
      </c>
      <c r="K76" s="173" t="str">
        <f>"2088,4921"</f>
        <v>2088,4921</v>
      </c>
      <c r="L76" s="71" t="s">
        <v>3984</v>
      </c>
      <c r="M76" s="1"/>
    </row>
    <row r="77" spans="1:13" x14ac:dyDescent="0.2">
      <c r="A77" s="42">
        <v>1</v>
      </c>
      <c r="B77" s="72" t="s">
        <v>3985</v>
      </c>
      <c r="C77" s="169" t="s">
        <v>3986</v>
      </c>
      <c r="D77" s="169" t="s">
        <v>2998</v>
      </c>
      <c r="E77" s="169" t="str">
        <f>"0,5602"</f>
        <v>0,5602</v>
      </c>
      <c r="F77" s="72" t="s">
        <v>3655</v>
      </c>
      <c r="G77" s="72" t="s">
        <v>796</v>
      </c>
      <c r="H77" s="169" t="s">
        <v>87</v>
      </c>
      <c r="I77" s="229" t="s">
        <v>3700</v>
      </c>
      <c r="J77" s="230">
        <v>2025</v>
      </c>
      <c r="K77" s="169" t="str">
        <f>"1365,8236"</f>
        <v>1365,8236</v>
      </c>
      <c r="L77" s="72" t="s">
        <v>3391</v>
      </c>
      <c r="M77" s="1"/>
    </row>
    <row r="78" spans="1:13" x14ac:dyDescent="0.2">
      <c r="A78" s="42"/>
      <c r="B78" s="75"/>
      <c r="C78" s="66"/>
      <c r="D78" s="66"/>
      <c r="E78" s="66"/>
      <c r="F78" s="65"/>
      <c r="G78" s="65"/>
      <c r="H78" s="66"/>
      <c r="I78" s="226"/>
      <c r="J78" s="69"/>
      <c r="K78" s="66"/>
      <c r="L78" s="65"/>
      <c r="M78" s="1"/>
    </row>
    <row r="79" spans="1:13" ht="15" x14ac:dyDescent="0.2">
      <c r="A79" s="42"/>
      <c r="B79" s="324" t="s">
        <v>3833</v>
      </c>
      <c r="C79" s="316"/>
      <c r="D79" s="316"/>
      <c r="E79" s="316"/>
      <c r="F79" s="316"/>
      <c r="G79" s="316"/>
      <c r="H79" s="316"/>
      <c r="I79" s="316"/>
      <c r="J79" s="324"/>
      <c r="K79" s="316"/>
      <c r="L79" s="65"/>
      <c r="M79" s="1"/>
    </row>
    <row r="80" spans="1:13" x14ac:dyDescent="0.2">
      <c r="A80" s="42">
        <v>1</v>
      </c>
      <c r="B80" s="76" t="s">
        <v>3840</v>
      </c>
      <c r="C80" s="165" t="s">
        <v>3841</v>
      </c>
      <c r="D80" s="165" t="s">
        <v>3987</v>
      </c>
      <c r="E80" s="165" t="str">
        <f>"0,5324"</f>
        <v>0,5324</v>
      </c>
      <c r="F80" s="70" t="s">
        <v>3655</v>
      </c>
      <c r="G80" s="70" t="s">
        <v>796</v>
      </c>
      <c r="H80" s="165" t="s">
        <v>116</v>
      </c>
      <c r="I80" s="227" t="s">
        <v>3811</v>
      </c>
      <c r="J80" s="228">
        <v>1680</v>
      </c>
      <c r="K80" s="165" t="str">
        <f>"894,5076"</f>
        <v>894,5076</v>
      </c>
      <c r="L80" s="70" t="s">
        <v>724</v>
      </c>
      <c r="M80" s="1"/>
    </row>
    <row r="81" spans="1:13" x14ac:dyDescent="0.2">
      <c r="A81" s="42">
        <v>1</v>
      </c>
      <c r="B81" s="72" t="s">
        <v>3843</v>
      </c>
      <c r="C81" s="169" t="s">
        <v>3844</v>
      </c>
      <c r="D81" s="169" t="s">
        <v>3987</v>
      </c>
      <c r="E81" s="169" t="str">
        <f>"0,5324"</f>
        <v>0,5324</v>
      </c>
      <c r="F81" s="72" t="s">
        <v>3655</v>
      </c>
      <c r="G81" s="72" t="s">
        <v>796</v>
      </c>
      <c r="H81" s="169" t="s">
        <v>116</v>
      </c>
      <c r="I81" s="229" t="s">
        <v>3811</v>
      </c>
      <c r="J81" s="230">
        <v>1680</v>
      </c>
      <c r="K81" s="169" t="str">
        <f>"1095,7718"</f>
        <v>1095,7718</v>
      </c>
      <c r="L81" s="72" t="s">
        <v>724</v>
      </c>
      <c r="M81" s="1"/>
    </row>
    <row r="82" spans="1:13" x14ac:dyDescent="0.2">
      <c r="A82" s="42"/>
      <c r="B82" s="75"/>
      <c r="C82" s="66"/>
      <c r="D82" s="66"/>
      <c r="E82" s="66"/>
      <c r="F82" s="65"/>
      <c r="G82" s="65"/>
      <c r="H82" s="66"/>
      <c r="I82" s="226"/>
      <c r="J82" s="69"/>
      <c r="K82" s="66"/>
      <c r="L82" s="65"/>
      <c r="M82" s="1"/>
    </row>
    <row r="83" spans="1:13" x14ac:dyDescent="0.2">
      <c r="A83" s="42"/>
      <c r="B83" s="75"/>
      <c r="C83" s="66"/>
      <c r="D83" s="66"/>
      <c r="E83" s="66"/>
      <c r="F83" s="65"/>
      <c r="G83" s="65"/>
      <c r="H83" s="66"/>
      <c r="I83" s="226"/>
      <c r="J83" s="69"/>
      <c r="K83" s="66"/>
      <c r="L83" s="65"/>
      <c r="M83" s="1"/>
    </row>
    <row r="84" spans="1:13" ht="18" x14ac:dyDescent="0.25">
      <c r="A84" s="42"/>
      <c r="B84" s="8" t="s">
        <v>4022</v>
      </c>
      <c r="C84" s="66"/>
      <c r="D84" s="66"/>
      <c r="E84" s="66"/>
      <c r="F84" s="65"/>
      <c r="G84" s="65"/>
      <c r="H84" s="66"/>
      <c r="I84" s="226"/>
      <c r="J84" s="69"/>
      <c r="K84" s="66"/>
      <c r="L84" s="65"/>
      <c r="M84" s="1"/>
    </row>
    <row r="85" spans="1:13" ht="15" x14ac:dyDescent="0.2">
      <c r="A85" s="42"/>
      <c r="B85" s="9" t="s">
        <v>3499</v>
      </c>
      <c r="C85" s="66"/>
      <c r="D85" s="66"/>
      <c r="E85" s="66"/>
      <c r="F85" s="65"/>
      <c r="G85" s="65"/>
      <c r="H85" s="66"/>
      <c r="I85" s="226"/>
      <c r="J85" s="69"/>
      <c r="K85" s="66"/>
      <c r="L85" s="65"/>
      <c r="M85" s="1"/>
    </row>
    <row r="86" spans="1:13" ht="14.25" x14ac:dyDescent="0.2">
      <c r="A86" s="42"/>
      <c r="B86" s="81"/>
      <c r="C86" s="84" t="s">
        <v>18</v>
      </c>
      <c r="D86" s="66"/>
      <c r="E86" s="66"/>
      <c r="F86" s="65"/>
      <c r="G86" s="65"/>
      <c r="H86" s="66"/>
      <c r="I86" s="226"/>
      <c r="J86" s="69"/>
      <c r="K86" s="66"/>
      <c r="L86" s="65"/>
      <c r="M86" s="1"/>
    </row>
    <row r="87" spans="1:13" ht="15" x14ac:dyDescent="0.2">
      <c r="A87" s="42"/>
      <c r="B87" s="82" t="s">
        <v>0</v>
      </c>
      <c r="C87" s="73" t="s">
        <v>19</v>
      </c>
      <c r="D87" s="73" t="s">
        <v>20</v>
      </c>
      <c r="E87" s="73" t="s">
        <v>3593</v>
      </c>
      <c r="F87" s="73" t="s">
        <v>2675</v>
      </c>
      <c r="G87" s="65"/>
      <c r="H87" s="66"/>
      <c r="I87" s="226"/>
      <c r="J87" s="69"/>
      <c r="K87" s="66"/>
      <c r="L87" s="65"/>
      <c r="M87" s="1"/>
    </row>
    <row r="88" spans="1:13" x14ac:dyDescent="0.2">
      <c r="A88" s="42">
        <v>1</v>
      </c>
      <c r="B88" s="83" t="s">
        <v>3989</v>
      </c>
      <c r="C88" s="66" t="s">
        <v>18</v>
      </c>
      <c r="D88" s="66" t="s">
        <v>291</v>
      </c>
      <c r="E88" s="66" t="s">
        <v>3990</v>
      </c>
      <c r="F88" s="86" t="s">
        <v>3991</v>
      </c>
      <c r="G88" s="65"/>
      <c r="H88" s="66"/>
      <c r="I88" s="226"/>
      <c r="J88" s="69"/>
      <c r="K88" s="66"/>
      <c r="L88" s="65"/>
      <c r="M88" s="1"/>
    </row>
    <row r="89" spans="1:13" x14ac:dyDescent="0.2">
      <c r="A89" s="42">
        <v>2</v>
      </c>
      <c r="B89" s="83" t="s">
        <v>3992</v>
      </c>
      <c r="C89" s="66" t="s">
        <v>18</v>
      </c>
      <c r="D89" s="66" t="s">
        <v>21</v>
      </c>
      <c r="E89" s="66" t="s">
        <v>3993</v>
      </c>
      <c r="F89" s="86" t="s">
        <v>3994</v>
      </c>
      <c r="G89" s="65"/>
      <c r="H89" s="66"/>
      <c r="I89" s="226"/>
      <c r="J89" s="69"/>
      <c r="K89" s="66"/>
      <c r="L89" s="65"/>
      <c r="M89" s="1"/>
    </row>
    <row r="90" spans="1:13" x14ac:dyDescent="0.2">
      <c r="A90" s="42">
        <v>3</v>
      </c>
      <c r="B90" s="83" t="s">
        <v>2577</v>
      </c>
      <c r="C90" s="66" t="s">
        <v>18</v>
      </c>
      <c r="D90" s="66" t="s">
        <v>306</v>
      </c>
      <c r="E90" s="66" t="s">
        <v>3995</v>
      </c>
      <c r="F90" s="86" t="s">
        <v>3996</v>
      </c>
      <c r="G90" s="65"/>
      <c r="H90" s="66"/>
      <c r="I90" s="226"/>
      <c r="J90" s="69"/>
      <c r="K90" s="66"/>
      <c r="L90" s="65"/>
      <c r="M90" s="1"/>
    </row>
    <row r="91" spans="1:13" x14ac:dyDescent="0.2">
      <c r="A91" s="42"/>
      <c r="B91" s="75"/>
      <c r="C91" s="66"/>
      <c r="D91" s="66"/>
      <c r="E91" s="66"/>
      <c r="F91" s="66"/>
      <c r="G91" s="65"/>
      <c r="H91" s="66"/>
      <c r="I91" s="226"/>
      <c r="J91" s="69"/>
      <c r="K91" s="66"/>
      <c r="L91" s="65"/>
      <c r="M91" s="1"/>
    </row>
    <row r="92" spans="1:13" ht="14.25" x14ac:dyDescent="0.2">
      <c r="A92" s="42"/>
      <c r="B92" s="81"/>
      <c r="C92" s="84" t="s">
        <v>310</v>
      </c>
      <c r="D92" s="66"/>
      <c r="E92" s="66"/>
      <c r="F92" s="66"/>
      <c r="G92" s="65"/>
      <c r="H92" s="66"/>
      <c r="I92" s="226"/>
      <c r="J92" s="69"/>
      <c r="K92" s="66"/>
      <c r="L92" s="65"/>
      <c r="M92" s="1"/>
    </row>
    <row r="93" spans="1:13" ht="15" x14ac:dyDescent="0.2">
      <c r="A93" s="42"/>
      <c r="B93" s="82" t="s">
        <v>0</v>
      </c>
      <c r="C93" s="73" t="s">
        <v>19</v>
      </c>
      <c r="D93" s="73" t="s">
        <v>20</v>
      </c>
      <c r="E93" s="73" t="s">
        <v>3593</v>
      </c>
      <c r="F93" s="73" t="s">
        <v>2675</v>
      </c>
      <c r="G93" s="65"/>
      <c r="H93" s="66"/>
      <c r="I93" s="226"/>
      <c r="J93" s="69"/>
      <c r="K93" s="66"/>
      <c r="L93" s="65"/>
      <c r="M93" s="1"/>
    </row>
    <row r="94" spans="1:13" x14ac:dyDescent="0.2">
      <c r="A94" s="42">
        <v>1</v>
      </c>
      <c r="B94" s="83" t="s">
        <v>3944</v>
      </c>
      <c r="C94" s="66" t="s">
        <v>2734</v>
      </c>
      <c r="D94" s="66" t="s">
        <v>300</v>
      </c>
      <c r="E94" s="66" t="s">
        <v>3997</v>
      </c>
      <c r="F94" s="86" t="s">
        <v>3998</v>
      </c>
      <c r="G94" s="65"/>
      <c r="H94" s="66"/>
      <c r="I94" s="226"/>
      <c r="J94" s="69"/>
      <c r="K94" s="66"/>
      <c r="L94" s="65"/>
      <c r="M94" s="1"/>
    </row>
    <row r="95" spans="1:13" x14ac:dyDescent="0.2">
      <c r="A95" s="42">
        <v>2</v>
      </c>
      <c r="B95" s="83" t="s">
        <v>3911</v>
      </c>
      <c r="C95" s="66" t="s">
        <v>2734</v>
      </c>
      <c r="D95" s="66" t="s">
        <v>21</v>
      </c>
      <c r="E95" s="66" t="s">
        <v>3999</v>
      </c>
      <c r="F95" s="86" t="s">
        <v>4000</v>
      </c>
      <c r="G95" s="65"/>
      <c r="H95" s="66"/>
      <c r="I95" s="226"/>
      <c r="J95" s="69"/>
      <c r="K95" s="66"/>
      <c r="L95" s="65"/>
      <c r="M95" s="1"/>
    </row>
    <row r="96" spans="1:13" x14ac:dyDescent="0.2">
      <c r="A96" s="42">
        <v>3</v>
      </c>
      <c r="B96" s="83" t="s">
        <v>4001</v>
      </c>
      <c r="C96" s="66" t="s">
        <v>2734</v>
      </c>
      <c r="D96" s="66" t="s">
        <v>303</v>
      </c>
      <c r="E96" s="66" t="s">
        <v>4002</v>
      </c>
      <c r="F96" s="86" t="s">
        <v>4003</v>
      </c>
      <c r="G96" s="65"/>
      <c r="H96" s="66"/>
      <c r="I96" s="226"/>
      <c r="J96" s="69"/>
      <c r="K96" s="66"/>
      <c r="L96" s="65"/>
      <c r="M96" s="1"/>
    </row>
    <row r="97" spans="1:13" x14ac:dyDescent="0.2">
      <c r="A97" s="42"/>
      <c r="B97" s="75"/>
      <c r="C97" s="66"/>
      <c r="D97" s="66"/>
      <c r="E97" s="66"/>
      <c r="F97" s="65"/>
      <c r="G97" s="65"/>
      <c r="H97" s="66"/>
      <c r="I97" s="226"/>
      <c r="J97" s="69"/>
      <c r="K97" s="66"/>
      <c r="L97" s="65"/>
      <c r="M97" s="1"/>
    </row>
    <row r="98" spans="1:13" x14ac:dyDescent="0.2">
      <c r="A98" s="42"/>
      <c r="B98" s="75"/>
      <c r="C98" s="66"/>
      <c r="D98" s="66"/>
      <c r="E98" s="66"/>
      <c r="F98" s="65"/>
      <c r="G98" s="65"/>
      <c r="H98" s="66"/>
      <c r="I98" s="226"/>
      <c r="J98" s="69"/>
      <c r="K98" s="66"/>
      <c r="L98" s="65"/>
      <c r="M98" s="1"/>
    </row>
    <row r="99" spans="1:13" x14ac:dyDescent="0.2">
      <c r="A99" s="42"/>
      <c r="B99" s="75"/>
      <c r="C99" s="66"/>
      <c r="D99" s="66"/>
      <c r="E99" s="66"/>
      <c r="F99" s="65"/>
      <c r="G99" s="65"/>
      <c r="H99" s="66"/>
      <c r="I99" s="226"/>
      <c r="J99" s="69"/>
      <c r="K99" s="66"/>
      <c r="L99" s="65"/>
      <c r="M99" s="1"/>
    </row>
    <row r="100" spans="1:13" ht="13.5" thickBot="1" x14ac:dyDescent="0.25">
      <c r="A100" s="42"/>
      <c r="B100" s="75"/>
      <c r="C100" s="66"/>
      <c r="D100" s="66"/>
      <c r="E100" s="66"/>
      <c r="F100" s="65"/>
      <c r="G100" s="65"/>
      <c r="H100" s="66"/>
      <c r="I100" s="226"/>
      <c r="J100" s="69"/>
      <c r="K100" s="66"/>
      <c r="L100" s="65"/>
      <c r="M100" s="1"/>
    </row>
    <row r="101" spans="1:13" ht="30.75" thickBot="1" x14ac:dyDescent="0.45">
      <c r="A101" s="321" t="s">
        <v>4121</v>
      </c>
      <c r="B101" s="322"/>
      <c r="C101" s="322"/>
      <c r="D101" s="322"/>
      <c r="E101" s="322"/>
      <c r="F101" s="322"/>
      <c r="G101" s="322"/>
      <c r="H101" s="322"/>
      <c r="I101" s="322"/>
      <c r="J101" s="322"/>
      <c r="K101" s="322"/>
      <c r="L101" s="323"/>
      <c r="M101" s="1"/>
    </row>
    <row r="102" spans="1:13" ht="15" x14ac:dyDescent="0.2">
      <c r="A102" s="297"/>
      <c r="B102" s="300" t="s">
        <v>0</v>
      </c>
      <c r="C102" s="302" t="s">
        <v>3600</v>
      </c>
      <c r="D102" s="302" t="s">
        <v>8</v>
      </c>
      <c r="E102" s="304" t="s">
        <v>2675</v>
      </c>
      <c r="F102" s="304" t="s">
        <v>1</v>
      </c>
      <c r="G102" s="305" t="s">
        <v>795</v>
      </c>
      <c r="H102" s="300" t="s">
        <v>3</v>
      </c>
      <c r="I102" s="304"/>
      <c r="J102" s="312" t="s">
        <v>3593</v>
      </c>
      <c r="K102" s="304" t="s">
        <v>6</v>
      </c>
      <c r="L102" s="307" t="s">
        <v>5</v>
      </c>
      <c r="M102" s="5"/>
    </row>
    <row r="103" spans="1:13" ht="15.75" thickBot="1" x14ac:dyDescent="0.25">
      <c r="A103" s="298"/>
      <c r="B103" s="301"/>
      <c r="C103" s="303"/>
      <c r="D103" s="303"/>
      <c r="E103" s="303"/>
      <c r="F103" s="303"/>
      <c r="G103" s="306"/>
      <c r="H103" s="215" t="s">
        <v>3693</v>
      </c>
      <c r="I103" s="217" t="s">
        <v>3694</v>
      </c>
      <c r="J103" s="313"/>
      <c r="K103" s="303"/>
      <c r="L103" s="310"/>
      <c r="M103" s="5"/>
    </row>
    <row r="104" spans="1:13" x14ac:dyDescent="0.2">
      <c r="A104" s="42"/>
      <c r="B104" s="75"/>
      <c r="C104" s="66"/>
      <c r="D104" s="66"/>
      <c r="E104" s="66"/>
      <c r="F104" s="65"/>
      <c r="G104" s="65"/>
      <c r="H104" s="66"/>
      <c r="I104" s="226"/>
      <c r="J104" s="69"/>
      <c r="K104" s="66"/>
      <c r="L104" s="65"/>
      <c r="M104" s="1"/>
    </row>
    <row r="105" spans="1:13" ht="15" x14ac:dyDescent="0.2">
      <c r="A105" s="42"/>
      <c r="B105" s="324" t="s">
        <v>3683</v>
      </c>
      <c r="C105" s="316"/>
      <c r="D105" s="316"/>
      <c r="E105" s="316"/>
      <c r="F105" s="316"/>
      <c r="G105" s="316"/>
      <c r="H105" s="316"/>
      <c r="I105" s="316"/>
      <c r="J105" s="324"/>
      <c r="K105" s="316"/>
      <c r="L105" s="65"/>
      <c r="M105" s="1"/>
    </row>
    <row r="106" spans="1:13" x14ac:dyDescent="0.2">
      <c r="A106" s="42"/>
      <c r="B106" s="70" t="s">
        <v>3988</v>
      </c>
      <c r="C106" s="165" t="s">
        <v>1162</v>
      </c>
      <c r="D106" s="165" t="s">
        <v>3315</v>
      </c>
      <c r="E106" s="165" t="str">
        <f>"0,5232"</f>
        <v>0,5232</v>
      </c>
      <c r="F106" s="70" t="s">
        <v>1163</v>
      </c>
      <c r="G106" s="70" t="s">
        <v>3264</v>
      </c>
      <c r="H106" s="165" t="s">
        <v>36</v>
      </c>
      <c r="I106" s="227" t="s">
        <v>3839</v>
      </c>
      <c r="J106" s="228">
        <v>2100</v>
      </c>
      <c r="K106" s="165" t="str">
        <f>"1098,6675"</f>
        <v>1098,6675</v>
      </c>
      <c r="L106" s="70" t="s">
        <v>3391</v>
      </c>
      <c r="M106" s="1"/>
    </row>
    <row r="107" spans="1:13" x14ac:dyDescent="0.2">
      <c r="A107" s="42"/>
      <c r="B107" s="78" t="s">
        <v>1161</v>
      </c>
      <c r="C107" s="169" t="s">
        <v>3684</v>
      </c>
      <c r="D107" s="169" t="s">
        <v>3315</v>
      </c>
      <c r="E107" s="169" t="str">
        <f>"0,5232"</f>
        <v>0,5232</v>
      </c>
      <c r="F107" s="72" t="s">
        <v>1163</v>
      </c>
      <c r="G107" s="72" t="s">
        <v>3264</v>
      </c>
      <c r="H107" s="169" t="s">
        <v>36</v>
      </c>
      <c r="I107" s="229" t="s">
        <v>3839</v>
      </c>
      <c r="J107" s="230">
        <v>2100</v>
      </c>
      <c r="K107" s="169" t="str">
        <f>"1109,6542"</f>
        <v>1109,6542</v>
      </c>
      <c r="L107" s="72" t="s">
        <v>3391</v>
      </c>
      <c r="M107" s="1"/>
    </row>
    <row r="108" spans="1:13" x14ac:dyDescent="0.2">
      <c r="A108" s="42"/>
      <c r="B108" s="75"/>
      <c r="C108" s="66"/>
      <c r="D108" s="66"/>
      <c r="E108" s="66"/>
      <c r="F108" s="65"/>
      <c r="G108" s="65"/>
      <c r="H108" s="66"/>
      <c r="I108" s="226"/>
      <c r="J108" s="69"/>
      <c r="K108" s="66"/>
      <c r="L108" s="65"/>
      <c r="M108" s="1"/>
    </row>
    <row r="109" spans="1:13" x14ac:dyDescent="0.2">
      <c r="A109" s="42"/>
      <c r="B109" s="75"/>
      <c r="C109" s="66"/>
      <c r="D109" s="66"/>
      <c r="E109" s="66"/>
      <c r="F109" s="65"/>
      <c r="G109" s="65"/>
      <c r="H109" s="66"/>
      <c r="I109" s="226"/>
      <c r="J109" s="69"/>
      <c r="K109" s="66"/>
      <c r="L109" s="65"/>
      <c r="M109" s="1"/>
    </row>
    <row r="110" spans="1:13" x14ac:dyDescent="0.2">
      <c r="A110" s="42"/>
      <c r="B110" s="75"/>
      <c r="C110" s="66"/>
      <c r="D110" s="66"/>
      <c r="E110" s="66"/>
      <c r="F110" s="65"/>
      <c r="G110" s="65"/>
      <c r="H110" s="66"/>
      <c r="I110" s="226"/>
      <c r="J110" s="69"/>
      <c r="K110" s="66"/>
      <c r="L110" s="65"/>
      <c r="M110" s="1"/>
    </row>
    <row r="111" spans="1:13" x14ac:dyDescent="0.2">
      <c r="A111" s="42"/>
      <c r="B111" s="75"/>
      <c r="C111" s="66"/>
      <c r="D111" s="66"/>
      <c r="E111" s="66"/>
      <c r="F111" s="65"/>
      <c r="G111" s="65"/>
      <c r="H111" s="66"/>
      <c r="I111" s="226"/>
      <c r="J111" s="69"/>
      <c r="K111" s="66"/>
      <c r="L111" s="65"/>
      <c r="M111" s="1"/>
    </row>
  </sheetData>
  <mergeCells count="40">
    <mergeCell ref="A1:L1"/>
    <mergeCell ref="A2:L2"/>
    <mergeCell ref="A3:L3"/>
    <mergeCell ref="B4:B5"/>
    <mergeCell ref="C4:C5"/>
    <mergeCell ref="D4:D5"/>
    <mergeCell ref="E4:E5"/>
    <mergeCell ref="F4:F5"/>
    <mergeCell ref="G4:G5"/>
    <mergeCell ref="H4:I4"/>
    <mergeCell ref="A4:A5"/>
    <mergeCell ref="B33:K33"/>
    <mergeCell ref="B43:K43"/>
    <mergeCell ref="J4:J5"/>
    <mergeCell ref="K4:K5"/>
    <mergeCell ref="L4:L5"/>
    <mergeCell ref="B6:K6"/>
    <mergeCell ref="B9:K9"/>
    <mergeCell ref="B12:K12"/>
    <mergeCell ref="B15:K15"/>
    <mergeCell ref="B19:K19"/>
    <mergeCell ref="B23:K23"/>
    <mergeCell ref="B26:K26"/>
    <mergeCell ref="B52:K52"/>
    <mergeCell ref="B68:K68"/>
    <mergeCell ref="B74:K74"/>
    <mergeCell ref="B79:K79"/>
    <mergeCell ref="B105:K105"/>
    <mergeCell ref="F102:F103"/>
    <mergeCell ref="G102:G103"/>
    <mergeCell ref="H102:I102"/>
    <mergeCell ref="J102:J103"/>
    <mergeCell ref="K102:K103"/>
    <mergeCell ref="L102:L103"/>
    <mergeCell ref="A101:L101"/>
    <mergeCell ref="A102:A103"/>
    <mergeCell ref="B102:B103"/>
    <mergeCell ref="C102:C103"/>
    <mergeCell ref="D102:D103"/>
    <mergeCell ref="E102:E103"/>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topLeftCell="A8" workbookViewId="0">
      <selection activeCell="F26" sqref="F26"/>
    </sheetView>
  </sheetViews>
  <sheetFormatPr defaultColWidth="8.7109375" defaultRowHeight="12.75" x14ac:dyDescent="0.2"/>
  <cols>
    <col min="1" max="1" width="6.85546875" bestFit="1" customWidth="1"/>
    <col min="2" max="2" width="20.28515625" bestFit="1" customWidth="1"/>
    <col min="3" max="3" width="29.140625" bestFit="1" customWidth="1"/>
    <col min="4" max="4" width="8.5703125" bestFit="1" customWidth="1"/>
    <col min="5" max="5" width="7.5703125" bestFit="1" customWidth="1"/>
    <col min="6" max="6" width="24.140625" bestFit="1" customWidth="1"/>
    <col min="7" max="7" width="42.85546875" bestFit="1" customWidth="1"/>
    <col min="8" max="11" width="6.42578125" bestFit="1" customWidth="1"/>
    <col min="12" max="14" width="5.28515625" bestFit="1" customWidth="1"/>
    <col min="15" max="15" width="4.85546875" bestFit="1" customWidth="1"/>
    <col min="16" max="16" width="6.42578125" bestFit="1" customWidth="1"/>
    <col min="17" max="17" width="9.85546875" bestFit="1" customWidth="1"/>
    <col min="18" max="18" width="15.42578125" bestFit="1" customWidth="1"/>
  </cols>
  <sheetData>
    <row r="1" spans="1:18" ht="30" customHeight="1" x14ac:dyDescent="0.2">
      <c r="A1" s="332" t="s">
        <v>3654</v>
      </c>
      <c r="B1" s="333"/>
      <c r="C1" s="333"/>
      <c r="D1" s="333"/>
      <c r="E1" s="333"/>
      <c r="F1" s="333"/>
      <c r="G1" s="333"/>
      <c r="H1" s="333"/>
      <c r="I1" s="333"/>
      <c r="J1" s="333"/>
      <c r="K1" s="333"/>
      <c r="L1" s="333"/>
      <c r="M1" s="333"/>
      <c r="N1" s="333"/>
      <c r="O1" s="333"/>
      <c r="P1" s="333"/>
      <c r="Q1" s="333"/>
      <c r="R1" s="334"/>
    </row>
    <row r="2" spans="1:18" ht="30" x14ac:dyDescent="0.4">
      <c r="A2" s="335" t="s">
        <v>4052</v>
      </c>
      <c r="B2" s="317"/>
      <c r="C2" s="317"/>
      <c r="D2" s="317"/>
      <c r="E2" s="317"/>
      <c r="F2" s="317"/>
      <c r="G2" s="317"/>
      <c r="H2" s="317"/>
      <c r="I2" s="317"/>
      <c r="J2" s="317"/>
      <c r="K2" s="317"/>
      <c r="L2" s="317"/>
      <c r="M2" s="317"/>
      <c r="N2" s="317"/>
      <c r="O2" s="317"/>
      <c r="P2" s="317"/>
      <c r="Q2" s="317"/>
      <c r="R2" s="318"/>
    </row>
    <row r="3" spans="1:18" ht="30.75" thickBot="1" x14ac:dyDescent="0.45">
      <c r="A3" s="336" t="s">
        <v>3381</v>
      </c>
      <c r="B3" s="319"/>
      <c r="C3" s="319"/>
      <c r="D3" s="319"/>
      <c r="E3" s="319"/>
      <c r="F3" s="319"/>
      <c r="G3" s="319"/>
      <c r="H3" s="319"/>
      <c r="I3" s="319"/>
      <c r="J3" s="319"/>
      <c r="K3" s="319"/>
      <c r="L3" s="319"/>
      <c r="M3" s="319"/>
      <c r="N3" s="319"/>
      <c r="O3" s="319"/>
      <c r="P3" s="319"/>
      <c r="Q3" s="319"/>
      <c r="R3" s="320"/>
    </row>
    <row r="4" spans="1:18" ht="15" x14ac:dyDescent="0.2">
      <c r="A4" s="337" t="s">
        <v>719</v>
      </c>
      <c r="B4" s="329" t="s">
        <v>0</v>
      </c>
      <c r="C4" s="330" t="s">
        <v>3600</v>
      </c>
      <c r="D4" s="330" t="s">
        <v>8</v>
      </c>
      <c r="E4" s="326" t="s">
        <v>2675</v>
      </c>
      <c r="F4" s="326" t="s">
        <v>1</v>
      </c>
      <c r="G4" s="331" t="s">
        <v>795</v>
      </c>
      <c r="H4" s="329" t="s">
        <v>3602</v>
      </c>
      <c r="I4" s="326"/>
      <c r="J4" s="326"/>
      <c r="K4" s="327"/>
      <c r="L4" s="329" t="s">
        <v>3601</v>
      </c>
      <c r="M4" s="326"/>
      <c r="N4" s="326"/>
      <c r="O4" s="327"/>
      <c r="P4" s="325" t="s">
        <v>3593</v>
      </c>
      <c r="Q4" s="326" t="s">
        <v>6</v>
      </c>
      <c r="R4" s="327" t="s">
        <v>5</v>
      </c>
    </row>
    <row r="5" spans="1:18" ht="15" customHeight="1" thickBot="1" x14ac:dyDescent="0.25">
      <c r="A5" s="298"/>
      <c r="B5" s="301"/>
      <c r="C5" s="303"/>
      <c r="D5" s="303"/>
      <c r="E5" s="303"/>
      <c r="F5" s="303"/>
      <c r="G5" s="306"/>
      <c r="H5" s="3">
        <v>1</v>
      </c>
      <c r="I5" s="2">
        <v>2</v>
      </c>
      <c r="J5" s="2">
        <v>3</v>
      </c>
      <c r="K5" s="4" t="s">
        <v>7</v>
      </c>
      <c r="L5" s="3">
        <v>1</v>
      </c>
      <c r="M5" s="2">
        <v>2</v>
      </c>
      <c r="N5" s="2">
        <v>3</v>
      </c>
      <c r="O5" s="4" t="s">
        <v>7</v>
      </c>
      <c r="P5" s="313"/>
      <c r="Q5" s="303"/>
      <c r="R5" s="310"/>
    </row>
    <row r="6" spans="1:18" ht="15" x14ac:dyDescent="0.2">
      <c r="B6" s="299" t="s">
        <v>3396</v>
      </c>
      <c r="C6" s="299"/>
      <c r="D6" s="299"/>
      <c r="E6" s="299"/>
      <c r="F6" s="299"/>
      <c r="G6" s="299"/>
      <c r="H6" s="299"/>
      <c r="I6" s="299"/>
      <c r="J6" s="299"/>
      <c r="K6" s="299"/>
      <c r="L6" s="299"/>
      <c r="M6" s="299"/>
      <c r="N6" s="299"/>
      <c r="O6" s="299"/>
      <c r="P6" s="299"/>
      <c r="Q6" s="299"/>
      <c r="R6" s="6"/>
    </row>
    <row r="7" spans="1:18" x14ac:dyDescent="0.2">
      <c r="A7" s="43">
        <v>1</v>
      </c>
      <c r="B7" s="7" t="s">
        <v>3603</v>
      </c>
      <c r="C7" s="7" t="s">
        <v>2424</v>
      </c>
      <c r="D7" s="7" t="s">
        <v>410</v>
      </c>
      <c r="E7" s="7" t="str">
        <f>"0,8376"</f>
        <v>0,8376</v>
      </c>
      <c r="F7" s="7" t="s">
        <v>14</v>
      </c>
      <c r="G7" s="7" t="s">
        <v>4283</v>
      </c>
      <c r="H7" s="204" t="s">
        <v>80</v>
      </c>
      <c r="I7" s="204" t="s">
        <v>45</v>
      </c>
      <c r="J7" s="204" t="s">
        <v>59</v>
      </c>
      <c r="K7" s="196"/>
      <c r="L7" s="204" t="s">
        <v>1589</v>
      </c>
      <c r="M7" s="204" t="s">
        <v>594</v>
      </c>
      <c r="N7" s="198" t="s">
        <v>44</v>
      </c>
      <c r="O7" s="196"/>
      <c r="P7" s="7" t="s">
        <v>81</v>
      </c>
      <c r="Q7" s="7" t="str">
        <f>"71,1960"</f>
        <v>71,1960</v>
      </c>
      <c r="R7" s="7" t="s">
        <v>2657</v>
      </c>
    </row>
    <row r="8" spans="1:18" x14ac:dyDescent="0.2">
      <c r="A8" s="43"/>
      <c r="B8" s="6"/>
      <c r="C8" s="6"/>
      <c r="D8" s="6"/>
      <c r="E8" s="6"/>
      <c r="F8" s="6"/>
      <c r="G8" s="6"/>
      <c r="H8" s="6"/>
      <c r="I8" s="6"/>
      <c r="J8" s="6"/>
      <c r="K8" s="6"/>
      <c r="L8" s="6"/>
      <c r="M8" s="6"/>
      <c r="N8" s="6"/>
      <c r="O8" s="6"/>
      <c r="P8" s="6"/>
      <c r="Q8" s="6"/>
      <c r="R8" s="6"/>
    </row>
    <row r="9" spans="1:18" ht="15" x14ac:dyDescent="0.2">
      <c r="A9" s="43"/>
      <c r="B9" s="294" t="s">
        <v>3383</v>
      </c>
      <c r="C9" s="294"/>
      <c r="D9" s="294"/>
      <c r="E9" s="294"/>
      <c r="F9" s="294"/>
      <c r="G9" s="294"/>
      <c r="H9" s="294"/>
      <c r="I9" s="294"/>
      <c r="J9" s="294"/>
      <c r="K9" s="294"/>
      <c r="L9" s="294"/>
      <c r="M9" s="294"/>
      <c r="N9" s="294"/>
      <c r="O9" s="294"/>
      <c r="P9" s="294"/>
      <c r="Q9" s="294"/>
      <c r="R9" s="6"/>
    </row>
    <row r="10" spans="1:18" x14ac:dyDescent="0.2">
      <c r="A10" s="43">
        <v>1</v>
      </c>
      <c r="B10" s="7" t="s">
        <v>3604</v>
      </c>
      <c r="C10" s="7" t="s">
        <v>3605</v>
      </c>
      <c r="D10" s="7" t="s">
        <v>3606</v>
      </c>
      <c r="E10" s="7" t="str">
        <f>"0,8626"</f>
        <v>0,8626</v>
      </c>
      <c r="F10" s="7" t="s">
        <v>857</v>
      </c>
      <c r="G10" s="7" t="s">
        <v>796</v>
      </c>
      <c r="H10" s="204" t="s">
        <v>52</v>
      </c>
      <c r="I10" s="204" t="s">
        <v>45</v>
      </c>
      <c r="J10" s="204" t="s">
        <v>59</v>
      </c>
      <c r="K10" s="196"/>
      <c r="L10" s="204" t="s">
        <v>52</v>
      </c>
      <c r="M10" s="204" t="s">
        <v>45</v>
      </c>
      <c r="N10" s="198" t="s">
        <v>59</v>
      </c>
      <c r="O10" s="196"/>
      <c r="P10" s="7" t="s">
        <v>61</v>
      </c>
      <c r="Q10" s="7" t="str">
        <f>"81,9517"</f>
        <v>81,9517</v>
      </c>
      <c r="R10" s="7" t="s">
        <v>724</v>
      </c>
    </row>
    <row r="11" spans="1:18" x14ac:dyDescent="0.2">
      <c r="A11" s="43"/>
      <c r="B11" s="6"/>
      <c r="C11" s="6"/>
      <c r="D11" s="6"/>
      <c r="E11" s="6"/>
      <c r="F11" s="6"/>
      <c r="G11" s="6"/>
      <c r="H11" s="6"/>
      <c r="I11" s="6"/>
      <c r="J11" s="6"/>
      <c r="K11" s="6"/>
      <c r="L11" s="6"/>
      <c r="M11" s="6"/>
      <c r="N11" s="6"/>
      <c r="O11" s="6"/>
      <c r="P11" s="6"/>
      <c r="Q11" s="6"/>
      <c r="R11" s="6"/>
    </row>
    <row r="12" spans="1:18" ht="15" x14ac:dyDescent="0.2">
      <c r="A12" s="43"/>
      <c r="B12" s="294" t="s">
        <v>3607</v>
      </c>
      <c r="C12" s="294"/>
      <c r="D12" s="294"/>
      <c r="E12" s="294"/>
      <c r="F12" s="294"/>
      <c r="G12" s="294"/>
      <c r="H12" s="294"/>
      <c r="I12" s="294"/>
      <c r="J12" s="294"/>
      <c r="K12" s="294"/>
      <c r="L12" s="294"/>
      <c r="M12" s="294"/>
      <c r="N12" s="294"/>
      <c r="O12" s="294"/>
      <c r="P12" s="294"/>
      <c r="Q12" s="294"/>
      <c r="R12" s="6"/>
    </row>
    <row r="13" spans="1:18" x14ac:dyDescent="0.2">
      <c r="A13" s="43">
        <v>1</v>
      </c>
      <c r="B13" s="7" t="s">
        <v>3608</v>
      </c>
      <c r="C13" s="7" t="s">
        <v>3609</v>
      </c>
      <c r="D13" s="7" t="s">
        <v>385</v>
      </c>
      <c r="E13" s="7" t="str">
        <f>"0,7494"</f>
        <v>0,7494</v>
      </c>
      <c r="F13" s="7" t="s">
        <v>855</v>
      </c>
      <c r="G13" s="7" t="s">
        <v>796</v>
      </c>
      <c r="H13" s="198" t="s">
        <v>53</v>
      </c>
      <c r="I13" s="198" t="s">
        <v>53</v>
      </c>
      <c r="J13" s="204" t="s">
        <v>53</v>
      </c>
      <c r="K13" s="196"/>
      <c r="L13" s="204" t="s">
        <v>93</v>
      </c>
      <c r="M13" s="204" t="s">
        <v>86</v>
      </c>
      <c r="N13" s="198" t="s">
        <v>67</v>
      </c>
      <c r="O13" s="196"/>
      <c r="P13" s="7" t="s">
        <v>112</v>
      </c>
      <c r="Q13" s="7" t="str">
        <f>"93,6688"</f>
        <v>93,6688</v>
      </c>
      <c r="R13" s="7" t="s">
        <v>3391</v>
      </c>
    </row>
    <row r="14" spans="1:18" x14ac:dyDescent="0.2">
      <c r="A14" s="43"/>
      <c r="B14" s="6"/>
      <c r="C14" s="6"/>
      <c r="D14" s="6"/>
      <c r="E14" s="6"/>
      <c r="F14" s="6"/>
      <c r="G14" s="6"/>
      <c r="H14" s="6"/>
      <c r="I14" s="6"/>
      <c r="J14" s="6"/>
      <c r="K14" s="6"/>
      <c r="L14" s="6"/>
      <c r="M14" s="6"/>
      <c r="N14" s="6"/>
      <c r="O14" s="6"/>
      <c r="P14" s="6"/>
      <c r="Q14" s="6"/>
      <c r="R14" s="6"/>
    </row>
    <row r="15" spans="1:18" ht="15" x14ac:dyDescent="0.2">
      <c r="A15" s="43"/>
      <c r="B15" s="294" t="s">
        <v>3396</v>
      </c>
      <c r="C15" s="294"/>
      <c r="D15" s="294"/>
      <c r="E15" s="294"/>
      <c r="F15" s="294"/>
      <c r="G15" s="294"/>
      <c r="H15" s="294"/>
      <c r="I15" s="294"/>
      <c r="J15" s="294"/>
      <c r="K15" s="294"/>
      <c r="L15" s="294"/>
      <c r="M15" s="294"/>
      <c r="N15" s="294"/>
      <c r="O15" s="294"/>
      <c r="P15" s="294"/>
      <c r="Q15" s="294"/>
      <c r="R15" s="6"/>
    </row>
    <row r="16" spans="1:18" x14ac:dyDescent="0.2">
      <c r="A16" s="43">
        <v>1</v>
      </c>
      <c r="B16" s="15" t="s">
        <v>3610</v>
      </c>
      <c r="C16" s="15" t="s">
        <v>3611</v>
      </c>
      <c r="D16" s="15" t="s">
        <v>2202</v>
      </c>
      <c r="E16" s="15" t="str">
        <f>"0,7005"</f>
        <v>0,7005</v>
      </c>
      <c r="F16" s="15" t="s">
        <v>861</v>
      </c>
      <c r="G16" s="15" t="s">
        <v>3656</v>
      </c>
      <c r="H16" s="205" t="s">
        <v>86</v>
      </c>
      <c r="I16" s="205" t="s">
        <v>53</v>
      </c>
      <c r="J16" s="192" t="s">
        <v>51</v>
      </c>
      <c r="K16" s="188"/>
      <c r="L16" s="205" t="s">
        <v>45</v>
      </c>
      <c r="M16" s="205" t="s">
        <v>59</v>
      </c>
      <c r="N16" s="205" t="s">
        <v>60</v>
      </c>
      <c r="O16" s="188"/>
      <c r="P16" s="15">
        <v>117.5</v>
      </c>
      <c r="Q16" s="15" t="str">
        <f>"82,3029"</f>
        <v>82,3029</v>
      </c>
      <c r="R16" s="15" t="s">
        <v>764</v>
      </c>
    </row>
    <row r="17" spans="1:18" x14ac:dyDescent="0.2">
      <c r="A17" s="43">
        <v>2</v>
      </c>
      <c r="B17" s="16" t="s">
        <v>3612</v>
      </c>
      <c r="C17" s="16" t="s">
        <v>3613</v>
      </c>
      <c r="D17" s="16" t="s">
        <v>3614</v>
      </c>
      <c r="E17" s="16" t="str">
        <f>"0,7071"</f>
        <v>0,7071</v>
      </c>
      <c r="F17" s="16" t="s">
        <v>3655</v>
      </c>
      <c r="G17" s="16" t="s">
        <v>796</v>
      </c>
      <c r="H17" s="206" t="s">
        <v>45</v>
      </c>
      <c r="I17" s="197" t="s">
        <v>59</v>
      </c>
      <c r="J17" s="197" t="s">
        <v>59</v>
      </c>
      <c r="K17" s="194"/>
      <c r="L17" s="197" t="s">
        <v>44</v>
      </c>
      <c r="M17" s="206" t="s">
        <v>44</v>
      </c>
      <c r="N17" s="206" t="s">
        <v>45</v>
      </c>
      <c r="O17" s="194"/>
      <c r="P17" s="16" t="s">
        <v>46</v>
      </c>
      <c r="Q17" s="16" t="str">
        <f>"63,6390"</f>
        <v>63,6390</v>
      </c>
      <c r="R17" s="16" t="s">
        <v>3615</v>
      </c>
    </row>
    <row r="18" spans="1:18" x14ac:dyDescent="0.2">
      <c r="A18" s="43">
        <v>1</v>
      </c>
      <c r="B18" s="16" t="s">
        <v>3616</v>
      </c>
      <c r="C18" s="16" t="s">
        <v>3617</v>
      </c>
      <c r="D18" s="16" t="s">
        <v>22</v>
      </c>
      <c r="E18" s="16" t="str">
        <f>"0,6927"</f>
        <v>0,6927</v>
      </c>
      <c r="F18" s="16" t="s">
        <v>2103</v>
      </c>
      <c r="G18" s="16" t="s">
        <v>3228</v>
      </c>
      <c r="H18" s="206" t="s">
        <v>55</v>
      </c>
      <c r="I18" s="197" t="s">
        <v>42</v>
      </c>
      <c r="J18" s="197" t="s">
        <v>42</v>
      </c>
      <c r="K18" s="194"/>
      <c r="L18" s="207" t="s">
        <v>59</v>
      </c>
      <c r="M18" s="206" t="s">
        <v>60</v>
      </c>
      <c r="N18" s="206" t="s">
        <v>93</v>
      </c>
      <c r="O18" s="194"/>
      <c r="P18" s="16" t="s">
        <v>165</v>
      </c>
      <c r="Q18" s="16" t="str">
        <f>"91,7761"</f>
        <v>91,7761</v>
      </c>
      <c r="R18" s="16" t="s">
        <v>3391</v>
      </c>
    </row>
    <row r="19" spans="1:18" x14ac:dyDescent="0.2">
      <c r="A19" s="43">
        <v>1</v>
      </c>
      <c r="B19" s="16" t="s">
        <v>3618</v>
      </c>
      <c r="C19" s="16" t="s">
        <v>3619</v>
      </c>
      <c r="D19" s="16" t="s">
        <v>3620</v>
      </c>
      <c r="E19" s="16" t="str">
        <f>"0,7110"</f>
        <v>0,7110</v>
      </c>
      <c r="F19" s="16" t="s">
        <v>3655</v>
      </c>
      <c r="G19" s="16" t="s">
        <v>3268</v>
      </c>
      <c r="H19" s="206" t="s">
        <v>91</v>
      </c>
      <c r="I19" s="206" t="s">
        <v>61</v>
      </c>
      <c r="J19" s="206" t="s">
        <v>47</v>
      </c>
      <c r="K19" s="206" t="s">
        <v>76</v>
      </c>
      <c r="L19" s="206" t="s">
        <v>86</v>
      </c>
      <c r="M19" s="206" t="s">
        <v>53</v>
      </c>
      <c r="N19" s="197" t="s">
        <v>68</v>
      </c>
      <c r="O19" s="194"/>
      <c r="P19" s="16">
        <v>162.5</v>
      </c>
      <c r="Q19" s="16" t="str">
        <f>"115,5294"</f>
        <v>115,5294</v>
      </c>
      <c r="R19" s="16" t="s">
        <v>3391</v>
      </c>
    </row>
    <row r="20" spans="1:18" x14ac:dyDescent="0.2">
      <c r="A20" s="43">
        <v>1</v>
      </c>
      <c r="B20" s="17" t="s">
        <v>3621</v>
      </c>
      <c r="C20" s="17" t="s">
        <v>3622</v>
      </c>
      <c r="D20" s="17" t="s">
        <v>570</v>
      </c>
      <c r="E20" s="17" t="str">
        <f>"0,6934"</f>
        <v>0,6934</v>
      </c>
      <c r="F20" s="17" t="s">
        <v>3655</v>
      </c>
      <c r="G20" s="17" t="s">
        <v>796</v>
      </c>
      <c r="H20" s="208" t="s">
        <v>93</v>
      </c>
      <c r="I20" s="208" t="s">
        <v>86</v>
      </c>
      <c r="J20" s="190" t="s">
        <v>67</v>
      </c>
      <c r="K20" s="191"/>
      <c r="L20" s="208" t="s">
        <v>45</v>
      </c>
      <c r="M20" s="208" t="s">
        <v>92</v>
      </c>
      <c r="N20" s="190" t="s">
        <v>59</v>
      </c>
      <c r="O20" s="191"/>
      <c r="P20" s="17">
        <v>107.5</v>
      </c>
      <c r="Q20" s="17" t="str">
        <f>"89,7403"</f>
        <v>89,7403</v>
      </c>
      <c r="R20" s="17" t="s">
        <v>3623</v>
      </c>
    </row>
    <row r="21" spans="1:18" x14ac:dyDescent="0.2">
      <c r="A21" s="43"/>
      <c r="B21" s="6"/>
      <c r="C21" s="6"/>
      <c r="D21" s="6"/>
      <c r="E21" s="6"/>
      <c r="F21" s="6"/>
      <c r="G21" s="6"/>
      <c r="H21" s="6"/>
      <c r="I21" s="6"/>
      <c r="J21" s="6"/>
      <c r="K21" s="6"/>
      <c r="L21" s="6"/>
      <c r="M21" s="6"/>
      <c r="N21" s="6"/>
      <c r="O21" s="6"/>
      <c r="P21" s="6"/>
      <c r="Q21" s="6"/>
      <c r="R21" s="6"/>
    </row>
    <row r="22" spans="1:18" ht="15" x14ac:dyDescent="0.2">
      <c r="A22" s="43"/>
      <c r="B22" s="294" t="s">
        <v>3624</v>
      </c>
      <c r="C22" s="294"/>
      <c r="D22" s="294"/>
      <c r="E22" s="294"/>
      <c r="F22" s="294"/>
      <c r="G22" s="294"/>
      <c r="H22" s="294"/>
      <c r="I22" s="294"/>
      <c r="J22" s="294"/>
      <c r="K22" s="294"/>
      <c r="L22" s="294"/>
      <c r="M22" s="294"/>
      <c r="N22" s="294"/>
      <c r="O22" s="294"/>
      <c r="P22" s="294"/>
      <c r="Q22" s="294"/>
      <c r="R22" s="6"/>
    </row>
    <row r="23" spans="1:18" x14ac:dyDescent="0.2">
      <c r="A23" s="43">
        <v>1</v>
      </c>
      <c r="B23" s="15" t="s">
        <v>3625</v>
      </c>
      <c r="C23" s="15" t="s">
        <v>3626</v>
      </c>
      <c r="D23" s="15" t="s">
        <v>1765</v>
      </c>
      <c r="E23" s="15" t="str">
        <f>"0,6664"</f>
        <v>0,6664</v>
      </c>
      <c r="F23" s="15" t="s">
        <v>3655</v>
      </c>
      <c r="G23" s="15" t="s">
        <v>885</v>
      </c>
      <c r="H23" s="205" t="s">
        <v>86</v>
      </c>
      <c r="I23" s="205" t="s">
        <v>53</v>
      </c>
      <c r="J23" s="205" t="s">
        <v>51</v>
      </c>
      <c r="K23" s="188"/>
      <c r="L23" s="205" t="s">
        <v>59</v>
      </c>
      <c r="M23" s="205" t="s">
        <v>93</v>
      </c>
      <c r="N23" s="205" t="s">
        <v>86</v>
      </c>
      <c r="O23" s="188"/>
      <c r="P23" s="15" t="s">
        <v>104</v>
      </c>
      <c r="Q23" s="15" t="str">
        <f>"86,6320"</f>
        <v>86,6320</v>
      </c>
      <c r="R23" s="15" t="s">
        <v>3391</v>
      </c>
    </row>
    <row r="24" spans="1:18" x14ac:dyDescent="0.2">
      <c r="A24" s="43">
        <v>1</v>
      </c>
      <c r="B24" s="16" t="s">
        <v>3627</v>
      </c>
      <c r="C24" s="16" t="s">
        <v>3628</v>
      </c>
      <c r="D24" s="16" t="s">
        <v>1261</v>
      </c>
      <c r="E24" s="16" t="str">
        <f>"0,6545"</f>
        <v>0,6545</v>
      </c>
      <c r="F24" s="16" t="s">
        <v>3655</v>
      </c>
      <c r="G24" s="16" t="s">
        <v>3185</v>
      </c>
      <c r="H24" s="197" t="s">
        <v>91</v>
      </c>
      <c r="I24" s="206" t="s">
        <v>61</v>
      </c>
      <c r="J24" s="206" t="s">
        <v>47</v>
      </c>
      <c r="K24" s="197" t="s">
        <v>76</v>
      </c>
      <c r="L24" s="206" t="s">
        <v>42</v>
      </c>
      <c r="M24" s="206" t="s">
        <v>43</v>
      </c>
      <c r="N24" s="206" t="s">
        <v>81</v>
      </c>
      <c r="O24" s="194"/>
      <c r="P24" s="16">
        <v>182.5</v>
      </c>
      <c r="Q24" s="16" t="str">
        <f>"119,4463"</f>
        <v>119,4463</v>
      </c>
      <c r="R24" s="16" t="s">
        <v>3391</v>
      </c>
    </row>
    <row r="25" spans="1:18" x14ac:dyDescent="0.2">
      <c r="A25" s="43">
        <v>2</v>
      </c>
      <c r="B25" s="16" t="s">
        <v>3629</v>
      </c>
      <c r="C25" s="16" t="s">
        <v>3630</v>
      </c>
      <c r="D25" s="16" t="s">
        <v>420</v>
      </c>
      <c r="E25" s="16" t="str">
        <f>"0,6482"</f>
        <v>0,6482</v>
      </c>
      <c r="F25" s="16" t="s">
        <v>2103</v>
      </c>
      <c r="G25" s="16" t="s">
        <v>796</v>
      </c>
      <c r="H25" s="197" t="s">
        <v>85</v>
      </c>
      <c r="I25" s="206" t="s">
        <v>85</v>
      </c>
      <c r="J25" s="197" t="s">
        <v>46</v>
      </c>
      <c r="K25" s="194"/>
      <c r="L25" s="206" t="s">
        <v>86</v>
      </c>
      <c r="M25" s="206" t="s">
        <v>67</v>
      </c>
      <c r="N25" s="206" t="s">
        <v>53</v>
      </c>
      <c r="O25" s="194"/>
      <c r="P25" s="16">
        <v>152.5</v>
      </c>
      <c r="Q25" s="16" t="str">
        <f>"98,8505"</f>
        <v>98,8505</v>
      </c>
      <c r="R25" s="16" t="s">
        <v>3391</v>
      </c>
    </row>
    <row r="26" spans="1:18" x14ac:dyDescent="0.2">
      <c r="A26" s="43">
        <v>3</v>
      </c>
      <c r="B26" s="16" t="s">
        <v>3631</v>
      </c>
      <c r="C26" s="16" t="s">
        <v>3632</v>
      </c>
      <c r="D26" s="16" t="s">
        <v>13</v>
      </c>
      <c r="E26" s="16" t="str">
        <f>"0,6497"</f>
        <v>0,6497</v>
      </c>
      <c r="F26" s="16" t="s">
        <v>863</v>
      </c>
      <c r="G26" s="16" t="s">
        <v>888</v>
      </c>
      <c r="H26" s="206" t="s">
        <v>43</v>
      </c>
      <c r="I26" s="197" t="s">
        <v>85</v>
      </c>
      <c r="J26" s="206" t="s">
        <v>85</v>
      </c>
      <c r="K26" s="194"/>
      <c r="L26" s="206" t="s">
        <v>59</v>
      </c>
      <c r="M26" s="206" t="s">
        <v>93</v>
      </c>
      <c r="N26" s="206" t="s">
        <v>75</v>
      </c>
      <c r="O26" s="194"/>
      <c r="P26" s="16" t="s">
        <v>126</v>
      </c>
      <c r="Q26" s="16" t="str">
        <f>"94,2137"</f>
        <v>94,2137</v>
      </c>
      <c r="R26" s="16" t="s">
        <v>3391</v>
      </c>
    </row>
    <row r="27" spans="1:18" x14ac:dyDescent="0.2">
      <c r="A27" s="43">
        <v>4</v>
      </c>
      <c r="B27" s="16" t="s">
        <v>3633</v>
      </c>
      <c r="C27" s="16" t="s">
        <v>3634</v>
      </c>
      <c r="D27" s="16" t="s">
        <v>1522</v>
      </c>
      <c r="E27" s="16" t="str">
        <f>"0,6567"</f>
        <v>0,6567</v>
      </c>
      <c r="F27" s="16" t="s">
        <v>3655</v>
      </c>
      <c r="G27" s="16" t="s">
        <v>886</v>
      </c>
      <c r="H27" s="206" t="s">
        <v>42</v>
      </c>
      <c r="I27" s="197" t="s">
        <v>81</v>
      </c>
      <c r="J27" s="206" t="s">
        <v>81</v>
      </c>
      <c r="K27" s="194"/>
      <c r="L27" s="206" t="s">
        <v>60</v>
      </c>
      <c r="M27" s="197" t="s">
        <v>75</v>
      </c>
      <c r="N27" s="197" t="s">
        <v>75</v>
      </c>
      <c r="O27" s="194"/>
      <c r="P27" s="16">
        <v>137.5</v>
      </c>
      <c r="Q27" s="16" t="str">
        <f>"90,2963"</f>
        <v>90,2963</v>
      </c>
      <c r="R27" s="16" t="s">
        <v>2056</v>
      </c>
    </row>
    <row r="28" spans="1:18" x14ac:dyDescent="0.2">
      <c r="A28" s="43">
        <v>5</v>
      </c>
      <c r="B28" s="17" t="s">
        <v>3635</v>
      </c>
      <c r="C28" s="17" t="s">
        <v>1807</v>
      </c>
      <c r="D28" s="17" t="s">
        <v>201</v>
      </c>
      <c r="E28" s="17" t="str">
        <f>"0,6451"</f>
        <v>0,6451</v>
      </c>
      <c r="F28" s="17" t="s">
        <v>3655</v>
      </c>
      <c r="G28" s="17" t="s">
        <v>796</v>
      </c>
      <c r="H28" s="190" t="s">
        <v>60</v>
      </c>
      <c r="I28" s="191"/>
      <c r="J28" s="191"/>
      <c r="K28" s="191"/>
      <c r="L28" s="191"/>
      <c r="M28" s="191"/>
      <c r="N28" s="191"/>
      <c r="O28" s="191"/>
      <c r="P28" s="17">
        <v>0</v>
      </c>
      <c r="Q28" s="17" t="str">
        <f>"0,0000"</f>
        <v>0,0000</v>
      </c>
      <c r="R28" s="17" t="s">
        <v>3391</v>
      </c>
    </row>
    <row r="29" spans="1:18" x14ac:dyDescent="0.2">
      <c r="A29" s="43"/>
      <c r="B29" s="6"/>
      <c r="C29" s="6"/>
      <c r="D29" s="6"/>
      <c r="E29" s="6"/>
      <c r="F29" s="6"/>
      <c r="G29" s="6"/>
      <c r="H29" s="6"/>
      <c r="I29" s="6"/>
      <c r="J29" s="6"/>
      <c r="K29" s="6"/>
      <c r="L29" s="6"/>
      <c r="M29" s="6"/>
      <c r="N29" s="6"/>
      <c r="O29" s="6"/>
      <c r="P29" s="6"/>
      <c r="Q29" s="6"/>
      <c r="R29" s="6"/>
    </row>
    <row r="30" spans="1:18" ht="15" x14ac:dyDescent="0.2">
      <c r="A30" s="43"/>
      <c r="B30" s="294" t="s">
        <v>3435</v>
      </c>
      <c r="C30" s="294"/>
      <c r="D30" s="294"/>
      <c r="E30" s="294"/>
      <c r="F30" s="294"/>
      <c r="G30" s="294"/>
      <c r="H30" s="294"/>
      <c r="I30" s="294"/>
      <c r="J30" s="294"/>
      <c r="K30" s="294"/>
      <c r="L30" s="294"/>
      <c r="M30" s="294"/>
      <c r="N30" s="294"/>
      <c r="O30" s="294"/>
      <c r="P30" s="294"/>
      <c r="Q30" s="294"/>
      <c r="R30" s="6"/>
    </row>
    <row r="31" spans="1:18" x14ac:dyDescent="0.2">
      <c r="A31" s="43">
        <v>1</v>
      </c>
      <c r="B31" s="15" t="s">
        <v>440</v>
      </c>
      <c r="C31" s="15" t="s">
        <v>441</v>
      </c>
      <c r="D31" s="15" t="s">
        <v>566</v>
      </c>
      <c r="E31" s="15" t="str">
        <f>"0,6169"</f>
        <v>0,6169</v>
      </c>
      <c r="F31" s="15" t="s">
        <v>861</v>
      </c>
      <c r="G31" s="15" t="s">
        <v>883</v>
      </c>
      <c r="H31" s="205" t="s">
        <v>42</v>
      </c>
      <c r="I31" s="205" t="s">
        <v>46</v>
      </c>
      <c r="J31" s="205" t="s">
        <v>61</v>
      </c>
      <c r="K31" s="188"/>
      <c r="L31" s="205" t="s">
        <v>45</v>
      </c>
      <c r="M31" s="205" t="s">
        <v>59</v>
      </c>
      <c r="N31" s="205" t="s">
        <v>60</v>
      </c>
      <c r="O31" s="188"/>
      <c r="P31" s="15">
        <v>147.5</v>
      </c>
      <c r="Q31" s="15" t="str">
        <f>"90,9854"</f>
        <v>90,9854</v>
      </c>
      <c r="R31" s="15" t="s">
        <v>764</v>
      </c>
    </row>
    <row r="32" spans="1:18" x14ac:dyDescent="0.2">
      <c r="A32" s="43">
        <v>2</v>
      </c>
      <c r="B32" s="16" t="s">
        <v>3636</v>
      </c>
      <c r="C32" s="16" t="s">
        <v>3637</v>
      </c>
      <c r="D32" s="16" t="s">
        <v>3638</v>
      </c>
      <c r="E32" s="16" t="str">
        <f>"0,6431"</f>
        <v>0,6431</v>
      </c>
      <c r="F32" s="16" t="s">
        <v>3655</v>
      </c>
      <c r="G32" s="16" t="s">
        <v>835</v>
      </c>
      <c r="H32" s="206" t="s">
        <v>59</v>
      </c>
      <c r="I32" s="206" t="s">
        <v>93</v>
      </c>
      <c r="J32" s="197" t="s">
        <v>86</v>
      </c>
      <c r="K32" s="194"/>
      <c r="L32" s="206" t="s">
        <v>59</v>
      </c>
      <c r="M32" s="206" t="s">
        <v>93</v>
      </c>
      <c r="N32" s="206" t="s">
        <v>86</v>
      </c>
      <c r="O32" s="194"/>
      <c r="P32" s="16" t="s">
        <v>70</v>
      </c>
      <c r="Q32" s="16" t="str">
        <f>"73,9565"</f>
        <v>73,9565</v>
      </c>
      <c r="R32" s="16" t="s">
        <v>1189</v>
      </c>
    </row>
    <row r="33" spans="1:18" x14ac:dyDescent="0.2">
      <c r="A33" s="43">
        <v>1</v>
      </c>
      <c r="B33" s="17" t="s">
        <v>27</v>
      </c>
      <c r="C33" s="17" t="s">
        <v>28</v>
      </c>
      <c r="D33" s="17" t="s">
        <v>29</v>
      </c>
      <c r="E33" s="17" t="str">
        <f>"0,6137"</f>
        <v>0,6137</v>
      </c>
      <c r="F33" s="17" t="s">
        <v>3181</v>
      </c>
      <c r="G33" s="17" t="s">
        <v>3192</v>
      </c>
      <c r="H33" s="208" t="s">
        <v>69</v>
      </c>
      <c r="I33" s="190" t="s">
        <v>71</v>
      </c>
      <c r="J33" s="208" t="s">
        <v>71</v>
      </c>
      <c r="K33" s="191"/>
      <c r="L33" s="208" t="s">
        <v>86</v>
      </c>
      <c r="M33" s="208" t="s">
        <v>53</v>
      </c>
      <c r="N33" s="208" t="s">
        <v>68</v>
      </c>
      <c r="O33" s="191"/>
      <c r="P33" s="17">
        <v>187.5</v>
      </c>
      <c r="Q33" s="17" t="str">
        <f>"115,0781"</f>
        <v>115,0781</v>
      </c>
      <c r="R33" s="17" t="s">
        <v>31</v>
      </c>
    </row>
    <row r="34" spans="1:18" x14ac:dyDescent="0.2">
      <c r="A34" s="43"/>
      <c r="B34" s="6"/>
      <c r="C34" s="6"/>
      <c r="D34" s="6"/>
      <c r="E34" s="6"/>
      <c r="F34" s="6"/>
      <c r="G34" s="6"/>
      <c r="H34" s="6"/>
      <c r="I34" s="6"/>
      <c r="J34" s="6"/>
      <c r="K34" s="6"/>
      <c r="L34" s="6"/>
      <c r="M34" s="6"/>
      <c r="N34" s="6"/>
      <c r="O34" s="6"/>
      <c r="P34" s="6"/>
      <c r="Q34" s="6"/>
      <c r="R34" s="6"/>
    </row>
    <row r="35" spans="1:18" ht="15" x14ac:dyDescent="0.2">
      <c r="A35" s="43"/>
      <c r="B35" s="294" t="s">
        <v>3466</v>
      </c>
      <c r="C35" s="294"/>
      <c r="D35" s="294"/>
      <c r="E35" s="294"/>
      <c r="F35" s="294"/>
      <c r="G35" s="294"/>
      <c r="H35" s="294"/>
      <c r="I35" s="294"/>
      <c r="J35" s="294"/>
      <c r="K35" s="294"/>
      <c r="L35" s="294"/>
      <c r="M35" s="294"/>
      <c r="N35" s="294"/>
      <c r="O35" s="294"/>
      <c r="P35" s="294"/>
      <c r="Q35" s="294"/>
      <c r="R35" s="6"/>
    </row>
    <row r="36" spans="1:18" x14ac:dyDescent="0.2">
      <c r="A36" s="43">
        <v>1</v>
      </c>
      <c r="B36" s="15" t="s">
        <v>3639</v>
      </c>
      <c r="C36" s="15" t="s">
        <v>3640</v>
      </c>
      <c r="D36" s="15" t="s">
        <v>957</v>
      </c>
      <c r="E36" s="15" t="str">
        <f>"0,5846"</f>
        <v>0,5846</v>
      </c>
      <c r="F36" s="15" t="s">
        <v>855</v>
      </c>
      <c r="G36" s="15" t="s">
        <v>891</v>
      </c>
      <c r="H36" s="205" t="s">
        <v>46</v>
      </c>
      <c r="I36" s="205" t="s">
        <v>61</v>
      </c>
      <c r="J36" s="192" t="s">
        <v>76</v>
      </c>
      <c r="K36" s="188"/>
      <c r="L36" s="205" t="s">
        <v>86</v>
      </c>
      <c r="M36" s="192" t="s">
        <v>53</v>
      </c>
      <c r="N36" s="192" t="s">
        <v>53</v>
      </c>
      <c r="O36" s="188"/>
      <c r="P36" s="15" t="s">
        <v>25</v>
      </c>
      <c r="Q36" s="15" t="str">
        <f>"90,6053"</f>
        <v>90,6053</v>
      </c>
      <c r="R36" s="15" t="s">
        <v>2078</v>
      </c>
    </row>
    <row r="37" spans="1:18" x14ac:dyDescent="0.2">
      <c r="A37" s="43">
        <v>2</v>
      </c>
      <c r="B37" s="16" t="s">
        <v>3641</v>
      </c>
      <c r="C37" s="16" t="s">
        <v>3113</v>
      </c>
      <c r="D37" s="16" t="s">
        <v>3114</v>
      </c>
      <c r="E37" s="16" t="str">
        <f>"0,6033"</f>
        <v>0,6033</v>
      </c>
      <c r="F37" s="16" t="s">
        <v>861</v>
      </c>
      <c r="G37" s="16" t="s">
        <v>883</v>
      </c>
      <c r="H37" s="206" t="s">
        <v>42</v>
      </c>
      <c r="I37" s="206" t="s">
        <v>46</v>
      </c>
      <c r="J37" s="197" t="s">
        <v>91</v>
      </c>
      <c r="K37" s="194"/>
      <c r="L37" s="206" t="s">
        <v>45</v>
      </c>
      <c r="M37" s="206" t="s">
        <v>59</v>
      </c>
      <c r="N37" s="206" t="s">
        <v>93</v>
      </c>
      <c r="O37" s="194"/>
      <c r="P37" s="16" t="s">
        <v>126</v>
      </c>
      <c r="Q37" s="16" t="str">
        <f>"87,4785"</f>
        <v>87,4785</v>
      </c>
      <c r="R37" s="16" t="s">
        <v>3391</v>
      </c>
    </row>
    <row r="38" spans="1:18" x14ac:dyDescent="0.2">
      <c r="A38" s="43">
        <v>1</v>
      </c>
      <c r="B38" s="16" t="s">
        <v>3642</v>
      </c>
      <c r="C38" s="16" t="s">
        <v>3643</v>
      </c>
      <c r="D38" s="16" t="s">
        <v>3114</v>
      </c>
      <c r="E38" s="16" t="str">
        <f>"0,6033"</f>
        <v>0,6033</v>
      </c>
      <c r="F38" s="16" t="s">
        <v>861</v>
      </c>
      <c r="G38" s="16" t="s">
        <v>883</v>
      </c>
      <c r="H38" s="206" t="s">
        <v>42</v>
      </c>
      <c r="I38" s="206" t="s">
        <v>46</v>
      </c>
      <c r="J38" s="197" t="s">
        <v>91</v>
      </c>
      <c r="K38" s="194"/>
      <c r="L38" s="206" t="s">
        <v>45</v>
      </c>
      <c r="M38" s="206" t="s">
        <v>59</v>
      </c>
      <c r="N38" s="206" t="s">
        <v>93</v>
      </c>
      <c r="O38" s="194"/>
      <c r="P38" s="16" t="s">
        <v>126</v>
      </c>
      <c r="Q38" s="16" t="str">
        <f>"89,2281"</f>
        <v>89,2281</v>
      </c>
      <c r="R38" s="16" t="s">
        <v>3391</v>
      </c>
    </row>
    <row r="39" spans="1:18" x14ac:dyDescent="0.2">
      <c r="A39" s="43">
        <v>1</v>
      </c>
      <c r="B39" s="17" t="s">
        <v>1881</v>
      </c>
      <c r="C39" s="17" t="s">
        <v>3644</v>
      </c>
      <c r="D39" s="17" t="s">
        <v>1883</v>
      </c>
      <c r="E39" s="17" t="str">
        <f>"0,5949"</f>
        <v>0,5949</v>
      </c>
      <c r="F39" s="17" t="s">
        <v>3655</v>
      </c>
      <c r="G39" s="17" t="s">
        <v>884</v>
      </c>
      <c r="H39" s="208" t="s">
        <v>51</v>
      </c>
      <c r="I39" s="208" t="s">
        <v>41</v>
      </c>
      <c r="J39" s="190" t="s">
        <v>42</v>
      </c>
      <c r="K39" s="191"/>
      <c r="L39" s="208" t="s">
        <v>86</v>
      </c>
      <c r="M39" s="190" t="s">
        <v>53</v>
      </c>
      <c r="N39" s="190" t="s">
        <v>53</v>
      </c>
      <c r="O39" s="191"/>
      <c r="P39" s="17" t="s">
        <v>23</v>
      </c>
      <c r="Q39" s="17" t="str">
        <f>"126,5709"</f>
        <v>126,5709</v>
      </c>
      <c r="R39" s="17" t="s">
        <v>3391</v>
      </c>
    </row>
    <row r="40" spans="1:18" x14ac:dyDescent="0.2">
      <c r="A40" s="43"/>
      <c r="B40" s="6"/>
      <c r="C40" s="6"/>
      <c r="D40" s="6"/>
      <c r="E40" s="6"/>
      <c r="F40" s="6"/>
      <c r="G40" s="6"/>
      <c r="H40" s="6"/>
      <c r="I40" s="6"/>
      <c r="J40" s="6"/>
      <c r="K40" s="6"/>
      <c r="L40" s="6"/>
      <c r="M40" s="6"/>
      <c r="N40" s="6"/>
      <c r="O40" s="6"/>
      <c r="P40" s="6"/>
      <c r="Q40" s="6"/>
      <c r="R40" s="6"/>
    </row>
    <row r="41" spans="1:18" ht="15" x14ac:dyDescent="0.2">
      <c r="A41" s="43"/>
      <c r="B41" s="294" t="s">
        <v>3474</v>
      </c>
      <c r="C41" s="294"/>
      <c r="D41" s="294"/>
      <c r="E41" s="294"/>
      <c r="F41" s="294"/>
      <c r="G41" s="294"/>
      <c r="H41" s="294"/>
      <c r="I41" s="294"/>
      <c r="J41" s="294"/>
      <c r="K41" s="294"/>
      <c r="L41" s="294"/>
      <c r="M41" s="294"/>
      <c r="N41" s="294"/>
      <c r="O41" s="294"/>
      <c r="P41" s="294"/>
      <c r="Q41" s="294"/>
      <c r="R41" s="6"/>
    </row>
    <row r="42" spans="1:18" x14ac:dyDescent="0.2">
      <c r="A42" s="43">
        <v>1</v>
      </c>
      <c r="B42" s="15" t="s">
        <v>3645</v>
      </c>
      <c r="C42" s="15" t="s">
        <v>3646</v>
      </c>
      <c r="D42" s="15" t="s">
        <v>1258</v>
      </c>
      <c r="E42" s="15" t="str">
        <f>"0,5705"</f>
        <v>0,5705</v>
      </c>
      <c r="F42" s="15" t="s">
        <v>3655</v>
      </c>
      <c r="G42" s="15" t="s">
        <v>878</v>
      </c>
      <c r="H42" s="205" t="s">
        <v>69</v>
      </c>
      <c r="I42" s="205" t="s">
        <v>71</v>
      </c>
      <c r="J42" s="205" t="s">
        <v>112</v>
      </c>
      <c r="K42" s="192" t="s">
        <v>104</v>
      </c>
      <c r="L42" s="205" t="s">
        <v>81</v>
      </c>
      <c r="M42" s="192" t="s">
        <v>46</v>
      </c>
      <c r="N42" s="192" t="s">
        <v>46</v>
      </c>
      <c r="O42" s="188"/>
      <c r="P42" s="15" t="s">
        <v>143</v>
      </c>
      <c r="Q42" s="15" t="str">
        <f>"119,8050"</f>
        <v>119,8050</v>
      </c>
      <c r="R42" s="15" t="s">
        <v>3391</v>
      </c>
    </row>
    <row r="43" spans="1:18" x14ac:dyDescent="0.2">
      <c r="A43" s="43">
        <v>2</v>
      </c>
      <c r="B43" s="17" t="s">
        <v>3647</v>
      </c>
      <c r="C43" s="17" t="s">
        <v>3648</v>
      </c>
      <c r="D43" s="17" t="s">
        <v>3142</v>
      </c>
      <c r="E43" s="17" t="str">
        <f>"0,5738"</f>
        <v>0,5738</v>
      </c>
      <c r="F43" s="17" t="s">
        <v>857</v>
      </c>
      <c r="G43" s="17" t="s">
        <v>3657</v>
      </c>
      <c r="H43" s="208" t="s">
        <v>81</v>
      </c>
      <c r="I43" s="190" t="s">
        <v>91</v>
      </c>
      <c r="J43" s="208" t="s">
        <v>91</v>
      </c>
      <c r="K43" s="191"/>
      <c r="L43" s="208" t="s">
        <v>68</v>
      </c>
      <c r="M43" s="191"/>
      <c r="N43" s="191"/>
      <c r="O43" s="191"/>
      <c r="P43" s="17" t="s">
        <v>127</v>
      </c>
      <c r="Q43" s="17" t="str">
        <f>"91,8080"</f>
        <v>91,8080</v>
      </c>
      <c r="R43" s="17" t="s">
        <v>3391</v>
      </c>
    </row>
    <row r="44" spans="1:18" x14ac:dyDescent="0.2">
      <c r="A44" s="43"/>
      <c r="B44" s="6"/>
      <c r="C44" s="6"/>
      <c r="D44" s="6"/>
      <c r="E44" s="6"/>
      <c r="F44" s="6"/>
      <c r="G44" s="6"/>
      <c r="H44" s="6"/>
      <c r="I44" s="6"/>
      <c r="J44" s="6"/>
      <c r="K44" s="6"/>
      <c r="L44" s="6"/>
      <c r="M44" s="6"/>
      <c r="N44" s="6"/>
      <c r="O44" s="6"/>
      <c r="P44" s="6"/>
      <c r="Q44" s="6"/>
      <c r="R44" s="6"/>
    </row>
    <row r="45" spans="1:18" ht="15" x14ac:dyDescent="0.2">
      <c r="A45" s="43"/>
      <c r="B45" s="294" t="s">
        <v>3485</v>
      </c>
      <c r="C45" s="294"/>
      <c r="D45" s="294"/>
      <c r="E45" s="294"/>
      <c r="F45" s="294"/>
      <c r="G45" s="294"/>
      <c r="H45" s="294"/>
      <c r="I45" s="294"/>
      <c r="J45" s="294"/>
      <c r="K45" s="294"/>
      <c r="L45" s="294"/>
      <c r="M45" s="294"/>
      <c r="N45" s="294"/>
      <c r="O45" s="294"/>
      <c r="P45" s="294"/>
      <c r="Q45" s="294"/>
      <c r="R45" s="6"/>
    </row>
    <row r="46" spans="1:18" x14ac:dyDescent="0.2">
      <c r="A46" s="43">
        <v>1</v>
      </c>
      <c r="B46" s="7" t="s">
        <v>2003</v>
      </c>
      <c r="C46" s="7" t="s">
        <v>3649</v>
      </c>
      <c r="D46" s="7" t="s">
        <v>1923</v>
      </c>
      <c r="E46" s="7" t="str">
        <f>"0,5490"</f>
        <v>0,5490</v>
      </c>
      <c r="F46" s="7" t="s">
        <v>266</v>
      </c>
      <c r="G46" s="7" t="s">
        <v>3237</v>
      </c>
      <c r="H46" s="204" t="s">
        <v>97</v>
      </c>
      <c r="I46" s="196"/>
      <c r="J46" s="196"/>
      <c r="K46" s="196"/>
      <c r="L46" s="204" t="s">
        <v>86</v>
      </c>
      <c r="M46" s="198" t="s">
        <v>51</v>
      </c>
      <c r="N46" s="196"/>
      <c r="O46" s="196"/>
      <c r="P46" s="7" t="s">
        <v>141</v>
      </c>
      <c r="Q46" s="7" t="str">
        <f>"90,5768"</f>
        <v>90,5768</v>
      </c>
      <c r="R46" s="7" t="s">
        <v>1924</v>
      </c>
    </row>
    <row r="47" spans="1:18" x14ac:dyDescent="0.2">
      <c r="B47" s="6"/>
      <c r="C47" s="6"/>
      <c r="D47" s="6"/>
      <c r="E47" s="6"/>
      <c r="F47" s="6"/>
      <c r="G47" s="6"/>
      <c r="H47" s="6"/>
      <c r="I47" s="6"/>
      <c r="J47" s="6"/>
      <c r="K47" s="6"/>
      <c r="L47" s="6"/>
      <c r="M47" s="6"/>
      <c r="N47" s="6"/>
      <c r="O47" s="6"/>
      <c r="P47" s="6"/>
      <c r="Q47" s="6"/>
      <c r="R47" s="6"/>
    </row>
    <row r="48" spans="1:18" ht="18" x14ac:dyDescent="0.25">
      <c r="B48" s="8" t="s">
        <v>4022</v>
      </c>
      <c r="C48" s="8"/>
      <c r="D48" s="6"/>
      <c r="E48" s="6"/>
      <c r="F48" s="6"/>
      <c r="G48" s="6"/>
      <c r="H48" s="6"/>
      <c r="I48" s="6"/>
      <c r="J48" s="6"/>
      <c r="K48" s="6"/>
      <c r="L48" s="6"/>
      <c r="M48" s="6"/>
      <c r="N48" s="6"/>
      <c r="O48" s="6"/>
      <c r="P48" s="6"/>
      <c r="Q48" s="6"/>
      <c r="R48" s="6"/>
    </row>
    <row r="49" spans="1:18" ht="15" x14ac:dyDescent="0.2">
      <c r="B49" s="9" t="s">
        <v>3499</v>
      </c>
      <c r="C49" s="9"/>
      <c r="D49" s="6"/>
      <c r="E49" s="6"/>
      <c r="F49" s="6"/>
      <c r="G49" s="6"/>
      <c r="H49" s="6"/>
      <c r="I49" s="6"/>
      <c r="J49" s="6"/>
      <c r="K49" s="6"/>
      <c r="L49" s="6"/>
      <c r="M49" s="6"/>
      <c r="N49" s="6"/>
      <c r="O49" s="6"/>
      <c r="P49" s="6"/>
      <c r="Q49" s="6"/>
      <c r="R49" s="6"/>
    </row>
    <row r="50" spans="1:18" ht="14.25" x14ac:dyDescent="0.2">
      <c r="B50" s="11"/>
      <c r="C50" s="12" t="s">
        <v>18</v>
      </c>
      <c r="D50" s="6"/>
      <c r="E50" s="6"/>
      <c r="F50" s="6"/>
      <c r="G50" s="6"/>
      <c r="L50" s="6"/>
      <c r="M50" s="6"/>
      <c r="N50" s="6"/>
      <c r="O50" s="6"/>
      <c r="P50" s="6"/>
      <c r="Q50" s="6"/>
      <c r="R50" s="6"/>
    </row>
    <row r="51" spans="1:18" ht="15" x14ac:dyDescent="0.2">
      <c r="B51" s="13" t="s">
        <v>0</v>
      </c>
      <c r="C51" s="13" t="s">
        <v>19</v>
      </c>
      <c r="D51" s="13" t="s">
        <v>20</v>
      </c>
      <c r="E51" s="13" t="s">
        <v>3593</v>
      </c>
      <c r="F51" s="13" t="s">
        <v>2675</v>
      </c>
      <c r="G51" s="6"/>
      <c r="H51" s="6"/>
      <c r="I51" s="6"/>
      <c r="J51" s="6"/>
      <c r="K51" s="6"/>
      <c r="L51" s="6"/>
      <c r="M51" s="6"/>
      <c r="N51" s="6"/>
      <c r="O51" s="6"/>
      <c r="P51" s="6"/>
      <c r="Q51" s="6"/>
      <c r="R51" s="6"/>
    </row>
    <row r="52" spans="1:18" x14ac:dyDescent="0.2">
      <c r="A52" s="43">
        <v>1</v>
      </c>
      <c r="B52" s="10" t="s">
        <v>3650</v>
      </c>
      <c r="C52" s="6" t="s">
        <v>18</v>
      </c>
      <c r="D52" s="18" t="s">
        <v>306</v>
      </c>
      <c r="E52" s="18" t="s">
        <v>143</v>
      </c>
      <c r="F52" s="214" t="s">
        <v>3651</v>
      </c>
      <c r="G52" s="6"/>
      <c r="H52" s="6"/>
      <c r="I52" s="6"/>
      <c r="J52" s="6"/>
      <c r="K52" s="6"/>
      <c r="L52" s="6"/>
      <c r="M52" s="6"/>
      <c r="N52" s="6"/>
      <c r="O52" s="6"/>
      <c r="P52" s="6"/>
      <c r="Q52" s="6"/>
      <c r="R52" s="6"/>
    </row>
    <row r="53" spans="1:18" x14ac:dyDescent="0.2">
      <c r="A53" s="43">
        <v>2</v>
      </c>
      <c r="B53" s="10" t="s">
        <v>3627</v>
      </c>
      <c r="C53" s="6" t="s">
        <v>18</v>
      </c>
      <c r="D53" s="18" t="s">
        <v>21</v>
      </c>
      <c r="E53" s="18" t="s">
        <v>206</v>
      </c>
      <c r="F53" s="214" t="s">
        <v>3652</v>
      </c>
      <c r="G53" s="6"/>
      <c r="H53" s="6"/>
      <c r="I53" s="6"/>
      <c r="J53" s="6"/>
      <c r="K53" s="6"/>
      <c r="L53" s="6"/>
      <c r="M53" s="6"/>
      <c r="N53" s="6"/>
      <c r="O53" s="6"/>
      <c r="P53" s="6"/>
      <c r="Q53" s="6"/>
      <c r="R53" s="6"/>
    </row>
    <row r="54" spans="1:18" x14ac:dyDescent="0.2">
      <c r="A54" s="43">
        <v>3</v>
      </c>
      <c r="B54" s="10" t="s">
        <v>3618</v>
      </c>
      <c r="C54" s="6" t="s">
        <v>18</v>
      </c>
      <c r="D54" s="18" t="s">
        <v>291</v>
      </c>
      <c r="E54" s="18" t="s">
        <v>155</v>
      </c>
      <c r="F54" s="214" t="s">
        <v>3653</v>
      </c>
      <c r="G54" s="6"/>
      <c r="H54" s="6"/>
      <c r="I54" s="6"/>
      <c r="J54" s="6"/>
      <c r="K54" s="6"/>
      <c r="L54" s="6"/>
      <c r="M54" s="6"/>
      <c r="N54" s="6"/>
      <c r="O54" s="6"/>
      <c r="P54" s="6"/>
      <c r="Q54" s="6"/>
      <c r="R54" s="6"/>
    </row>
    <row r="55" spans="1:18" x14ac:dyDescent="0.2">
      <c r="B55" s="6"/>
      <c r="C55" s="6"/>
      <c r="D55" s="18"/>
      <c r="E55" s="18"/>
      <c r="F55" s="18"/>
      <c r="G55" s="6"/>
      <c r="H55" s="6"/>
      <c r="I55" s="6"/>
      <c r="J55" s="6"/>
      <c r="K55" s="6"/>
      <c r="L55" s="6"/>
      <c r="M55" s="6"/>
      <c r="N55" s="6"/>
      <c r="O55" s="6"/>
      <c r="P55" s="6"/>
      <c r="Q55" s="6"/>
      <c r="R55" s="6"/>
    </row>
    <row r="56" spans="1:18" x14ac:dyDescent="0.2">
      <c r="B56" s="6"/>
      <c r="C56" s="6"/>
      <c r="D56" s="6"/>
      <c r="E56" s="6"/>
      <c r="F56" s="6"/>
      <c r="G56" s="6"/>
      <c r="H56" s="6"/>
      <c r="I56" s="6"/>
      <c r="J56" s="6"/>
      <c r="K56" s="6"/>
      <c r="L56" s="6"/>
      <c r="M56" s="6"/>
      <c r="N56" s="6"/>
      <c r="O56" s="6"/>
      <c r="P56" s="6"/>
      <c r="Q56" s="6"/>
      <c r="R56" s="6"/>
    </row>
    <row r="57" spans="1:18" x14ac:dyDescent="0.2">
      <c r="B57" s="6"/>
      <c r="C57" s="6"/>
      <c r="D57" s="6"/>
      <c r="E57" s="6"/>
      <c r="F57" s="6"/>
      <c r="G57" s="6"/>
      <c r="H57" s="6"/>
      <c r="I57" s="6"/>
      <c r="J57" s="6"/>
      <c r="K57" s="6"/>
      <c r="L57" s="6"/>
      <c r="M57" s="6"/>
      <c r="N57" s="6"/>
      <c r="O57" s="6"/>
      <c r="P57" s="6"/>
      <c r="Q57" s="6"/>
      <c r="R57" s="6"/>
    </row>
    <row r="58" spans="1:18" x14ac:dyDescent="0.2">
      <c r="B58" s="6"/>
      <c r="C58" s="6"/>
      <c r="D58" s="6"/>
      <c r="E58" s="6"/>
      <c r="F58" s="6"/>
      <c r="G58" s="6"/>
      <c r="H58" s="6"/>
      <c r="I58" s="6"/>
      <c r="J58" s="6"/>
      <c r="K58" s="6"/>
      <c r="L58" s="6"/>
      <c r="M58" s="6"/>
      <c r="N58" s="6"/>
      <c r="O58" s="6"/>
      <c r="P58" s="6"/>
      <c r="Q58" s="6"/>
      <c r="R58" s="6"/>
    </row>
    <row r="59" spans="1:18" x14ac:dyDescent="0.2">
      <c r="B59" s="6"/>
      <c r="C59" s="6"/>
      <c r="D59" s="6"/>
      <c r="E59" s="6"/>
      <c r="F59" s="6"/>
      <c r="G59" s="6"/>
      <c r="H59" s="6"/>
      <c r="I59" s="6"/>
      <c r="J59" s="6"/>
      <c r="K59" s="6"/>
      <c r="L59" s="6"/>
      <c r="M59" s="6"/>
      <c r="N59" s="6"/>
      <c r="O59" s="6"/>
      <c r="P59" s="6"/>
      <c r="Q59" s="6"/>
      <c r="R59" s="6"/>
    </row>
    <row r="60" spans="1:18" x14ac:dyDescent="0.2">
      <c r="B60" s="6"/>
      <c r="C60" s="6"/>
      <c r="D60" s="6"/>
      <c r="E60" s="6"/>
      <c r="F60" s="6"/>
      <c r="G60" s="6"/>
      <c r="H60" s="6"/>
      <c r="I60" s="6"/>
      <c r="J60" s="6"/>
      <c r="K60" s="6"/>
      <c r="L60" s="6"/>
      <c r="M60" s="6"/>
      <c r="N60" s="6"/>
      <c r="O60" s="6"/>
      <c r="P60" s="6"/>
      <c r="Q60" s="6"/>
      <c r="R60" s="6"/>
    </row>
    <row r="61" spans="1:18" x14ac:dyDescent="0.2">
      <c r="B61" s="6"/>
      <c r="C61" s="6"/>
      <c r="D61" s="6"/>
      <c r="E61" s="6"/>
      <c r="F61" s="6"/>
      <c r="G61" s="6"/>
      <c r="H61" s="6"/>
      <c r="I61" s="6"/>
      <c r="J61" s="6"/>
      <c r="K61" s="6"/>
      <c r="L61" s="6"/>
      <c r="M61" s="6"/>
      <c r="N61" s="6"/>
      <c r="O61" s="6"/>
      <c r="P61" s="6"/>
      <c r="Q61" s="6"/>
      <c r="R61" s="6"/>
    </row>
    <row r="62" spans="1:18" x14ac:dyDescent="0.2">
      <c r="B62" s="6"/>
      <c r="C62" s="6"/>
      <c r="D62" s="6"/>
      <c r="E62" s="6"/>
      <c r="F62" s="6"/>
      <c r="G62" s="6"/>
      <c r="H62" s="6"/>
      <c r="I62" s="6"/>
      <c r="J62" s="6"/>
      <c r="K62" s="6"/>
      <c r="L62" s="6"/>
      <c r="M62" s="6"/>
      <c r="N62" s="6"/>
      <c r="O62" s="6"/>
      <c r="P62" s="6"/>
      <c r="Q62" s="6"/>
      <c r="R62" s="6"/>
    </row>
  </sheetData>
  <mergeCells count="24">
    <mergeCell ref="A1:R1"/>
    <mergeCell ref="A2:R2"/>
    <mergeCell ref="A3:R3"/>
    <mergeCell ref="B45:Q45"/>
    <mergeCell ref="A4:A5"/>
    <mergeCell ref="B12:Q12"/>
    <mergeCell ref="B15:Q15"/>
    <mergeCell ref="B22:Q22"/>
    <mergeCell ref="B30:Q30"/>
    <mergeCell ref="B35:Q35"/>
    <mergeCell ref="B41:Q41"/>
    <mergeCell ref="P4:P5"/>
    <mergeCell ref="Q4:Q5"/>
    <mergeCell ref="R4:R5"/>
    <mergeCell ref="B6:Q6"/>
    <mergeCell ref="L4:O4"/>
    <mergeCell ref="B9:Q9"/>
    <mergeCell ref="B4:B5"/>
    <mergeCell ref="C4:C5"/>
    <mergeCell ref="D4:D5"/>
    <mergeCell ref="E4:E5"/>
    <mergeCell ref="F4:F5"/>
    <mergeCell ref="G4:G5"/>
    <mergeCell ref="H4:K4"/>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opLeftCell="C2" workbookViewId="0">
      <selection activeCell="I21" sqref="I21"/>
    </sheetView>
  </sheetViews>
  <sheetFormatPr defaultColWidth="8.7109375" defaultRowHeight="12.75" x14ac:dyDescent="0.2"/>
  <cols>
    <col min="2" max="2" width="21.85546875" customWidth="1"/>
    <col min="3" max="3" width="32.28515625" customWidth="1"/>
    <col min="4" max="4" width="9.7109375" customWidth="1"/>
    <col min="6" max="6" width="23" customWidth="1"/>
    <col min="7" max="7" width="39.85546875" customWidth="1"/>
    <col min="8" max="8" width="7.28515625" customWidth="1"/>
    <col min="9" max="9" width="7.5703125" customWidth="1"/>
    <col min="10" max="10" width="8.140625" customWidth="1"/>
    <col min="11" max="12" width="8" customWidth="1"/>
    <col min="13" max="14" width="8.42578125" customWidth="1"/>
    <col min="15" max="15" width="7.5703125" customWidth="1"/>
    <col min="18" max="18" width="14.5703125" customWidth="1"/>
  </cols>
  <sheetData>
    <row r="1" spans="1:18" ht="30" customHeight="1" x14ac:dyDescent="0.2">
      <c r="A1" s="332" t="s">
        <v>3654</v>
      </c>
      <c r="B1" s="333"/>
      <c r="C1" s="333"/>
      <c r="D1" s="333"/>
      <c r="E1" s="333"/>
      <c r="F1" s="333"/>
      <c r="G1" s="333"/>
      <c r="H1" s="333"/>
      <c r="I1" s="333"/>
      <c r="J1" s="333"/>
      <c r="K1" s="333"/>
      <c r="L1" s="333"/>
      <c r="M1" s="333"/>
      <c r="N1" s="333"/>
      <c r="O1" s="333"/>
      <c r="P1" s="333"/>
      <c r="Q1" s="333"/>
      <c r="R1" s="334"/>
    </row>
    <row r="2" spans="1:18" ht="30" x14ac:dyDescent="0.4">
      <c r="A2" s="335" t="s">
        <v>3599</v>
      </c>
      <c r="B2" s="317"/>
      <c r="C2" s="317"/>
      <c r="D2" s="317"/>
      <c r="E2" s="317"/>
      <c r="F2" s="317"/>
      <c r="G2" s="317"/>
      <c r="H2" s="317"/>
      <c r="I2" s="317"/>
      <c r="J2" s="317"/>
      <c r="K2" s="317"/>
      <c r="L2" s="317"/>
      <c r="M2" s="317"/>
      <c r="N2" s="317"/>
      <c r="O2" s="317"/>
      <c r="P2" s="317"/>
      <c r="Q2" s="317"/>
      <c r="R2" s="318"/>
    </row>
    <row r="3" spans="1:18" ht="30.75" thickBot="1" x14ac:dyDescent="0.45">
      <c r="A3" s="336" t="s">
        <v>3381</v>
      </c>
      <c r="B3" s="319"/>
      <c r="C3" s="319"/>
      <c r="D3" s="319"/>
      <c r="E3" s="319"/>
      <c r="F3" s="319"/>
      <c r="G3" s="319"/>
      <c r="H3" s="319"/>
      <c r="I3" s="319"/>
      <c r="J3" s="319"/>
      <c r="K3" s="319"/>
      <c r="L3" s="319"/>
      <c r="M3" s="319"/>
      <c r="N3" s="319"/>
      <c r="O3" s="319"/>
      <c r="P3" s="319"/>
      <c r="Q3" s="319"/>
      <c r="R3" s="320"/>
    </row>
    <row r="4" spans="1:18" ht="15" x14ac:dyDescent="0.2">
      <c r="A4" s="297" t="s">
        <v>719</v>
      </c>
      <c r="B4" s="329" t="s">
        <v>0</v>
      </c>
      <c r="C4" s="330" t="s">
        <v>3600</v>
      </c>
      <c r="D4" s="330" t="s">
        <v>8</v>
      </c>
      <c r="E4" s="326" t="s">
        <v>2675</v>
      </c>
      <c r="F4" s="326" t="s">
        <v>1</v>
      </c>
      <c r="G4" s="305" t="s">
        <v>795</v>
      </c>
      <c r="H4" s="329" t="s">
        <v>3602</v>
      </c>
      <c r="I4" s="326"/>
      <c r="J4" s="326"/>
      <c r="K4" s="327"/>
      <c r="L4" s="329" t="s">
        <v>3601</v>
      </c>
      <c r="M4" s="326"/>
      <c r="N4" s="326"/>
      <c r="O4" s="327"/>
      <c r="P4" s="338" t="s">
        <v>3593</v>
      </c>
      <c r="Q4" s="326" t="s">
        <v>6</v>
      </c>
      <c r="R4" s="327" t="s">
        <v>5</v>
      </c>
    </row>
    <row r="5" spans="1:18" ht="15" customHeight="1" thickBot="1" x14ac:dyDescent="0.25">
      <c r="A5" s="298"/>
      <c r="B5" s="301"/>
      <c r="C5" s="303"/>
      <c r="D5" s="303"/>
      <c r="E5" s="303"/>
      <c r="F5" s="303"/>
      <c r="G5" s="306"/>
      <c r="H5" s="3">
        <v>1</v>
      </c>
      <c r="I5" s="2">
        <v>2</v>
      </c>
      <c r="J5" s="2">
        <v>3</v>
      </c>
      <c r="K5" s="4" t="s">
        <v>7</v>
      </c>
      <c r="L5" s="3">
        <v>1</v>
      </c>
      <c r="M5" s="2">
        <v>2</v>
      </c>
      <c r="N5" s="2">
        <v>3</v>
      </c>
      <c r="O5" s="4" t="s">
        <v>7</v>
      </c>
      <c r="P5" s="339"/>
      <c r="Q5" s="303"/>
      <c r="R5" s="310"/>
    </row>
    <row r="6" spans="1:18" ht="15" x14ac:dyDescent="0.2">
      <c r="A6" s="66"/>
      <c r="B6" s="328" t="s">
        <v>3396</v>
      </c>
      <c r="C6" s="299"/>
      <c r="D6" s="299"/>
      <c r="E6" s="299"/>
      <c r="F6" s="299"/>
      <c r="G6" s="299"/>
      <c r="H6" s="299"/>
      <c r="I6" s="299"/>
      <c r="J6" s="299"/>
      <c r="K6" s="299"/>
      <c r="L6" s="299"/>
      <c r="M6" s="299"/>
      <c r="N6" s="299"/>
      <c r="O6" s="299"/>
      <c r="P6" s="299"/>
      <c r="Q6" s="299"/>
      <c r="R6" s="65"/>
    </row>
    <row r="7" spans="1:18" x14ac:dyDescent="0.2">
      <c r="A7" s="86" t="s">
        <v>892</v>
      </c>
      <c r="B7" s="68" t="s">
        <v>3658</v>
      </c>
      <c r="C7" s="67" t="s">
        <v>3101</v>
      </c>
      <c r="D7" s="67" t="s">
        <v>903</v>
      </c>
      <c r="E7" s="67" t="str">
        <f>"0,6920"</f>
        <v>0,6920</v>
      </c>
      <c r="F7" s="68" t="s">
        <v>2103</v>
      </c>
      <c r="G7" s="68" t="s">
        <v>3688</v>
      </c>
      <c r="H7" s="178" t="s">
        <v>81</v>
      </c>
      <c r="I7" s="209" t="s">
        <v>85</v>
      </c>
      <c r="J7" s="178" t="s">
        <v>46</v>
      </c>
      <c r="K7" s="179"/>
      <c r="L7" s="209" t="s">
        <v>45</v>
      </c>
      <c r="M7" s="209" t="s">
        <v>60</v>
      </c>
      <c r="N7" s="209" t="s">
        <v>75</v>
      </c>
      <c r="O7" s="179"/>
      <c r="P7" s="74" t="s">
        <v>126</v>
      </c>
      <c r="Q7" s="67" t="str">
        <f>"100,3328"</f>
        <v>100,3328</v>
      </c>
      <c r="R7" s="68" t="s">
        <v>3391</v>
      </c>
    </row>
    <row r="8" spans="1:18" x14ac:dyDescent="0.2">
      <c r="A8" s="86"/>
      <c r="B8" s="75"/>
      <c r="C8" s="66"/>
      <c r="D8" s="66"/>
      <c r="E8" s="66"/>
      <c r="F8" s="65"/>
      <c r="G8" s="65"/>
      <c r="H8" s="66"/>
      <c r="I8" s="66"/>
      <c r="J8" s="66"/>
      <c r="K8" s="66"/>
      <c r="L8" s="66"/>
      <c r="M8" s="66"/>
      <c r="N8" s="66"/>
      <c r="O8" s="66"/>
      <c r="P8" s="75"/>
      <c r="Q8" s="66"/>
      <c r="R8" s="65"/>
    </row>
    <row r="9" spans="1:18" ht="15" x14ac:dyDescent="0.2">
      <c r="A9" s="42"/>
      <c r="B9" s="324" t="s">
        <v>3624</v>
      </c>
      <c r="C9" s="316"/>
      <c r="D9" s="316"/>
      <c r="E9" s="316"/>
      <c r="F9" s="316"/>
      <c r="G9" s="316"/>
      <c r="H9" s="316"/>
      <c r="I9" s="316"/>
      <c r="J9" s="316"/>
      <c r="K9" s="316"/>
      <c r="L9" s="316"/>
      <c r="M9" s="316"/>
      <c r="N9" s="316"/>
      <c r="O9" s="316"/>
      <c r="P9" s="324"/>
      <c r="Q9" s="316"/>
      <c r="R9" s="65"/>
    </row>
    <row r="10" spans="1:18" x14ac:dyDescent="0.2">
      <c r="A10" s="42">
        <v>1</v>
      </c>
      <c r="B10" s="70" t="s">
        <v>3659</v>
      </c>
      <c r="C10" s="165" t="s">
        <v>2961</v>
      </c>
      <c r="D10" s="165" t="s">
        <v>2962</v>
      </c>
      <c r="E10" s="165" t="str">
        <f>"0,6652"</f>
        <v>0,6652</v>
      </c>
      <c r="F10" s="70" t="s">
        <v>3655</v>
      </c>
      <c r="G10" s="70" t="s">
        <v>3188</v>
      </c>
      <c r="H10" s="210" t="s">
        <v>97</v>
      </c>
      <c r="I10" s="167" t="s">
        <v>69</v>
      </c>
      <c r="J10" s="210" t="s">
        <v>69</v>
      </c>
      <c r="K10" s="168"/>
      <c r="L10" s="210" t="s">
        <v>51</v>
      </c>
      <c r="M10" s="210" t="s">
        <v>55</v>
      </c>
      <c r="N10" s="210" t="s">
        <v>42</v>
      </c>
      <c r="O10" s="168"/>
      <c r="P10" s="76" t="s">
        <v>107</v>
      </c>
      <c r="Q10" s="165" t="str">
        <f>"126,3880"</f>
        <v>126,3880</v>
      </c>
      <c r="R10" s="70" t="s">
        <v>3391</v>
      </c>
    </row>
    <row r="11" spans="1:18" x14ac:dyDescent="0.2">
      <c r="A11" s="42">
        <v>2</v>
      </c>
      <c r="B11" s="71" t="s">
        <v>3627</v>
      </c>
      <c r="C11" s="173" t="s">
        <v>3628</v>
      </c>
      <c r="D11" s="173" t="s">
        <v>1261</v>
      </c>
      <c r="E11" s="173" t="str">
        <f>"0,6545"</f>
        <v>0,6545</v>
      </c>
      <c r="F11" s="71" t="s">
        <v>3655</v>
      </c>
      <c r="G11" s="71" t="s">
        <v>3185</v>
      </c>
      <c r="H11" s="175" t="s">
        <v>91</v>
      </c>
      <c r="I11" s="211" t="s">
        <v>61</v>
      </c>
      <c r="J11" s="211" t="s">
        <v>47</v>
      </c>
      <c r="K11" s="175" t="s">
        <v>76</v>
      </c>
      <c r="L11" s="211" t="s">
        <v>42</v>
      </c>
      <c r="M11" s="211" t="s">
        <v>43</v>
      </c>
      <c r="N11" s="211" t="s">
        <v>81</v>
      </c>
      <c r="O11" s="175" t="s">
        <v>85</v>
      </c>
      <c r="P11" s="77">
        <v>182.5</v>
      </c>
      <c r="Q11" s="173" t="str">
        <f>"119,4463"</f>
        <v>119,4463</v>
      </c>
      <c r="R11" s="71" t="s">
        <v>3391</v>
      </c>
    </row>
    <row r="12" spans="1:18" x14ac:dyDescent="0.2">
      <c r="A12" s="42">
        <v>3</v>
      </c>
      <c r="B12" s="71" t="s">
        <v>2605</v>
      </c>
      <c r="C12" s="173" t="s">
        <v>2445</v>
      </c>
      <c r="D12" s="173" t="s">
        <v>2452</v>
      </c>
      <c r="E12" s="173" t="str">
        <f>"0,6589"</f>
        <v>0,6589</v>
      </c>
      <c r="F12" s="71" t="s">
        <v>1212</v>
      </c>
      <c r="G12" s="71" t="s">
        <v>3257</v>
      </c>
      <c r="H12" s="211" t="s">
        <v>93</v>
      </c>
      <c r="I12" s="211" t="s">
        <v>53</v>
      </c>
      <c r="J12" s="211" t="s">
        <v>54</v>
      </c>
      <c r="K12" s="176"/>
      <c r="L12" s="211" t="s">
        <v>93</v>
      </c>
      <c r="M12" s="211" t="s">
        <v>67</v>
      </c>
      <c r="N12" s="211" t="s">
        <v>68</v>
      </c>
      <c r="O12" s="176"/>
      <c r="P12" s="77" t="s">
        <v>116</v>
      </c>
      <c r="Q12" s="173" t="str">
        <f>"92,2530"</f>
        <v>92,2530</v>
      </c>
      <c r="R12" s="71" t="s">
        <v>2093</v>
      </c>
    </row>
    <row r="13" spans="1:18" x14ac:dyDescent="0.2">
      <c r="A13" s="42">
        <v>1</v>
      </c>
      <c r="B13" s="72" t="s">
        <v>3660</v>
      </c>
      <c r="C13" s="169" t="s">
        <v>3661</v>
      </c>
      <c r="D13" s="169" t="s">
        <v>931</v>
      </c>
      <c r="E13" s="169" t="str">
        <f>"0,6524"</f>
        <v>0,6524</v>
      </c>
      <c r="F13" s="72" t="s">
        <v>3655</v>
      </c>
      <c r="G13" s="72" t="s">
        <v>3689</v>
      </c>
      <c r="H13" s="171" t="s">
        <v>42</v>
      </c>
      <c r="I13" s="212" t="s">
        <v>81</v>
      </c>
      <c r="J13" s="212" t="s">
        <v>46</v>
      </c>
      <c r="K13" s="172"/>
      <c r="L13" s="212" t="s">
        <v>86</v>
      </c>
      <c r="M13" s="212" t="s">
        <v>53</v>
      </c>
      <c r="N13" s="212" t="s">
        <v>51</v>
      </c>
      <c r="O13" s="172"/>
      <c r="P13" s="78" t="s">
        <v>127</v>
      </c>
      <c r="Q13" s="169" t="str">
        <f>"121,5980"</f>
        <v>121,5980</v>
      </c>
      <c r="R13" s="72" t="s">
        <v>3391</v>
      </c>
    </row>
    <row r="14" spans="1:18" x14ac:dyDescent="0.2">
      <c r="A14" s="42"/>
      <c r="B14" s="75"/>
      <c r="C14" s="66"/>
      <c r="D14" s="66"/>
      <c r="E14" s="66"/>
      <c r="F14" s="65"/>
      <c r="G14" s="65"/>
      <c r="H14" s="66"/>
      <c r="I14" s="66"/>
      <c r="J14" s="66"/>
      <c r="K14" s="66"/>
      <c r="L14" s="66"/>
      <c r="M14" s="66"/>
      <c r="N14" s="66"/>
      <c r="O14" s="66"/>
      <c r="P14" s="75"/>
      <c r="Q14" s="66"/>
      <c r="R14" s="65"/>
    </row>
    <row r="15" spans="1:18" ht="15" x14ac:dyDescent="0.2">
      <c r="A15" s="42"/>
      <c r="B15" s="324" t="s">
        <v>3435</v>
      </c>
      <c r="C15" s="316"/>
      <c r="D15" s="316"/>
      <c r="E15" s="316"/>
      <c r="F15" s="316"/>
      <c r="G15" s="316"/>
      <c r="H15" s="316"/>
      <c r="I15" s="316"/>
      <c r="J15" s="316"/>
      <c r="K15" s="316"/>
      <c r="L15" s="316"/>
      <c r="M15" s="316"/>
      <c r="N15" s="316"/>
      <c r="O15" s="316"/>
      <c r="P15" s="324"/>
      <c r="Q15" s="316"/>
      <c r="R15" s="65"/>
    </row>
    <row r="16" spans="1:18" x14ac:dyDescent="0.2">
      <c r="A16" s="42">
        <v>1</v>
      </c>
      <c r="B16" s="70" t="s">
        <v>3662</v>
      </c>
      <c r="C16" s="165" t="s">
        <v>3663</v>
      </c>
      <c r="D16" s="165" t="s">
        <v>1813</v>
      </c>
      <c r="E16" s="165" t="str">
        <f>"0,6234"</f>
        <v>0,6234</v>
      </c>
      <c r="F16" s="113" t="s">
        <v>4297</v>
      </c>
      <c r="G16" s="70" t="s">
        <v>4297</v>
      </c>
      <c r="H16" s="210" t="s">
        <v>59</v>
      </c>
      <c r="I16" s="210" t="s">
        <v>75</v>
      </c>
      <c r="J16" s="167" t="s">
        <v>67</v>
      </c>
      <c r="K16" s="168"/>
      <c r="L16" s="210" t="s">
        <v>45</v>
      </c>
      <c r="M16" s="167" t="s">
        <v>60</v>
      </c>
      <c r="N16" s="210" t="s">
        <v>60</v>
      </c>
      <c r="O16" s="168"/>
      <c r="P16" s="76" t="s">
        <v>69</v>
      </c>
      <c r="Q16" s="165" t="str">
        <f>"68,5740"</f>
        <v>68,5740</v>
      </c>
      <c r="R16" s="70" t="s">
        <v>3391</v>
      </c>
    </row>
    <row r="17" spans="1:18" x14ac:dyDescent="0.2">
      <c r="A17" s="42">
        <v>1</v>
      </c>
      <c r="B17" s="77" t="s">
        <v>27</v>
      </c>
      <c r="C17" s="173" t="s">
        <v>28</v>
      </c>
      <c r="D17" s="173" t="s">
        <v>29</v>
      </c>
      <c r="E17" s="173" t="str">
        <f>"0,6137"</f>
        <v>0,6137</v>
      </c>
      <c r="F17" s="71" t="s">
        <v>3181</v>
      </c>
      <c r="G17" s="71" t="s">
        <v>3690</v>
      </c>
      <c r="H17" s="211" t="s">
        <v>69</v>
      </c>
      <c r="I17" s="175" t="s">
        <v>71</v>
      </c>
      <c r="J17" s="211" t="s">
        <v>71</v>
      </c>
      <c r="K17" s="176"/>
      <c r="L17" s="211" t="s">
        <v>86</v>
      </c>
      <c r="M17" s="211" t="s">
        <v>53</v>
      </c>
      <c r="N17" s="211" t="s">
        <v>68</v>
      </c>
      <c r="O17" s="176"/>
      <c r="P17" s="77">
        <v>187.5</v>
      </c>
      <c r="Q17" s="173" t="str">
        <f>"115,0781"</f>
        <v>115,0781</v>
      </c>
      <c r="R17" s="71" t="s">
        <v>31</v>
      </c>
    </row>
    <row r="18" spans="1:18" x14ac:dyDescent="0.2">
      <c r="A18" s="42">
        <v>2</v>
      </c>
      <c r="B18" s="71" t="s">
        <v>3664</v>
      </c>
      <c r="C18" s="173" t="s">
        <v>3665</v>
      </c>
      <c r="D18" s="173" t="s">
        <v>565</v>
      </c>
      <c r="E18" s="173" t="str">
        <f>"0,6326"</f>
        <v>0,6326</v>
      </c>
      <c r="F18" s="71" t="s">
        <v>3655</v>
      </c>
      <c r="G18" s="71" t="s">
        <v>3294</v>
      </c>
      <c r="H18" s="211" t="s">
        <v>41</v>
      </c>
      <c r="I18" s="211" t="s">
        <v>43</v>
      </c>
      <c r="J18" s="211" t="s">
        <v>81</v>
      </c>
      <c r="K18" s="176"/>
      <c r="L18" s="211" t="s">
        <v>59</v>
      </c>
      <c r="M18" s="211" t="s">
        <v>75</v>
      </c>
      <c r="N18" s="175" t="s">
        <v>67</v>
      </c>
      <c r="O18" s="176"/>
      <c r="P18" s="77">
        <v>142.5</v>
      </c>
      <c r="Q18" s="173" t="str">
        <f>"90,1455"</f>
        <v>90,1455</v>
      </c>
      <c r="R18" s="71" t="s">
        <v>3391</v>
      </c>
    </row>
    <row r="19" spans="1:18" x14ac:dyDescent="0.2">
      <c r="A19" s="42">
        <v>3</v>
      </c>
      <c r="B19" s="71" t="s">
        <v>3666</v>
      </c>
      <c r="C19" s="173" t="s">
        <v>3667</v>
      </c>
      <c r="D19" s="173" t="s">
        <v>2970</v>
      </c>
      <c r="E19" s="173" t="str">
        <f>"0,6277"</f>
        <v>0,6277</v>
      </c>
      <c r="F19" s="71" t="s">
        <v>3655</v>
      </c>
      <c r="G19" s="71" t="s">
        <v>796</v>
      </c>
      <c r="H19" s="211" t="s">
        <v>51</v>
      </c>
      <c r="I19" s="175" t="s">
        <v>41</v>
      </c>
      <c r="J19" s="175" t="s">
        <v>41</v>
      </c>
      <c r="K19" s="176"/>
      <c r="L19" s="211" t="s">
        <v>53</v>
      </c>
      <c r="M19" s="175" t="s">
        <v>51</v>
      </c>
      <c r="N19" s="211" t="s">
        <v>51</v>
      </c>
      <c r="O19" s="176"/>
      <c r="P19" s="77" t="s">
        <v>116</v>
      </c>
      <c r="Q19" s="173" t="str">
        <f>"87,8780"</f>
        <v>87,8780</v>
      </c>
      <c r="R19" s="71" t="s">
        <v>3391</v>
      </c>
    </row>
    <row r="20" spans="1:18" x14ac:dyDescent="0.2">
      <c r="A20" s="42">
        <v>4</v>
      </c>
      <c r="B20" s="71" t="s">
        <v>3668</v>
      </c>
      <c r="C20" s="173" t="s">
        <v>2953</v>
      </c>
      <c r="D20" s="173" t="s">
        <v>2297</v>
      </c>
      <c r="E20" s="173" t="str">
        <f>"0,6396"</f>
        <v>0,6396</v>
      </c>
      <c r="F20" s="71" t="s">
        <v>1212</v>
      </c>
      <c r="G20" s="71" t="s">
        <v>3257</v>
      </c>
      <c r="H20" s="211" t="s">
        <v>93</v>
      </c>
      <c r="I20" s="211" t="s">
        <v>67</v>
      </c>
      <c r="J20" s="211" t="s">
        <v>51</v>
      </c>
      <c r="K20" s="176"/>
      <c r="L20" s="211" t="s">
        <v>59</v>
      </c>
      <c r="M20" s="211" t="s">
        <v>93</v>
      </c>
      <c r="N20" s="175" t="s">
        <v>86</v>
      </c>
      <c r="O20" s="176"/>
      <c r="P20" s="77" t="s">
        <v>112</v>
      </c>
      <c r="Q20" s="173" t="str">
        <f>"79,9562"</f>
        <v>79,9562</v>
      </c>
      <c r="R20" s="71" t="s">
        <v>2093</v>
      </c>
    </row>
    <row r="21" spans="1:18" x14ac:dyDescent="0.2">
      <c r="A21" s="42">
        <v>1</v>
      </c>
      <c r="B21" s="77" t="s">
        <v>3669</v>
      </c>
      <c r="C21" s="173" t="s">
        <v>3670</v>
      </c>
      <c r="D21" s="173" t="s">
        <v>1826</v>
      </c>
      <c r="E21" s="173" t="str">
        <f>"0,6119"</f>
        <v>0,6119</v>
      </c>
      <c r="F21" s="71" t="s">
        <v>3655</v>
      </c>
      <c r="G21" s="71" t="s">
        <v>796</v>
      </c>
      <c r="H21" s="175" t="s">
        <v>85</v>
      </c>
      <c r="I21" s="211" t="s">
        <v>85</v>
      </c>
      <c r="J21" s="175" t="s">
        <v>61</v>
      </c>
      <c r="K21" s="176"/>
      <c r="L21" s="211" t="s">
        <v>68</v>
      </c>
      <c r="M21" s="211" t="s">
        <v>51</v>
      </c>
      <c r="N21" s="175" t="s">
        <v>54</v>
      </c>
      <c r="O21" s="176"/>
      <c r="P21" s="77">
        <v>157.5</v>
      </c>
      <c r="Q21" s="173" t="str">
        <f>"98,2937"</f>
        <v>98,2937</v>
      </c>
      <c r="R21" s="71" t="s">
        <v>3391</v>
      </c>
    </row>
    <row r="22" spans="1:18" x14ac:dyDescent="0.2">
      <c r="A22" s="42">
        <v>1</v>
      </c>
      <c r="B22" s="72" t="s">
        <v>3671</v>
      </c>
      <c r="C22" s="169" t="s">
        <v>3672</v>
      </c>
      <c r="D22" s="169" t="s">
        <v>451</v>
      </c>
      <c r="E22" s="169" t="str">
        <f>"0,6181"</f>
        <v>0,6181</v>
      </c>
      <c r="F22" s="72" t="s">
        <v>3655</v>
      </c>
      <c r="G22" s="72" t="s">
        <v>796</v>
      </c>
      <c r="H22" s="212" t="s">
        <v>41</v>
      </c>
      <c r="I22" s="212" t="s">
        <v>43</v>
      </c>
      <c r="J22" s="212" t="s">
        <v>85</v>
      </c>
      <c r="K22" s="171" t="s">
        <v>46</v>
      </c>
      <c r="L22" s="212" t="s">
        <v>59</v>
      </c>
      <c r="M22" s="212" t="s">
        <v>93</v>
      </c>
      <c r="N22" s="171" t="s">
        <v>86</v>
      </c>
      <c r="O22" s="172"/>
      <c r="P22" s="78">
        <v>142.5</v>
      </c>
      <c r="Q22" s="169" t="str">
        <f>"102,6123"</f>
        <v>102,6123</v>
      </c>
      <c r="R22" s="72" t="s">
        <v>3673</v>
      </c>
    </row>
    <row r="23" spans="1:18" x14ac:dyDescent="0.2">
      <c r="A23" s="42"/>
      <c r="B23" s="75"/>
      <c r="C23" s="66"/>
      <c r="D23" s="66"/>
      <c r="E23" s="66"/>
      <c r="F23" s="65"/>
      <c r="G23" s="65"/>
      <c r="H23" s="66"/>
      <c r="I23" s="66"/>
      <c r="J23" s="66"/>
      <c r="K23" s="66"/>
      <c r="L23" s="66"/>
      <c r="M23" s="66"/>
      <c r="N23" s="66"/>
      <c r="O23" s="66"/>
      <c r="P23" s="75"/>
      <c r="Q23" s="66"/>
      <c r="R23" s="65"/>
    </row>
    <row r="24" spans="1:18" ht="15" x14ac:dyDescent="0.2">
      <c r="A24" s="42"/>
      <c r="B24" s="324" t="s">
        <v>3466</v>
      </c>
      <c r="C24" s="316"/>
      <c r="D24" s="316"/>
      <c r="E24" s="316"/>
      <c r="F24" s="316"/>
      <c r="G24" s="316"/>
      <c r="H24" s="316"/>
      <c r="I24" s="316"/>
      <c r="J24" s="316"/>
      <c r="K24" s="316"/>
      <c r="L24" s="316"/>
      <c r="M24" s="316"/>
      <c r="N24" s="316"/>
      <c r="O24" s="316"/>
      <c r="P24" s="324"/>
      <c r="Q24" s="316"/>
      <c r="R24" s="65"/>
    </row>
    <row r="25" spans="1:18" x14ac:dyDescent="0.2">
      <c r="A25" s="42">
        <v>1</v>
      </c>
      <c r="B25" s="70" t="s">
        <v>3674</v>
      </c>
      <c r="C25" s="165" t="s">
        <v>1084</v>
      </c>
      <c r="D25" s="165" t="s">
        <v>3675</v>
      </c>
      <c r="E25" s="165" t="str">
        <f>"0,6047"</f>
        <v>0,6047</v>
      </c>
      <c r="F25" s="70" t="s">
        <v>1212</v>
      </c>
      <c r="G25" s="70" t="s">
        <v>3257</v>
      </c>
      <c r="H25" s="210" t="s">
        <v>46</v>
      </c>
      <c r="I25" s="210" t="s">
        <v>91</v>
      </c>
      <c r="J25" s="210" t="s">
        <v>61</v>
      </c>
      <c r="K25" s="168"/>
      <c r="L25" s="210" t="s">
        <v>86</v>
      </c>
      <c r="M25" s="210" t="s">
        <v>53</v>
      </c>
      <c r="N25" s="167" t="s">
        <v>68</v>
      </c>
      <c r="O25" s="168"/>
      <c r="P25" s="76" t="s">
        <v>127</v>
      </c>
      <c r="Q25" s="165" t="str">
        <f>"96,7520"</f>
        <v>96,7520</v>
      </c>
      <c r="R25" s="70" t="s">
        <v>2093</v>
      </c>
    </row>
    <row r="26" spans="1:18" x14ac:dyDescent="0.2">
      <c r="A26" s="42">
        <v>2</v>
      </c>
      <c r="B26" s="72" t="s">
        <v>277</v>
      </c>
      <c r="C26" s="169" t="s">
        <v>3597</v>
      </c>
      <c r="D26" s="169" t="s">
        <v>965</v>
      </c>
      <c r="E26" s="169" t="str">
        <f>"0,5911"</f>
        <v>0,5911</v>
      </c>
      <c r="F26" s="72" t="s">
        <v>3655</v>
      </c>
      <c r="G26" s="72" t="s">
        <v>845</v>
      </c>
      <c r="H26" s="212" t="s">
        <v>81</v>
      </c>
      <c r="I26" s="212" t="s">
        <v>46</v>
      </c>
      <c r="J26" s="171" t="s">
        <v>61</v>
      </c>
      <c r="K26" s="172"/>
      <c r="L26" s="212" t="s">
        <v>86</v>
      </c>
      <c r="M26" s="212" t="s">
        <v>53</v>
      </c>
      <c r="N26" s="212" t="s">
        <v>51</v>
      </c>
      <c r="O26" s="172"/>
      <c r="P26" s="78" t="s">
        <v>127</v>
      </c>
      <c r="Q26" s="169" t="str">
        <f>"94,5760"</f>
        <v>94,5760</v>
      </c>
      <c r="R26" s="72" t="s">
        <v>3391</v>
      </c>
    </row>
    <row r="27" spans="1:18" x14ac:dyDescent="0.2">
      <c r="A27" s="42"/>
      <c r="B27" s="75"/>
      <c r="C27" s="66"/>
      <c r="D27" s="66"/>
      <c r="E27" s="66"/>
      <c r="F27" s="65"/>
      <c r="G27" s="65"/>
      <c r="H27" s="66"/>
      <c r="I27" s="66"/>
      <c r="J27" s="66"/>
      <c r="K27" s="66"/>
      <c r="L27" s="66"/>
      <c r="M27" s="66"/>
      <c r="N27" s="66"/>
      <c r="O27" s="66"/>
      <c r="P27" s="75"/>
      <c r="Q27" s="66"/>
      <c r="R27" s="65"/>
    </row>
    <row r="28" spans="1:18" ht="15" x14ac:dyDescent="0.2">
      <c r="A28" s="42"/>
      <c r="B28" s="324" t="s">
        <v>3474</v>
      </c>
      <c r="C28" s="316"/>
      <c r="D28" s="316"/>
      <c r="E28" s="316"/>
      <c r="F28" s="316"/>
      <c r="G28" s="316"/>
      <c r="H28" s="316"/>
      <c r="I28" s="316"/>
      <c r="J28" s="316"/>
      <c r="K28" s="316"/>
      <c r="L28" s="316"/>
      <c r="M28" s="316"/>
      <c r="N28" s="316"/>
      <c r="O28" s="316"/>
      <c r="P28" s="324"/>
      <c r="Q28" s="316"/>
      <c r="R28" s="65"/>
    </row>
    <row r="29" spans="1:18" x14ac:dyDescent="0.2">
      <c r="A29" s="42">
        <v>1</v>
      </c>
      <c r="B29" s="76" t="s">
        <v>3676</v>
      </c>
      <c r="C29" s="165" t="s">
        <v>3648</v>
      </c>
      <c r="D29" s="165" t="s">
        <v>3142</v>
      </c>
      <c r="E29" s="259" t="str">
        <f>"0,5738"</f>
        <v>0,5738</v>
      </c>
      <c r="F29" s="272" t="s">
        <v>857</v>
      </c>
      <c r="G29" s="70" t="s">
        <v>3657</v>
      </c>
      <c r="H29" s="269" t="s">
        <v>81</v>
      </c>
      <c r="I29" s="168"/>
      <c r="J29" s="168"/>
      <c r="K29" s="168"/>
      <c r="L29" s="210" t="s">
        <v>68</v>
      </c>
      <c r="M29" s="210" t="s">
        <v>54</v>
      </c>
      <c r="N29" s="210" t="s">
        <v>41</v>
      </c>
      <c r="O29" s="168"/>
      <c r="P29" s="76" t="s">
        <v>127</v>
      </c>
      <c r="Q29" s="165" t="str">
        <f>"91,8080"</f>
        <v>91,8080</v>
      </c>
      <c r="R29" s="70" t="s">
        <v>3391</v>
      </c>
    </row>
    <row r="30" spans="1:18" x14ac:dyDescent="0.2">
      <c r="A30" s="42">
        <v>2</v>
      </c>
      <c r="B30" s="77" t="s">
        <v>3677</v>
      </c>
      <c r="C30" s="173" t="s">
        <v>3678</v>
      </c>
      <c r="D30" s="173" t="s">
        <v>265</v>
      </c>
      <c r="E30" s="268" t="str">
        <f>"0,5625"</f>
        <v>0,5625</v>
      </c>
      <c r="F30" s="115" t="s">
        <v>266</v>
      </c>
      <c r="G30" s="16" t="s">
        <v>3237</v>
      </c>
      <c r="H30" s="270" t="s">
        <v>42</v>
      </c>
      <c r="I30" s="176"/>
      <c r="J30" s="176"/>
      <c r="K30" s="176"/>
      <c r="L30" s="211" t="s">
        <v>51</v>
      </c>
      <c r="M30" s="176"/>
      <c r="N30" s="176"/>
      <c r="O30" s="176"/>
      <c r="P30" s="77" t="s">
        <v>36</v>
      </c>
      <c r="Q30" s="173" t="str">
        <f>"84,3750"</f>
        <v>84,3750</v>
      </c>
      <c r="R30" s="71" t="s">
        <v>3391</v>
      </c>
    </row>
    <row r="31" spans="1:18" x14ac:dyDescent="0.2">
      <c r="A31" s="42">
        <v>1</v>
      </c>
      <c r="B31" s="72" t="s">
        <v>3679</v>
      </c>
      <c r="C31" s="169" t="s">
        <v>3680</v>
      </c>
      <c r="D31" s="169" t="s">
        <v>3681</v>
      </c>
      <c r="E31" s="260" t="str">
        <f>"0,5744"</f>
        <v>0,5744</v>
      </c>
      <c r="F31" s="273" t="s">
        <v>3655</v>
      </c>
      <c r="G31" s="72" t="s">
        <v>3691</v>
      </c>
      <c r="H31" s="271" t="s">
        <v>42</v>
      </c>
      <c r="I31" s="212" t="s">
        <v>85</v>
      </c>
      <c r="J31" s="212" t="s">
        <v>61</v>
      </c>
      <c r="K31" s="172"/>
      <c r="L31" s="212" t="s">
        <v>42</v>
      </c>
      <c r="M31" s="171" t="s">
        <v>85</v>
      </c>
      <c r="N31" s="171" t="s">
        <v>46</v>
      </c>
      <c r="O31" s="172"/>
      <c r="P31" s="78" t="s">
        <v>156</v>
      </c>
      <c r="Q31" s="169" t="str">
        <f>"101,5252"</f>
        <v>101,5252</v>
      </c>
      <c r="R31" s="72" t="s">
        <v>3682</v>
      </c>
    </row>
    <row r="32" spans="1:18" x14ac:dyDescent="0.2">
      <c r="A32" s="42"/>
      <c r="B32" s="75"/>
      <c r="C32" s="66"/>
      <c r="D32" s="66"/>
      <c r="E32" s="66"/>
      <c r="F32" s="65"/>
      <c r="G32" s="65"/>
      <c r="H32" s="66"/>
      <c r="I32" s="66"/>
      <c r="J32" s="66"/>
      <c r="K32" s="66"/>
      <c r="L32" s="66"/>
      <c r="M32" s="66"/>
      <c r="N32" s="66"/>
      <c r="O32" s="66"/>
      <c r="P32" s="75"/>
      <c r="Q32" s="66"/>
      <c r="R32" s="65"/>
    </row>
    <row r="33" spans="1:18" ht="15" x14ac:dyDescent="0.2">
      <c r="A33" s="42"/>
      <c r="B33" s="324" t="s">
        <v>3485</v>
      </c>
      <c r="C33" s="316"/>
      <c r="D33" s="316"/>
      <c r="E33" s="316"/>
      <c r="F33" s="316"/>
      <c r="G33" s="316"/>
      <c r="H33" s="316"/>
      <c r="I33" s="316"/>
      <c r="J33" s="316"/>
      <c r="K33" s="316"/>
      <c r="L33" s="316"/>
      <c r="M33" s="316"/>
      <c r="N33" s="316"/>
      <c r="O33" s="316"/>
      <c r="P33" s="324"/>
      <c r="Q33" s="316"/>
      <c r="R33" s="65"/>
    </row>
    <row r="34" spans="1:18" x14ac:dyDescent="0.2">
      <c r="A34" s="42">
        <v>1</v>
      </c>
      <c r="B34" s="76" t="s">
        <v>1920</v>
      </c>
      <c r="C34" s="165" t="s">
        <v>1910</v>
      </c>
      <c r="D34" s="165" t="s">
        <v>2331</v>
      </c>
      <c r="E34" s="165" t="str">
        <f>"0,5530"</f>
        <v>0,5530</v>
      </c>
      <c r="F34" s="70" t="s">
        <v>3655</v>
      </c>
      <c r="G34" s="70" t="s">
        <v>3306</v>
      </c>
      <c r="H34" s="210" t="s">
        <v>70</v>
      </c>
      <c r="I34" s="210" t="s">
        <v>71</v>
      </c>
      <c r="J34" s="167" t="s">
        <v>112</v>
      </c>
      <c r="K34" s="168"/>
      <c r="L34" s="210" t="s">
        <v>81</v>
      </c>
      <c r="M34" s="167" t="s">
        <v>46</v>
      </c>
      <c r="N34" s="210" t="s">
        <v>46</v>
      </c>
      <c r="O34" s="168"/>
      <c r="P34" s="76" t="s">
        <v>143</v>
      </c>
      <c r="Q34" s="165" t="str">
        <f>"116,1300"</f>
        <v>116,1300</v>
      </c>
      <c r="R34" s="70" t="s">
        <v>3391</v>
      </c>
    </row>
    <row r="35" spans="1:18" x14ac:dyDescent="0.2">
      <c r="A35" s="42">
        <v>1</v>
      </c>
      <c r="B35" s="78" t="s">
        <v>1920</v>
      </c>
      <c r="C35" s="169" t="s">
        <v>1921</v>
      </c>
      <c r="D35" s="169" t="s">
        <v>2331</v>
      </c>
      <c r="E35" s="169" t="str">
        <f>"0,5530"</f>
        <v>0,5530</v>
      </c>
      <c r="F35" s="72" t="s">
        <v>3655</v>
      </c>
      <c r="G35" s="72" t="s">
        <v>3306</v>
      </c>
      <c r="H35" s="212" t="s">
        <v>70</v>
      </c>
      <c r="I35" s="212" t="s">
        <v>71</v>
      </c>
      <c r="J35" s="171" t="s">
        <v>112</v>
      </c>
      <c r="K35" s="172"/>
      <c r="L35" s="212" t="s">
        <v>81</v>
      </c>
      <c r="M35" s="171" t="s">
        <v>46</v>
      </c>
      <c r="N35" s="212" t="s">
        <v>46</v>
      </c>
      <c r="O35" s="172"/>
      <c r="P35" s="78" t="s">
        <v>143</v>
      </c>
      <c r="Q35" s="169" t="str">
        <f>"116,1300"</f>
        <v>116,1300</v>
      </c>
      <c r="R35" s="72" t="s">
        <v>3391</v>
      </c>
    </row>
    <row r="36" spans="1:18" x14ac:dyDescent="0.2">
      <c r="A36" s="42"/>
      <c r="B36" s="75"/>
      <c r="C36" s="66"/>
      <c r="D36" s="66"/>
      <c r="E36" s="66"/>
      <c r="F36" s="65"/>
      <c r="G36" s="65"/>
      <c r="H36" s="66"/>
      <c r="I36" s="66"/>
      <c r="J36" s="66"/>
      <c r="K36" s="66"/>
      <c r="L36" s="66"/>
      <c r="M36" s="66"/>
      <c r="N36" s="66"/>
      <c r="O36" s="66"/>
      <c r="P36" s="75"/>
      <c r="Q36" s="66"/>
      <c r="R36" s="65"/>
    </row>
    <row r="37" spans="1:18" ht="15" x14ac:dyDescent="0.2">
      <c r="A37" s="42"/>
      <c r="B37" s="324" t="s">
        <v>3683</v>
      </c>
      <c r="C37" s="316"/>
      <c r="D37" s="316"/>
      <c r="E37" s="316"/>
      <c r="F37" s="316"/>
      <c r="G37" s="316"/>
      <c r="H37" s="316"/>
      <c r="I37" s="316"/>
      <c r="J37" s="316"/>
      <c r="K37" s="316"/>
      <c r="L37" s="316"/>
      <c r="M37" s="316"/>
      <c r="N37" s="316"/>
      <c r="O37" s="316"/>
      <c r="P37" s="324"/>
      <c r="Q37" s="316"/>
      <c r="R37" s="65"/>
    </row>
    <row r="38" spans="1:18" x14ac:dyDescent="0.2">
      <c r="A38" s="42">
        <v>1</v>
      </c>
      <c r="B38" s="76" t="s">
        <v>1161</v>
      </c>
      <c r="C38" s="259" t="s">
        <v>1162</v>
      </c>
      <c r="D38" s="259" t="s">
        <v>3315</v>
      </c>
      <c r="E38" s="165" t="str">
        <f>"0,5232"</f>
        <v>0,5232</v>
      </c>
      <c r="F38" s="261" t="s">
        <v>1163</v>
      </c>
      <c r="G38" s="70" t="s">
        <v>3264</v>
      </c>
      <c r="H38" s="210" t="s">
        <v>86</v>
      </c>
      <c r="I38" s="210" t="s">
        <v>51</v>
      </c>
      <c r="J38" s="210" t="s">
        <v>76</v>
      </c>
      <c r="K38" s="168"/>
      <c r="L38" s="210" t="s">
        <v>59</v>
      </c>
      <c r="M38" s="210" t="s">
        <v>51</v>
      </c>
      <c r="N38" s="167" t="s">
        <v>76</v>
      </c>
      <c r="O38" s="168"/>
      <c r="P38" s="76" t="s">
        <v>142</v>
      </c>
      <c r="Q38" s="165" t="str">
        <f>"88,9398"</f>
        <v>88,9398</v>
      </c>
      <c r="R38" s="70" t="s">
        <v>3391</v>
      </c>
    </row>
    <row r="39" spans="1:18" x14ac:dyDescent="0.2">
      <c r="A39" s="42">
        <v>1</v>
      </c>
      <c r="B39" s="72" t="s">
        <v>1161</v>
      </c>
      <c r="C39" s="260" t="s">
        <v>3684</v>
      </c>
      <c r="D39" s="260" t="s">
        <v>3315</v>
      </c>
      <c r="E39" s="169" t="str">
        <f>"0,5232"</f>
        <v>0,5232</v>
      </c>
      <c r="F39" s="262" t="s">
        <v>1163</v>
      </c>
      <c r="G39" s="72" t="s">
        <v>3264</v>
      </c>
      <c r="H39" s="212" t="s">
        <v>86</v>
      </c>
      <c r="I39" s="212" t="s">
        <v>51</v>
      </c>
      <c r="J39" s="212" t="s">
        <v>76</v>
      </c>
      <c r="K39" s="172"/>
      <c r="L39" s="212" t="s">
        <v>59</v>
      </c>
      <c r="M39" s="212" t="s">
        <v>51</v>
      </c>
      <c r="N39" s="171" t="s">
        <v>76</v>
      </c>
      <c r="O39" s="172"/>
      <c r="P39" s="78" t="s">
        <v>142</v>
      </c>
      <c r="Q39" s="169" t="str">
        <f>"89,8291"</f>
        <v>89,8291</v>
      </c>
      <c r="R39" s="72" t="s">
        <v>3391</v>
      </c>
    </row>
    <row r="40" spans="1:18" x14ac:dyDescent="0.2">
      <c r="A40" s="42"/>
      <c r="B40" s="75"/>
      <c r="C40" s="66"/>
      <c r="D40" s="66"/>
      <c r="E40" s="66"/>
      <c r="F40" s="65"/>
      <c r="G40" s="65"/>
      <c r="H40" s="66"/>
      <c r="I40" s="66"/>
      <c r="J40" s="66"/>
      <c r="K40" s="66"/>
      <c r="L40" s="66"/>
      <c r="M40" s="66"/>
      <c r="N40" s="66"/>
      <c r="O40" s="66"/>
      <c r="P40" s="75"/>
      <c r="Q40" s="66"/>
      <c r="R40" s="65"/>
    </row>
    <row r="41" spans="1:18" ht="18" x14ac:dyDescent="0.25">
      <c r="A41" s="1"/>
      <c r="B41" s="8" t="s">
        <v>4022</v>
      </c>
      <c r="C41" s="8"/>
      <c r="D41" s="66"/>
      <c r="E41" s="66"/>
      <c r="F41" s="65"/>
      <c r="G41" s="65"/>
      <c r="H41" s="66"/>
      <c r="I41" s="66"/>
      <c r="J41" s="66"/>
      <c r="K41" s="66"/>
      <c r="L41" s="66"/>
      <c r="M41" s="66"/>
      <c r="N41" s="66"/>
      <c r="O41" s="66"/>
      <c r="P41" s="75"/>
      <c r="Q41" s="66"/>
      <c r="R41" s="65"/>
    </row>
    <row r="42" spans="1:18" ht="15" x14ac:dyDescent="0.2">
      <c r="A42" s="1"/>
      <c r="B42" s="9" t="s">
        <v>3499</v>
      </c>
      <c r="C42" s="163"/>
      <c r="D42" s="66"/>
      <c r="E42" s="66"/>
      <c r="F42" s="65"/>
      <c r="G42" s="65"/>
      <c r="H42" s="66"/>
      <c r="I42" s="66"/>
      <c r="J42" s="66"/>
      <c r="K42" s="66"/>
      <c r="L42" s="66"/>
      <c r="M42" s="66"/>
      <c r="N42" s="66"/>
      <c r="O42" s="66"/>
      <c r="P42" s="75"/>
      <c r="Q42" s="66"/>
      <c r="R42" s="65"/>
    </row>
    <row r="43" spans="1:18" ht="14.25" x14ac:dyDescent="0.2">
      <c r="A43" s="1"/>
      <c r="B43" s="81"/>
      <c r="C43" s="213" t="s">
        <v>18</v>
      </c>
      <c r="D43" s="66"/>
      <c r="E43" s="66"/>
      <c r="F43" s="65"/>
      <c r="G43" s="65"/>
      <c r="H43" s="66"/>
      <c r="I43" s="66"/>
      <c r="J43" s="66"/>
      <c r="K43" s="66"/>
      <c r="L43" s="66"/>
      <c r="M43" s="66"/>
      <c r="N43" s="66"/>
      <c r="O43" s="66"/>
      <c r="P43" s="75"/>
      <c r="Q43" s="66"/>
      <c r="R43" s="65"/>
    </row>
    <row r="44" spans="1:18" ht="15" x14ac:dyDescent="0.2">
      <c r="A44" s="1"/>
      <c r="B44" s="82" t="s">
        <v>0</v>
      </c>
      <c r="C44" s="73" t="s">
        <v>19</v>
      </c>
      <c r="D44" s="73" t="s">
        <v>20</v>
      </c>
      <c r="E44" s="73" t="s">
        <v>3593</v>
      </c>
      <c r="F44" s="73" t="s">
        <v>2675</v>
      </c>
      <c r="G44" s="65"/>
      <c r="H44" s="66"/>
      <c r="I44" s="66"/>
      <c r="J44" s="66"/>
      <c r="K44" s="66"/>
      <c r="L44" s="66"/>
      <c r="M44" s="66"/>
      <c r="N44" s="66"/>
      <c r="O44" s="66"/>
      <c r="P44" s="75"/>
      <c r="Q44" s="66"/>
      <c r="R44" s="65"/>
    </row>
    <row r="45" spans="1:18" x14ac:dyDescent="0.2">
      <c r="A45" s="42">
        <v>1</v>
      </c>
      <c r="B45" s="83" t="s">
        <v>3685</v>
      </c>
      <c r="C45" s="186" t="s">
        <v>18</v>
      </c>
      <c r="D45" s="186" t="s">
        <v>21</v>
      </c>
      <c r="E45" s="186" t="s">
        <v>107</v>
      </c>
      <c r="F45" s="186" t="s">
        <v>3686</v>
      </c>
      <c r="G45" s="65"/>
      <c r="H45" s="66"/>
      <c r="I45" s="66"/>
      <c r="J45" s="66"/>
      <c r="K45" s="66"/>
      <c r="L45" s="66"/>
      <c r="M45" s="66"/>
      <c r="N45" s="66"/>
      <c r="O45" s="66"/>
      <c r="P45" s="75"/>
      <c r="Q45" s="66"/>
      <c r="R45" s="65"/>
    </row>
    <row r="46" spans="1:18" x14ac:dyDescent="0.2">
      <c r="A46" s="42">
        <v>2</v>
      </c>
      <c r="B46" s="83" t="s">
        <v>3627</v>
      </c>
      <c r="C46" s="186" t="s">
        <v>18</v>
      </c>
      <c r="D46" s="186" t="s">
        <v>21</v>
      </c>
      <c r="E46" s="186" t="s">
        <v>206</v>
      </c>
      <c r="F46" s="186" t="s">
        <v>3652</v>
      </c>
      <c r="G46" s="65"/>
      <c r="H46" s="66"/>
      <c r="I46" s="66"/>
      <c r="J46" s="66"/>
      <c r="K46" s="66"/>
      <c r="L46" s="66"/>
      <c r="M46" s="66"/>
      <c r="N46" s="66"/>
      <c r="O46" s="66"/>
      <c r="P46" s="75"/>
      <c r="Q46" s="66"/>
      <c r="R46" s="65"/>
    </row>
    <row r="47" spans="1:18" x14ac:dyDescent="0.2">
      <c r="A47" s="42">
        <v>3</v>
      </c>
      <c r="B47" s="83" t="s">
        <v>1920</v>
      </c>
      <c r="C47" s="186" t="s">
        <v>18</v>
      </c>
      <c r="D47" s="186" t="s">
        <v>303</v>
      </c>
      <c r="E47" s="186" t="s">
        <v>143</v>
      </c>
      <c r="F47" s="186" t="s">
        <v>3687</v>
      </c>
      <c r="G47" s="65"/>
      <c r="H47" s="66"/>
      <c r="I47" s="66"/>
      <c r="J47" s="66"/>
      <c r="K47" s="66"/>
      <c r="L47" s="66"/>
      <c r="M47" s="66"/>
      <c r="N47" s="66"/>
      <c r="O47" s="66"/>
      <c r="P47" s="75"/>
      <c r="Q47" s="66"/>
      <c r="R47" s="65"/>
    </row>
    <row r="48" spans="1:18" x14ac:dyDescent="0.2">
      <c r="A48" s="42"/>
      <c r="B48" s="75"/>
      <c r="C48" s="66"/>
      <c r="D48" s="66"/>
      <c r="E48" s="66"/>
      <c r="F48" s="65"/>
      <c r="G48" s="65"/>
      <c r="H48" s="66"/>
      <c r="I48" s="66"/>
      <c r="J48" s="66"/>
      <c r="K48" s="66"/>
      <c r="L48" s="66"/>
      <c r="M48" s="66"/>
      <c r="N48" s="66"/>
      <c r="O48" s="66"/>
      <c r="P48" s="75"/>
      <c r="Q48" s="66"/>
      <c r="R48" s="65"/>
    </row>
    <row r="49" spans="1:18" x14ac:dyDescent="0.2">
      <c r="A49" s="1"/>
      <c r="B49" s="75"/>
      <c r="C49" s="66"/>
      <c r="D49" s="66"/>
      <c r="E49" s="66"/>
      <c r="F49" s="65"/>
      <c r="G49" s="65"/>
      <c r="H49" s="66"/>
      <c r="I49" s="66"/>
      <c r="J49" s="66"/>
      <c r="K49" s="66"/>
      <c r="L49" s="66"/>
      <c r="M49" s="66"/>
      <c r="N49" s="66"/>
      <c r="O49" s="66"/>
      <c r="P49" s="75"/>
      <c r="Q49" s="66"/>
      <c r="R49" s="65"/>
    </row>
    <row r="50" spans="1:18" x14ac:dyDescent="0.2">
      <c r="A50" s="1"/>
      <c r="B50" s="75"/>
      <c r="C50" s="66"/>
      <c r="D50" s="66"/>
      <c r="E50" s="66"/>
      <c r="F50" s="65"/>
      <c r="G50" s="65"/>
      <c r="H50" s="66"/>
      <c r="I50" s="66"/>
      <c r="J50" s="66"/>
      <c r="K50" s="66"/>
      <c r="L50" s="66"/>
      <c r="M50" s="66"/>
      <c r="N50" s="66"/>
      <c r="O50" s="66"/>
      <c r="P50" s="75"/>
      <c r="Q50" s="66"/>
      <c r="R50" s="65"/>
    </row>
    <row r="51" spans="1:18" x14ac:dyDescent="0.2">
      <c r="A51" s="1"/>
      <c r="B51" s="75"/>
      <c r="C51" s="66"/>
      <c r="D51" s="66"/>
      <c r="E51" s="66"/>
      <c r="F51" s="65"/>
      <c r="G51" s="65"/>
      <c r="H51" s="66"/>
      <c r="I51" s="66"/>
      <c r="J51" s="66"/>
      <c r="K51" s="66"/>
      <c r="L51" s="66"/>
      <c r="M51" s="66"/>
      <c r="N51" s="66"/>
      <c r="O51" s="66"/>
      <c r="P51" s="75"/>
      <c r="Q51" s="66"/>
      <c r="R51" s="65"/>
    </row>
    <row r="52" spans="1:18" x14ac:dyDescent="0.2">
      <c r="A52" s="1"/>
      <c r="B52" s="75"/>
      <c r="C52" s="66"/>
      <c r="D52" s="66"/>
      <c r="E52" s="66"/>
      <c r="F52" s="65"/>
      <c r="G52" s="65"/>
      <c r="H52" s="66"/>
      <c r="I52" s="66"/>
      <c r="J52" s="66"/>
      <c r="K52" s="66"/>
      <c r="L52" s="66"/>
      <c r="M52" s="66"/>
      <c r="N52" s="66"/>
      <c r="O52" s="66"/>
      <c r="P52" s="75"/>
      <c r="Q52" s="66"/>
      <c r="R52" s="65"/>
    </row>
  </sheetData>
  <mergeCells count="22">
    <mergeCell ref="B37:Q37"/>
    <mergeCell ref="R4:R5"/>
    <mergeCell ref="B15:Q15"/>
    <mergeCell ref="B24:Q24"/>
    <mergeCell ref="B28:Q28"/>
    <mergeCell ref="B33:Q33"/>
    <mergeCell ref="A1:R1"/>
    <mergeCell ref="A2:R2"/>
    <mergeCell ref="A3:R3"/>
    <mergeCell ref="B6:Q6"/>
    <mergeCell ref="B9:Q9"/>
    <mergeCell ref="B4:B5"/>
    <mergeCell ref="C4:C5"/>
    <mergeCell ref="D4:D5"/>
    <mergeCell ref="E4:E5"/>
    <mergeCell ref="F4:F5"/>
    <mergeCell ref="G4:G5"/>
    <mergeCell ref="H4:K4"/>
    <mergeCell ref="A4:A5"/>
    <mergeCell ref="L4:O4"/>
    <mergeCell ref="P4:P5"/>
    <mergeCell ref="Q4:Q5"/>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topLeftCell="B65" workbookViewId="0">
      <selection activeCell="F55" sqref="F55"/>
    </sheetView>
  </sheetViews>
  <sheetFormatPr defaultColWidth="8.7109375" defaultRowHeight="12.75" x14ac:dyDescent="0.2"/>
  <cols>
    <col min="1" max="1" width="6.5703125" style="43" bestFit="1" customWidth="1"/>
    <col min="2" max="2" width="24.28515625" style="6" bestFit="1" customWidth="1"/>
    <col min="3" max="3" width="26.85546875" style="6" bestFit="1" customWidth="1"/>
    <col min="4" max="4" width="8.28515625" style="6" bestFit="1" customWidth="1"/>
    <col min="5" max="5" width="7.5703125" style="6" bestFit="1" customWidth="1"/>
    <col min="6" max="6" width="21.42578125" style="6" customWidth="1"/>
    <col min="7" max="7" width="48.140625" style="6" bestFit="1" customWidth="1"/>
    <col min="8" max="14" width="5.5703125" style="27" bestFit="1" customWidth="1"/>
    <col min="15" max="15" width="4.85546875" style="27" bestFit="1" customWidth="1"/>
    <col min="16" max="19" width="5.5703125" style="27" bestFit="1" customWidth="1"/>
    <col min="20" max="20" width="6.7109375" style="32" bestFit="1" customWidth="1"/>
    <col min="21" max="21" width="9.85546875" style="27" bestFit="1" customWidth="1"/>
    <col min="22" max="22" width="25.140625" style="6" customWidth="1"/>
  </cols>
  <sheetData>
    <row r="1" spans="1:22" s="1" customFormat="1" ht="30" customHeight="1" x14ac:dyDescent="0.2">
      <c r="A1" s="295" t="s">
        <v>4023</v>
      </c>
      <c r="B1" s="295"/>
      <c r="C1" s="295"/>
      <c r="D1" s="295"/>
      <c r="E1" s="295"/>
      <c r="F1" s="295"/>
      <c r="G1" s="295"/>
      <c r="H1" s="295"/>
      <c r="I1" s="295"/>
      <c r="J1" s="295"/>
      <c r="K1" s="295"/>
      <c r="L1" s="295"/>
      <c r="M1" s="295"/>
      <c r="N1" s="295"/>
      <c r="O1" s="295"/>
      <c r="P1" s="295"/>
      <c r="Q1" s="295"/>
      <c r="R1" s="295"/>
      <c r="S1" s="295"/>
      <c r="T1" s="295"/>
      <c r="U1" s="295"/>
      <c r="V1" s="296"/>
    </row>
    <row r="2" spans="1:22" s="1" customFormat="1" ht="30" x14ac:dyDescent="0.2">
      <c r="A2" s="295" t="s">
        <v>4027</v>
      </c>
      <c r="B2" s="295"/>
      <c r="C2" s="295"/>
      <c r="D2" s="295"/>
      <c r="E2" s="295"/>
      <c r="F2" s="295"/>
      <c r="G2" s="295"/>
      <c r="H2" s="295"/>
      <c r="I2" s="295"/>
      <c r="J2" s="295"/>
      <c r="K2" s="295"/>
      <c r="L2" s="295"/>
      <c r="M2" s="295"/>
      <c r="N2" s="295"/>
      <c r="O2" s="295"/>
      <c r="P2" s="295"/>
      <c r="Q2" s="295"/>
      <c r="R2" s="295"/>
      <c r="S2" s="295"/>
      <c r="T2" s="295"/>
      <c r="U2" s="295"/>
      <c r="V2" s="296"/>
    </row>
    <row r="3" spans="1:22" s="1" customFormat="1" ht="30.75" thickBot="1" x14ac:dyDescent="0.25">
      <c r="A3" s="295" t="s">
        <v>3381</v>
      </c>
      <c r="B3" s="295"/>
      <c r="C3" s="295"/>
      <c r="D3" s="295"/>
      <c r="E3" s="295"/>
      <c r="F3" s="295"/>
      <c r="G3" s="295"/>
      <c r="H3" s="295"/>
      <c r="I3" s="295"/>
      <c r="J3" s="295"/>
      <c r="K3" s="295"/>
      <c r="L3" s="295"/>
      <c r="M3" s="295"/>
      <c r="N3" s="295"/>
      <c r="O3" s="295"/>
      <c r="P3" s="295"/>
      <c r="Q3" s="295"/>
      <c r="R3" s="295"/>
      <c r="S3" s="295"/>
      <c r="T3" s="295"/>
      <c r="U3" s="295"/>
      <c r="V3" s="296"/>
    </row>
    <row r="4" spans="1:22" s="5" customFormat="1" ht="12.75" customHeight="1" x14ac:dyDescent="0.2">
      <c r="A4" s="297" t="s">
        <v>719</v>
      </c>
      <c r="B4" s="312" t="s">
        <v>0</v>
      </c>
      <c r="C4" s="302" t="s">
        <v>3382</v>
      </c>
      <c r="D4" s="302" t="s">
        <v>8</v>
      </c>
      <c r="E4" s="304" t="s">
        <v>9</v>
      </c>
      <c r="F4" s="304" t="s">
        <v>1</v>
      </c>
      <c r="G4" s="305" t="s">
        <v>795</v>
      </c>
      <c r="H4" s="300" t="s">
        <v>2</v>
      </c>
      <c r="I4" s="304"/>
      <c r="J4" s="304"/>
      <c r="K4" s="307"/>
      <c r="L4" s="300" t="s">
        <v>3</v>
      </c>
      <c r="M4" s="304"/>
      <c r="N4" s="304"/>
      <c r="O4" s="307"/>
      <c r="P4" s="300" t="s">
        <v>4</v>
      </c>
      <c r="Q4" s="304"/>
      <c r="R4" s="304"/>
      <c r="S4" s="307"/>
      <c r="T4" s="308" t="s">
        <v>3593</v>
      </c>
      <c r="U4" s="304" t="s">
        <v>6</v>
      </c>
      <c r="V4" s="307" t="s">
        <v>5</v>
      </c>
    </row>
    <row r="5" spans="1:22" s="5" customFormat="1" ht="23.25" customHeight="1" thickBot="1" x14ac:dyDescent="0.25">
      <c r="A5" s="298"/>
      <c r="B5" s="313"/>
      <c r="C5" s="303"/>
      <c r="D5" s="303"/>
      <c r="E5" s="303"/>
      <c r="F5" s="303"/>
      <c r="G5" s="306"/>
      <c r="H5" s="3">
        <v>1</v>
      </c>
      <c r="I5" s="2">
        <v>2</v>
      </c>
      <c r="J5" s="2">
        <v>3</v>
      </c>
      <c r="K5" s="4" t="s">
        <v>7</v>
      </c>
      <c r="L5" s="3">
        <v>1</v>
      </c>
      <c r="M5" s="2">
        <v>2</v>
      </c>
      <c r="N5" s="2">
        <v>3</v>
      </c>
      <c r="O5" s="4" t="s">
        <v>7</v>
      </c>
      <c r="P5" s="3">
        <v>1</v>
      </c>
      <c r="Q5" s="2">
        <v>2</v>
      </c>
      <c r="R5" s="2">
        <v>3</v>
      </c>
      <c r="S5" s="4" t="s">
        <v>7</v>
      </c>
      <c r="T5" s="309"/>
      <c r="U5" s="303"/>
      <c r="V5" s="310"/>
    </row>
    <row r="6" spans="1:22" ht="15" x14ac:dyDescent="0.2">
      <c r="B6" s="299" t="s">
        <v>4005</v>
      </c>
      <c r="C6" s="299"/>
      <c r="D6" s="299"/>
      <c r="E6" s="299"/>
      <c r="F6" s="299"/>
      <c r="G6" s="299"/>
      <c r="H6" s="299"/>
      <c r="I6" s="299"/>
      <c r="J6" s="299"/>
      <c r="K6" s="299"/>
      <c r="L6" s="299"/>
      <c r="M6" s="299"/>
      <c r="N6" s="299"/>
      <c r="O6" s="299"/>
      <c r="P6" s="299"/>
      <c r="Q6" s="299"/>
      <c r="R6" s="299"/>
      <c r="S6" s="299"/>
      <c r="T6" s="299"/>
      <c r="U6" s="299"/>
    </row>
    <row r="7" spans="1:22" x14ac:dyDescent="0.2">
      <c r="A7" s="43">
        <v>1</v>
      </c>
      <c r="B7" s="7" t="s">
        <v>572</v>
      </c>
      <c r="C7" s="7" t="s">
        <v>573</v>
      </c>
      <c r="D7" s="7" t="s">
        <v>90</v>
      </c>
      <c r="E7" s="7" t="str">
        <f>"2,1376"</f>
        <v>2,1376</v>
      </c>
      <c r="F7" s="7" t="s">
        <v>854</v>
      </c>
      <c r="G7" s="7" t="s">
        <v>796</v>
      </c>
      <c r="H7" s="34" t="s">
        <v>169</v>
      </c>
      <c r="I7" s="34" t="s">
        <v>112</v>
      </c>
      <c r="J7" s="34" t="s">
        <v>104</v>
      </c>
      <c r="K7" s="20"/>
      <c r="L7" s="34" t="s">
        <v>75</v>
      </c>
      <c r="M7" s="34" t="s">
        <v>86</v>
      </c>
      <c r="N7" s="34" t="s">
        <v>67</v>
      </c>
      <c r="O7" s="20"/>
      <c r="P7" s="34" t="s">
        <v>116</v>
      </c>
      <c r="Q7" s="34" t="s">
        <v>574</v>
      </c>
      <c r="R7" s="41" t="s">
        <v>25</v>
      </c>
      <c r="S7" s="20"/>
      <c r="T7" s="28">
        <v>340</v>
      </c>
      <c r="U7" s="19" t="str">
        <f>"726,7840"</f>
        <v>726,7840</v>
      </c>
      <c r="V7" s="7" t="s">
        <v>744</v>
      </c>
    </row>
    <row r="9" spans="1:22" ht="15" x14ac:dyDescent="0.2">
      <c r="B9" s="294" t="s">
        <v>4014</v>
      </c>
      <c r="C9" s="294"/>
      <c r="D9" s="294"/>
      <c r="E9" s="294"/>
      <c r="F9" s="294"/>
      <c r="G9" s="294"/>
      <c r="H9" s="294"/>
      <c r="I9" s="294"/>
      <c r="J9" s="294"/>
      <c r="K9" s="294"/>
      <c r="L9" s="294"/>
      <c r="M9" s="294"/>
      <c r="N9" s="294"/>
      <c r="O9" s="294"/>
      <c r="P9" s="294"/>
      <c r="Q9" s="294"/>
      <c r="R9" s="294"/>
      <c r="S9" s="294"/>
      <c r="T9" s="294"/>
      <c r="U9" s="294"/>
    </row>
    <row r="10" spans="1:22" x14ac:dyDescent="0.2">
      <c r="A10" s="43">
        <v>1</v>
      </c>
      <c r="B10" s="15" t="s">
        <v>575</v>
      </c>
      <c r="C10" s="15" t="s">
        <v>576</v>
      </c>
      <c r="D10" s="15" t="s">
        <v>558</v>
      </c>
      <c r="E10" s="15" t="str">
        <f>"1,9872"</f>
        <v>1,9872</v>
      </c>
      <c r="F10" s="15" t="s">
        <v>4020</v>
      </c>
      <c r="G10" s="15" t="s">
        <v>797</v>
      </c>
      <c r="H10" s="35" t="s">
        <v>76</v>
      </c>
      <c r="I10" s="35" t="s">
        <v>69</v>
      </c>
      <c r="J10" s="38" t="s">
        <v>70</v>
      </c>
      <c r="K10" s="22"/>
      <c r="L10" s="35" t="s">
        <v>45</v>
      </c>
      <c r="M10" s="38" t="s">
        <v>59</v>
      </c>
      <c r="N10" s="35" t="s">
        <v>59</v>
      </c>
      <c r="O10" s="22"/>
      <c r="P10" s="35" t="s">
        <v>97</v>
      </c>
      <c r="Q10" s="35" t="s">
        <v>69</v>
      </c>
      <c r="R10" s="35" t="s">
        <v>70</v>
      </c>
      <c r="S10" s="22"/>
      <c r="T10" s="29">
        <v>275</v>
      </c>
      <c r="U10" s="21" t="str">
        <f>"546,4800"</f>
        <v>546,4800</v>
      </c>
      <c r="V10" s="15" t="s">
        <v>738</v>
      </c>
    </row>
    <row r="11" spans="1:22" x14ac:dyDescent="0.2">
      <c r="A11" s="43">
        <v>1</v>
      </c>
      <c r="B11" s="16" t="s">
        <v>577</v>
      </c>
      <c r="C11" s="16" t="s">
        <v>578</v>
      </c>
      <c r="D11" s="16" t="s">
        <v>579</v>
      </c>
      <c r="E11" s="16" t="str">
        <f>"1,9050"</f>
        <v>1,9050</v>
      </c>
      <c r="F11" s="16" t="s">
        <v>4020</v>
      </c>
      <c r="G11" s="16" t="s">
        <v>796</v>
      </c>
      <c r="H11" s="36" t="s">
        <v>69</v>
      </c>
      <c r="I11" s="36" t="s">
        <v>71</v>
      </c>
      <c r="J11" s="36" t="s">
        <v>112</v>
      </c>
      <c r="K11" s="24"/>
      <c r="L11" s="36" t="s">
        <v>52</v>
      </c>
      <c r="M11" s="36" t="s">
        <v>92</v>
      </c>
      <c r="N11" s="36" t="s">
        <v>59</v>
      </c>
      <c r="O11" s="24"/>
      <c r="P11" s="36" t="s">
        <v>61</v>
      </c>
      <c r="Q11" s="36" t="s">
        <v>65</v>
      </c>
      <c r="R11" s="36" t="s">
        <v>69</v>
      </c>
      <c r="S11" s="24"/>
      <c r="T11" s="30">
        <v>285</v>
      </c>
      <c r="U11" s="23" t="str">
        <f>"542,9250"</f>
        <v>542,9250</v>
      </c>
      <c r="V11" s="16" t="s">
        <v>743</v>
      </c>
    </row>
    <row r="12" spans="1:22" x14ac:dyDescent="0.2">
      <c r="A12" s="43">
        <v>2</v>
      </c>
      <c r="B12" s="17" t="s">
        <v>580</v>
      </c>
      <c r="C12" s="17" t="s">
        <v>581</v>
      </c>
      <c r="D12" s="17" t="s">
        <v>582</v>
      </c>
      <c r="E12" s="17" t="str">
        <f>"1,9630"</f>
        <v>1,9630</v>
      </c>
      <c r="F12" s="17" t="s">
        <v>4020</v>
      </c>
      <c r="G12" s="17" t="s">
        <v>796</v>
      </c>
      <c r="H12" s="37" t="s">
        <v>70</v>
      </c>
      <c r="I12" s="39" t="s">
        <v>112</v>
      </c>
      <c r="J12" s="39" t="s">
        <v>112</v>
      </c>
      <c r="K12" s="26"/>
      <c r="L12" s="37" t="s">
        <v>59</v>
      </c>
      <c r="M12" s="39" t="s">
        <v>75</v>
      </c>
      <c r="N12" s="39" t="s">
        <v>75</v>
      </c>
      <c r="O12" s="26"/>
      <c r="P12" s="37" t="s">
        <v>97</v>
      </c>
      <c r="Q12" s="39" t="s">
        <v>87</v>
      </c>
      <c r="R12" s="37" t="s">
        <v>87</v>
      </c>
      <c r="S12" s="26"/>
      <c r="T12" s="31">
        <v>277.5</v>
      </c>
      <c r="U12" s="25" t="str">
        <f>"544,7325"</f>
        <v>544,7325</v>
      </c>
      <c r="V12" s="17" t="s">
        <v>743</v>
      </c>
    </row>
    <row r="14" spans="1:22" ht="15" x14ac:dyDescent="0.2">
      <c r="B14" s="294" t="s">
        <v>4006</v>
      </c>
      <c r="C14" s="294"/>
      <c r="D14" s="294"/>
      <c r="E14" s="294"/>
      <c r="F14" s="294"/>
      <c r="G14" s="294"/>
      <c r="H14" s="294"/>
      <c r="I14" s="294"/>
      <c r="J14" s="294"/>
      <c r="K14" s="294"/>
      <c r="L14" s="294"/>
      <c r="M14" s="294"/>
      <c r="N14" s="294"/>
      <c r="O14" s="294"/>
      <c r="P14" s="294"/>
      <c r="Q14" s="294"/>
      <c r="R14" s="294"/>
      <c r="S14" s="294"/>
      <c r="T14" s="294"/>
      <c r="U14" s="294"/>
    </row>
    <row r="15" spans="1:22" x14ac:dyDescent="0.2">
      <c r="A15" s="43">
        <v>1</v>
      </c>
      <c r="B15" s="7" t="s">
        <v>583</v>
      </c>
      <c r="C15" s="7" t="s">
        <v>584</v>
      </c>
      <c r="D15" s="7" t="s">
        <v>585</v>
      </c>
      <c r="E15" s="7" t="str">
        <f>"1,7902"</f>
        <v>1,7902</v>
      </c>
      <c r="F15" s="7" t="s">
        <v>855</v>
      </c>
      <c r="G15" s="7" t="s">
        <v>796</v>
      </c>
      <c r="H15" s="34" t="s">
        <v>61</v>
      </c>
      <c r="I15" s="34" t="s">
        <v>65</v>
      </c>
      <c r="J15" s="34" t="s">
        <v>66</v>
      </c>
      <c r="K15" s="20"/>
      <c r="L15" s="41" t="s">
        <v>86</v>
      </c>
      <c r="M15" s="34" t="s">
        <v>86</v>
      </c>
      <c r="N15" s="34" t="s">
        <v>67</v>
      </c>
      <c r="O15" s="45"/>
      <c r="P15" s="34" t="s">
        <v>23</v>
      </c>
      <c r="Q15" s="34" t="s">
        <v>116</v>
      </c>
      <c r="R15" s="41" t="s">
        <v>186</v>
      </c>
      <c r="S15" s="20"/>
      <c r="T15" s="28">
        <v>310</v>
      </c>
      <c r="U15" s="19" t="str">
        <f>"554,9620"</f>
        <v>554,9620</v>
      </c>
      <c r="V15" s="7" t="s">
        <v>727</v>
      </c>
    </row>
    <row r="17" spans="1:22" ht="15" x14ac:dyDescent="0.2">
      <c r="B17" s="294" t="s">
        <v>4007</v>
      </c>
      <c r="C17" s="294"/>
      <c r="D17" s="294"/>
      <c r="E17" s="294"/>
      <c r="F17" s="294"/>
      <c r="G17" s="294"/>
      <c r="H17" s="294"/>
      <c r="I17" s="294"/>
      <c r="J17" s="294"/>
      <c r="K17" s="294"/>
      <c r="L17" s="294"/>
      <c r="M17" s="294"/>
      <c r="N17" s="294"/>
      <c r="O17" s="294"/>
      <c r="P17" s="294"/>
      <c r="Q17" s="294"/>
      <c r="R17" s="294"/>
      <c r="S17" s="294"/>
      <c r="T17" s="294"/>
      <c r="U17" s="294"/>
    </row>
    <row r="18" spans="1:22" x14ac:dyDescent="0.2">
      <c r="A18" s="43">
        <v>1</v>
      </c>
      <c r="B18" s="15" t="s">
        <v>587</v>
      </c>
      <c r="C18" s="15" t="s">
        <v>588</v>
      </c>
      <c r="D18" s="15" t="s">
        <v>569</v>
      </c>
      <c r="E18" s="15" t="str">
        <f>"1,6688"</f>
        <v>1,6688</v>
      </c>
      <c r="F18" s="15" t="s">
        <v>4020</v>
      </c>
      <c r="G18" s="15" t="s">
        <v>798</v>
      </c>
      <c r="H18" s="35" t="s">
        <v>69</v>
      </c>
      <c r="I18" s="35" t="s">
        <v>71</v>
      </c>
      <c r="J18" s="38" t="s">
        <v>104</v>
      </c>
      <c r="K18" s="22"/>
      <c r="L18" s="35" t="s">
        <v>86</v>
      </c>
      <c r="M18" s="38" t="s">
        <v>53</v>
      </c>
      <c r="N18" s="35" t="s">
        <v>53</v>
      </c>
      <c r="O18" s="22"/>
      <c r="P18" s="35" t="s">
        <v>71</v>
      </c>
      <c r="Q18" s="35" t="s">
        <v>104</v>
      </c>
      <c r="R18" s="38" t="s">
        <v>116</v>
      </c>
      <c r="S18" s="22"/>
      <c r="T18" s="29">
        <v>315</v>
      </c>
      <c r="U18" s="21" t="str">
        <f>"525,6720"</f>
        <v>525,6720</v>
      </c>
      <c r="V18" s="15" t="s">
        <v>738</v>
      </c>
    </row>
    <row r="19" spans="1:22" x14ac:dyDescent="0.2">
      <c r="A19" s="43">
        <v>2</v>
      </c>
      <c r="B19" s="16" t="s">
        <v>589</v>
      </c>
      <c r="C19" s="16" t="s">
        <v>590</v>
      </c>
      <c r="D19" s="16" t="s">
        <v>591</v>
      </c>
      <c r="E19" s="16" t="str">
        <f>"1,7336"</f>
        <v>1,7336</v>
      </c>
      <c r="F19" s="16" t="s">
        <v>4020</v>
      </c>
      <c r="G19" s="16" t="s">
        <v>799</v>
      </c>
      <c r="H19" s="36" t="s">
        <v>55</v>
      </c>
      <c r="I19" s="36" t="s">
        <v>46</v>
      </c>
      <c r="J19" s="36" t="s">
        <v>61</v>
      </c>
      <c r="K19" s="44"/>
      <c r="L19" s="36" t="s">
        <v>44</v>
      </c>
      <c r="M19" s="40" t="s">
        <v>60</v>
      </c>
      <c r="N19" s="40" t="s">
        <v>60</v>
      </c>
      <c r="O19" s="24"/>
      <c r="P19" s="36" t="s">
        <v>42</v>
      </c>
      <c r="Q19" s="36" t="s">
        <v>61</v>
      </c>
      <c r="R19" s="36" t="s">
        <v>97</v>
      </c>
      <c r="S19" s="24"/>
      <c r="T19" s="30">
        <v>242.5</v>
      </c>
      <c r="U19" s="23" t="str">
        <f>"420,3980"</f>
        <v>420,3980</v>
      </c>
      <c r="V19" s="16" t="s">
        <v>3391</v>
      </c>
    </row>
    <row r="20" spans="1:22" x14ac:dyDescent="0.2">
      <c r="A20" s="43">
        <v>1</v>
      </c>
      <c r="B20" s="17" t="s">
        <v>592</v>
      </c>
      <c r="C20" s="17" t="s">
        <v>593</v>
      </c>
      <c r="D20" s="17" t="s">
        <v>560</v>
      </c>
      <c r="E20" s="17" t="str">
        <f>"1,6624"</f>
        <v>1,6624</v>
      </c>
      <c r="F20" s="17" t="s">
        <v>856</v>
      </c>
      <c r="G20" s="17" t="s">
        <v>800</v>
      </c>
      <c r="H20" s="37" t="s">
        <v>53</v>
      </c>
      <c r="I20" s="37" t="s">
        <v>51</v>
      </c>
      <c r="J20" s="37" t="s">
        <v>41</v>
      </c>
      <c r="K20" s="26"/>
      <c r="L20" s="37" t="s">
        <v>594</v>
      </c>
      <c r="M20" s="37" t="s">
        <v>80</v>
      </c>
      <c r="N20" s="39" t="s">
        <v>52</v>
      </c>
      <c r="O20" s="26"/>
      <c r="P20" s="37" t="s">
        <v>51</v>
      </c>
      <c r="Q20" s="37" t="s">
        <v>55</v>
      </c>
      <c r="R20" s="39" t="s">
        <v>43</v>
      </c>
      <c r="S20" s="26"/>
      <c r="T20" s="31">
        <v>190</v>
      </c>
      <c r="U20" s="25" t="str">
        <f>"329,7537"</f>
        <v>329,7537</v>
      </c>
      <c r="V20" s="17" t="s">
        <v>742</v>
      </c>
    </row>
    <row r="22" spans="1:22" ht="15" x14ac:dyDescent="0.2">
      <c r="B22" s="294" t="s">
        <v>4008</v>
      </c>
      <c r="C22" s="294"/>
      <c r="D22" s="294"/>
      <c r="E22" s="294"/>
      <c r="F22" s="294"/>
      <c r="G22" s="294"/>
      <c r="H22" s="294"/>
      <c r="I22" s="294"/>
      <c r="J22" s="294"/>
      <c r="K22" s="294"/>
      <c r="L22" s="294"/>
      <c r="M22" s="294"/>
      <c r="N22" s="294"/>
      <c r="O22" s="294"/>
      <c r="P22" s="294"/>
      <c r="Q22" s="294"/>
      <c r="R22" s="294"/>
      <c r="S22" s="294"/>
      <c r="T22" s="294"/>
      <c r="U22" s="294"/>
    </row>
    <row r="23" spans="1:22" x14ac:dyDescent="0.2">
      <c r="A23" s="43">
        <v>1</v>
      </c>
      <c r="B23" s="7" t="s">
        <v>353</v>
      </c>
      <c r="C23" s="7" t="s">
        <v>354</v>
      </c>
      <c r="D23" s="7" t="s">
        <v>355</v>
      </c>
      <c r="E23" s="7" t="str">
        <f>"1,5442"</f>
        <v>1,5442</v>
      </c>
      <c r="F23" s="7" t="s">
        <v>857</v>
      </c>
      <c r="G23" s="7" t="s">
        <v>801</v>
      </c>
      <c r="H23" s="34" t="s">
        <v>43</v>
      </c>
      <c r="I23" s="34" t="s">
        <v>85</v>
      </c>
      <c r="J23" s="34" t="s">
        <v>61</v>
      </c>
      <c r="K23" s="20"/>
      <c r="L23" s="34" t="s">
        <v>60</v>
      </c>
      <c r="M23" s="34" t="s">
        <v>93</v>
      </c>
      <c r="N23" s="41" t="s">
        <v>75</v>
      </c>
      <c r="O23" s="20"/>
      <c r="P23" s="34" t="s">
        <v>71</v>
      </c>
      <c r="Q23" s="41" t="s">
        <v>158</v>
      </c>
      <c r="R23" s="34" t="s">
        <v>158</v>
      </c>
      <c r="S23" s="20"/>
      <c r="T23" s="28">
        <v>277.5</v>
      </c>
      <c r="U23" s="19" t="str">
        <f>"428,5155"</f>
        <v>428,5155</v>
      </c>
      <c r="V23" s="7" t="s">
        <v>3391</v>
      </c>
    </row>
    <row r="25" spans="1:22" ht="15" x14ac:dyDescent="0.2">
      <c r="B25" s="294" t="s">
        <v>4014</v>
      </c>
      <c r="C25" s="294"/>
      <c r="D25" s="294"/>
      <c r="E25" s="294"/>
      <c r="F25" s="294"/>
      <c r="G25" s="294"/>
      <c r="H25" s="294"/>
      <c r="I25" s="294"/>
      <c r="J25" s="294"/>
      <c r="K25" s="294"/>
      <c r="L25" s="294"/>
      <c r="M25" s="294"/>
      <c r="N25" s="294"/>
      <c r="O25" s="294"/>
      <c r="P25" s="294"/>
      <c r="Q25" s="294"/>
      <c r="R25" s="294"/>
      <c r="S25" s="294"/>
      <c r="T25" s="294"/>
      <c r="U25" s="294"/>
    </row>
    <row r="26" spans="1:22" x14ac:dyDescent="0.2">
      <c r="A26" s="43">
        <v>1</v>
      </c>
      <c r="B26" s="7" t="s">
        <v>595</v>
      </c>
      <c r="C26" s="7" t="s">
        <v>596</v>
      </c>
      <c r="D26" s="7" t="s">
        <v>579</v>
      </c>
      <c r="E26" s="7" t="str">
        <f>"1,5930"</f>
        <v>1,5930</v>
      </c>
      <c r="F26" s="7" t="s">
        <v>4020</v>
      </c>
      <c r="G26" s="7" t="s">
        <v>802</v>
      </c>
      <c r="H26" s="34" t="s">
        <v>36</v>
      </c>
      <c r="I26" s="34" t="s">
        <v>25</v>
      </c>
      <c r="J26" s="34" t="s">
        <v>127</v>
      </c>
      <c r="K26" s="41" t="s">
        <v>141</v>
      </c>
      <c r="L26" s="34" t="s">
        <v>41</v>
      </c>
      <c r="M26" s="34" t="s">
        <v>42</v>
      </c>
      <c r="N26" s="41" t="s">
        <v>43</v>
      </c>
      <c r="O26" s="20"/>
      <c r="P26" s="34" t="s">
        <v>156</v>
      </c>
      <c r="Q26" s="41" t="s">
        <v>260</v>
      </c>
      <c r="R26" s="41" t="s">
        <v>260</v>
      </c>
      <c r="S26" s="20"/>
      <c r="T26" s="28">
        <v>415</v>
      </c>
      <c r="U26" s="19" t="str">
        <f>"661,0950"</f>
        <v>661,0950</v>
      </c>
      <c r="V26" s="7" t="s">
        <v>741</v>
      </c>
    </row>
    <row r="28" spans="1:22" ht="15" x14ac:dyDescent="0.2">
      <c r="B28" s="294" t="s">
        <v>4006</v>
      </c>
      <c r="C28" s="294"/>
      <c r="D28" s="294"/>
      <c r="E28" s="294"/>
      <c r="F28" s="294"/>
      <c r="G28" s="294"/>
      <c r="H28" s="294"/>
      <c r="I28" s="294"/>
      <c r="J28" s="294"/>
      <c r="K28" s="294"/>
      <c r="L28" s="294"/>
      <c r="M28" s="294"/>
      <c r="N28" s="294"/>
      <c r="O28" s="294"/>
      <c r="P28" s="294"/>
      <c r="Q28" s="294"/>
      <c r="R28" s="294"/>
      <c r="S28" s="294"/>
      <c r="T28" s="294"/>
      <c r="U28" s="294"/>
    </row>
    <row r="29" spans="1:22" x14ac:dyDescent="0.2">
      <c r="A29" s="43">
        <v>1</v>
      </c>
      <c r="B29" s="7" t="s">
        <v>597</v>
      </c>
      <c r="C29" s="7" t="s">
        <v>598</v>
      </c>
      <c r="D29" s="7" t="s">
        <v>599</v>
      </c>
      <c r="E29" s="7" t="str">
        <f>"1,4970"</f>
        <v>1,4970</v>
      </c>
      <c r="F29" s="7" t="s">
        <v>4020</v>
      </c>
      <c r="G29" s="7" t="s">
        <v>803</v>
      </c>
      <c r="H29" s="34" t="s">
        <v>157</v>
      </c>
      <c r="I29" s="34" t="s">
        <v>158</v>
      </c>
      <c r="J29" s="41" t="s">
        <v>165</v>
      </c>
      <c r="K29" s="20"/>
      <c r="L29" s="34" t="s">
        <v>86</v>
      </c>
      <c r="M29" s="34" t="s">
        <v>53</v>
      </c>
      <c r="N29" s="34" t="s">
        <v>68</v>
      </c>
      <c r="O29" s="20"/>
      <c r="P29" s="34" t="s">
        <v>87</v>
      </c>
      <c r="Q29" s="41" t="s">
        <v>169</v>
      </c>
      <c r="R29" s="34" t="s">
        <v>169</v>
      </c>
      <c r="S29" s="20"/>
      <c r="T29" s="28">
        <v>312.5</v>
      </c>
      <c r="U29" s="19" t="str">
        <f>"467,8125"</f>
        <v>467,8125</v>
      </c>
      <c r="V29" s="7" t="s">
        <v>740</v>
      </c>
    </row>
    <row r="31" spans="1:22" ht="15" x14ac:dyDescent="0.2">
      <c r="B31" s="294" t="s">
        <v>4007</v>
      </c>
      <c r="C31" s="294"/>
      <c r="D31" s="294"/>
      <c r="E31" s="294"/>
      <c r="F31" s="294"/>
      <c r="G31" s="294"/>
      <c r="H31" s="294"/>
      <c r="I31" s="294"/>
      <c r="J31" s="294"/>
      <c r="K31" s="294"/>
      <c r="L31" s="294"/>
      <c r="M31" s="294"/>
      <c r="N31" s="294"/>
      <c r="O31" s="294"/>
      <c r="P31" s="294"/>
      <c r="Q31" s="294"/>
      <c r="R31" s="294"/>
      <c r="S31" s="294"/>
      <c r="T31" s="294"/>
      <c r="U31" s="294"/>
    </row>
    <row r="32" spans="1:22" x14ac:dyDescent="0.2">
      <c r="A32" s="43">
        <v>1</v>
      </c>
      <c r="B32" s="15" t="s">
        <v>600</v>
      </c>
      <c r="C32" s="15" t="s">
        <v>601</v>
      </c>
      <c r="D32" s="15" t="s">
        <v>602</v>
      </c>
      <c r="E32" s="15" t="str">
        <f>"1,2900"</f>
        <v>1,2900</v>
      </c>
      <c r="F32" s="15" t="s">
        <v>858</v>
      </c>
      <c r="G32" s="15" t="s">
        <v>804</v>
      </c>
      <c r="H32" s="35" t="s">
        <v>157</v>
      </c>
      <c r="I32" s="35" t="s">
        <v>165</v>
      </c>
      <c r="J32" s="38" t="s">
        <v>186</v>
      </c>
      <c r="K32" s="22"/>
      <c r="L32" s="35" t="s">
        <v>54</v>
      </c>
      <c r="M32" s="35" t="s">
        <v>55</v>
      </c>
      <c r="N32" s="38" t="s">
        <v>43</v>
      </c>
      <c r="O32" s="22"/>
      <c r="P32" s="38" t="s">
        <v>165</v>
      </c>
      <c r="Q32" s="35" t="s">
        <v>165</v>
      </c>
      <c r="R32" s="38" t="s">
        <v>574</v>
      </c>
      <c r="S32" s="22"/>
      <c r="T32" s="29">
        <v>342.5</v>
      </c>
      <c r="U32" s="21" t="str">
        <f>"441,8250"</f>
        <v>441,8250</v>
      </c>
      <c r="V32" s="15" t="s">
        <v>4028</v>
      </c>
    </row>
    <row r="33" spans="1:22" x14ac:dyDescent="0.2">
      <c r="A33" s="43">
        <v>1</v>
      </c>
      <c r="B33" s="17" t="s">
        <v>603</v>
      </c>
      <c r="C33" s="17" t="s">
        <v>604</v>
      </c>
      <c r="D33" s="17" t="s">
        <v>349</v>
      </c>
      <c r="E33" s="17" t="str">
        <f>"1,3000"</f>
        <v>1,3000</v>
      </c>
      <c r="F33" s="17" t="s">
        <v>4020</v>
      </c>
      <c r="G33" s="17" t="s">
        <v>805</v>
      </c>
      <c r="H33" s="37" t="s">
        <v>140</v>
      </c>
      <c r="I33" s="39" t="s">
        <v>24</v>
      </c>
      <c r="J33" s="39" t="s">
        <v>24</v>
      </c>
      <c r="K33" s="26"/>
      <c r="L33" s="39" t="s">
        <v>70</v>
      </c>
      <c r="M33" s="37" t="s">
        <v>71</v>
      </c>
      <c r="N33" s="39" t="s">
        <v>157</v>
      </c>
      <c r="O33" s="26"/>
      <c r="P33" s="39" t="s">
        <v>140</v>
      </c>
      <c r="Q33" s="37" t="s">
        <v>140</v>
      </c>
      <c r="R33" s="37" t="s">
        <v>143</v>
      </c>
      <c r="S33" s="39" t="s">
        <v>24</v>
      </c>
      <c r="T33" s="31">
        <v>530</v>
      </c>
      <c r="U33" s="25" t="str">
        <f>"689,0000"</f>
        <v>689,0000</v>
      </c>
      <c r="V33" s="17" t="s">
        <v>739</v>
      </c>
    </row>
    <row r="34" spans="1:22" x14ac:dyDescent="0.2">
      <c r="P34" s="46"/>
    </row>
    <row r="35" spans="1:22" ht="15" x14ac:dyDescent="0.2">
      <c r="B35" s="294" t="s">
        <v>4008</v>
      </c>
      <c r="C35" s="294"/>
      <c r="D35" s="294"/>
      <c r="E35" s="294"/>
      <c r="F35" s="294"/>
      <c r="G35" s="294"/>
      <c r="H35" s="294"/>
      <c r="I35" s="294"/>
      <c r="J35" s="294"/>
      <c r="K35" s="294"/>
      <c r="L35" s="294"/>
      <c r="M35" s="294"/>
      <c r="N35" s="294"/>
      <c r="O35" s="294"/>
      <c r="P35" s="294"/>
      <c r="Q35" s="294"/>
      <c r="R35" s="294"/>
      <c r="S35" s="294"/>
      <c r="T35" s="294"/>
      <c r="U35" s="294"/>
    </row>
    <row r="36" spans="1:22" x14ac:dyDescent="0.2">
      <c r="A36" s="43">
        <v>1</v>
      </c>
      <c r="B36" s="15" t="s">
        <v>605</v>
      </c>
      <c r="C36" s="15" t="s">
        <v>606</v>
      </c>
      <c r="D36" s="15" t="s">
        <v>179</v>
      </c>
      <c r="E36" s="15" t="str">
        <f>"1,1486"</f>
        <v>1,1486</v>
      </c>
      <c r="F36" s="15" t="s">
        <v>853</v>
      </c>
      <c r="G36" s="15" t="s">
        <v>806</v>
      </c>
      <c r="H36" s="35" t="s">
        <v>104</v>
      </c>
      <c r="I36" s="38" t="s">
        <v>105</v>
      </c>
      <c r="J36" s="38" t="s">
        <v>116</v>
      </c>
      <c r="K36" s="22"/>
      <c r="L36" s="38" t="s">
        <v>97</v>
      </c>
      <c r="M36" s="35" t="s">
        <v>97</v>
      </c>
      <c r="N36" s="38" t="s">
        <v>66</v>
      </c>
      <c r="O36" s="22"/>
      <c r="P36" s="35" t="s">
        <v>127</v>
      </c>
      <c r="Q36" s="35" t="s">
        <v>239</v>
      </c>
      <c r="R36" s="35" t="s">
        <v>11</v>
      </c>
      <c r="S36" s="35" t="s">
        <v>607</v>
      </c>
      <c r="T36" s="29">
        <v>415</v>
      </c>
      <c r="U36" s="21" t="str">
        <f>"476,6690"</f>
        <v>476,6690</v>
      </c>
      <c r="V36" s="15" t="s">
        <v>724</v>
      </c>
    </row>
    <row r="37" spans="1:22" x14ac:dyDescent="0.2">
      <c r="A37" s="43">
        <v>1</v>
      </c>
      <c r="B37" s="16" t="s">
        <v>608</v>
      </c>
      <c r="C37" s="16" t="s">
        <v>609</v>
      </c>
      <c r="D37" s="16" t="s">
        <v>570</v>
      </c>
      <c r="E37" s="16" t="str">
        <f>"1,1272"</f>
        <v>1,1272</v>
      </c>
      <c r="F37" s="16" t="s">
        <v>856</v>
      </c>
      <c r="G37" s="16" t="s">
        <v>800</v>
      </c>
      <c r="H37" s="36" t="s">
        <v>140</v>
      </c>
      <c r="I37" s="36" t="s">
        <v>187</v>
      </c>
      <c r="J37" s="36" t="s">
        <v>246</v>
      </c>
      <c r="K37" s="24"/>
      <c r="L37" s="36" t="s">
        <v>46</v>
      </c>
      <c r="M37" s="36" t="s">
        <v>76</v>
      </c>
      <c r="N37" s="36" t="s">
        <v>97</v>
      </c>
      <c r="O37" s="24"/>
      <c r="P37" s="36" t="s">
        <v>140</v>
      </c>
      <c r="Q37" s="36" t="s">
        <v>296</v>
      </c>
      <c r="R37" s="36" t="s">
        <v>144</v>
      </c>
      <c r="S37" s="36" t="s">
        <v>253</v>
      </c>
      <c r="T37" s="30">
        <v>560</v>
      </c>
      <c r="U37" s="23" t="str">
        <f>"631,2320"</f>
        <v>631,2320</v>
      </c>
      <c r="V37" s="16" t="s">
        <v>737</v>
      </c>
    </row>
    <row r="38" spans="1:22" x14ac:dyDescent="0.2">
      <c r="A38" s="43">
        <v>1</v>
      </c>
      <c r="B38" s="16" t="s">
        <v>394</v>
      </c>
      <c r="C38" s="16" t="s">
        <v>395</v>
      </c>
      <c r="D38" s="16" t="s">
        <v>396</v>
      </c>
      <c r="E38" s="16" t="str">
        <f>"1,1748"</f>
        <v>1,1748</v>
      </c>
      <c r="F38" s="16" t="s">
        <v>492</v>
      </c>
      <c r="G38" s="16" t="s">
        <v>818</v>
      </c>
      <c r="H38" s="36" t="s">
        <v>61</v>
      </c>
      <c r="I38" s="40" t="s">
        <v>65</v>
      </c>
      <c r="J38" s="36" t="s">
        <v>65</v>
      </c>
      <c r="K38" s="24"/>
      <c r="L38" s="36" t="s">
        <v>81</v>
      </c>
      <c r="M38" s="36" t="s">
        <v>91</v>
      </c>
      <c r="N38" s="40" t="s">
        <v>61</v>
      </c>
      <c r="O38" s="24"/>
      <c r="P38" s="36" t="s">
        <v>126</v>
      </c>
      <c r="Q38" s="40" t="s">
        <v>25</v>
      </c>
      <c r="R38" s="40" t="s">
        <v>25</v>
      </c>
      <c r="S38" s="24"/>
      <c r="T38" s="30">
        <v>340</v>
      </c>
      <c r="U38" s="23" t="str">
        <f>"399,4320"</f>
        <v>399,4320</v>
      </c>
      <c r="V38" s="16" t="s">
        <v>3391</v>
      </c>
    </row>
    <row r="39" spans="1:22" x14ac:dyDescent="0.2">
      <c r="B39" s="16" t="s">
        <v>610</v>
      </c>
      <c r="C39" s="16" t="s">
        <v>559</v>
      </c>
      <c r="D39" s="16" t="s">
        <v>611</v>
      </c>
      <c r="E39" s="16" t="str">
        <f>"1,1660"</f>
        <v>1,1660</v>
      </c>
      <c r="F39" s="16" t="s">
        <v>4020</v>
      </c>
      <c r="G39" s="16" t="s">
        <v>798</v>
      </c>
      <c r="H39" s="36" t="s">
        <v>127</v>
      </c>
      <c r="I39" s="36" t="s">
        <v>142</v>
      </c>
      <c r="J39" s="40" t="s">
        <v>11</v>
      </c>
      <c r="K39" s="24"/>
      <c r="L39" s="36" t="s">
        <v>69</v>
      </c>
      <c r="M39" s="36" t="s">
        <v>169</v>
      </c>
      <c r="N39" s="36" t="s">
        <v>71</v>
      </c>
      <c r="O39" s="24"/>
      <c r="P39" s="40" t="s">
        <v>11</v>
      </c>
      <c r="Q39" s="40" t="s">
        <v>140</v>
      </c>
      <c r="R39" s="40" t="s">
        <v>135</v>
      </c>
      <c r="S39" s="24"/>
      <c r="T39" s="47">
        <v>0</v>
      </c>
      <c r="U39" s="23" t="s">
        <v>720</v>
      </c>
      <c r="V39" s="16" t="s">
        <v>738</v>
      </c>
    </row>
    <row r="40" spans="1:22" x14ac:dyDescent="0.2">
      <c r="A40" s="43">
        <v>1</v>
      </c>
      <c r="B40" s="16" t="s">
        <v>608</v>
      </c>
      <c r="C40" s="16" t="s">
        <v>612</v>
      </c>
      <c r="D40" s="16" t="s">
        <v>570</v>
      </c>
      <c r="E40" s="16" t="str">
        <f>"1,1272"</f>
        <v>1,1272</v>
      </c>
      <c r="F40" s="16" t="s">
        <v>856</v>
      </c>
      <c r="G40" s="16" t="s">
        <v>800</v>
      </c>
      <c r="H40" s="36" t="s">
        <v>140</v>
      </c>
      <c r="I40" s="36" t="s">
        <v>187</v>
      </c>
      <c r="J40" s="36" t="s">
        <v>246</v>
      </c>
      <c r="K40" s="24"/>
      <c r="L40" s="36" t="s">
        <v>46</v>
      </c>
      <c r="M40" s="36" t="s">
        <v>76</v>
      </c>
      <c r="N40" s="36" t="s">
        <v>97</v>
      </c>
      <c r="O40" s="24"/>
      <c r="P40" s="36" t="s">
        <v>140</v>
      </c>
      <c r="Q40" s="36" t="s">
        <v>296</v>
      </c>
      <c r="R40" s="36" t="s">
        <v>144</v>
      </c>
      <c r="S40" s="36" t="s">
        <v>253</v>
      </c>
      <c r="T40" s="30">
        <v>560</v>
      </c>
      <c r="U40" s="23" t="str">
        <f>"631,2320"</f>
        <v>631,2320</v>
      </c>
      <c r="V40" s="16" t="s">
        <v>737</v>
      </c>
    </row>
    <row r="41" spans="1:22" x14ac:dyDescent="0.2">
      <c r="A41" s="43">
        <v>2</v>
      </c>
      <c r="B41" s="16" t="s">
        <v>613</v>
      </c>
      <c r="C41" s="16" t="s">
        <v>614</v>
      </c>
      <c r="D41" s="16" t="s">
        <v>12</v>
      </c>
      <c r="E41" s="16" t="str">
        <f>"1,1336"</f>
        <v>1,1336</v>
      </c>
      <c r="F41" s="16" t="s">
        <v>4020</v>
      </c>
      <c r="G41" s="16" t="s">
        <v>807</v>
      </c>
      <c r="H41" s="36" t="s">
        <v>106</v>
      </c>
      <c r="I41" s="36" t="s">
        <v>166</v>
      </c>
      <c r="J41" s="36" t="s">
        <v>135</v>
      </c>
      <c r="K41" s="24"/>
      <c r="L41" s="36" t="s">
        <v>70</v>
      </c>
      <c r="M41" s="36" t="s">
        <v>71</v>
      </c>
      <c r="N41" s="36" t="s">
        <v>112</v>
      </c>
      <c r="O41" s="24"/>
      <c r="P41" s="36" t="s">
        <v>140</v>
      </c>
      <c r="Q41" s="36" t="s">
        <v>143</v>
      </c>
      <c r="R41" s="36" t="s">
        <v>296</v>
      </c>
      <c r="S41" s="24"/>
      <c r="T41" s="30">
        <v>547.5</v>
      </c>
      <c r="U41" s="23" t="str">
        <f>"620,6460"</f>
        <v>620,6460</v>
      </c>
      <c r="V41" s="16" t="s">
        <v>3391</v>
      </c>
    </row>
    <row r="42" spans="1:22" x14ac:dyDescent="0.2">
      <c r="A42" s="43">
        <v>3</v>
      </c>
      <c r="B42" s="16" t="s">
        <v>615</v>
      </c>
      <c r="C42" s="16" t="s">
        <v>616</v>
      </c>
      <c r="D42" s="16" t="s">
        <v>125</v>
      </c>
      <c r="E42" s="16" t="str">
        <f>"1,1604"</f>
        <v>1,1604</v>
      </c>
      <c r="F42" s="54" t="s">
        <v>825</v>
      </c>
      <c r="G42" s="16" t="s">
        <v>826</v>
      </c>
      <c r="H42" s="36" t="s">
        <v>11</v>
      </c>
      <c r="I42" s="36" t="s">
        <v>107</v>
      </c>
      <c r="J42" s="40" t="s">
        <v>135</v>
      </c>
      <c r="K42" s="24"/>
      <c r="L42" s="40" t="s">
        <v>23</v>
      </c>
      <c r="M42" s="36" t="s">
        <v>116</v>
      </c>
      <c r="N42" s="40" t="s">
        <v>574</v>
      </c>
      <c r="O42" s="24"/>
      <c r="P42" s="36" t="s">
        <v>107</v>
      </c>
      <c r="Q42" s="40" t="s">
        <v>381</v>
      </c>
      <c r="R42" s="40" t="s">
        <v>381</v>
      </c>
      <c r="S42" s="24"/>
      <c r="T42" s="30">
        <v>520</v>
      </c>
      <c r="U42" s="23" t="str">
        <f>"603,4080"</f>
        <v>603,4080</v>
      </c>
      <c r="V42" s="16" t="s">
        <v>3391</v>
      </c>
    </row>
    <row r="43" spans="1:22" x14ac:dyDescent="0.2">
      <c r="A43" s="43">
        <v>1</v>
      </c>
      <c r="B43" s="17" t="s">
        <v>413</v>
      </c>
      <c r="C43" s="17" t="s">
        <v>414</v>
      </c>
      <c r="D43" s="17" t="s">
        <v>399</v>
      </c>
      <c r="E43" s="17" t="str">
        <f>"1,1518"</f>
        <v>1,1518</v>
      </c>
      <c r="F43" s="55" t="s">
        <v>827</v>
      </c>
      <c r="G43" s="17" t="s">
        <v>828</v>
      </c>
      <c r="H43" s="37" t="s">
        <v>116</v>
      </c>
      <c r="I43" s="37" t="s">
        <v>141</v>
      </c>
      <c r="J43" s="39" t="s">
        <v>156</v>
      </c>
      <c r="K43" s="26"/>
      <c r="L43" s="37" t="s">
        <v>76</v>
      </c>
      <c r="M43" s="39" t="s">
        <v>97</v>
      </c>
      <c r="N43" s="26"/>
      <c r="O43" s="26"/>
      <c r="P43" s="37" t="s">
        <v>140</v>
      </c>
      <c r="Q43" s="37" t="s">
        <v>24</v>
      </c>
      <c r="R43" s="37" t="s">
        <v>144</v>
      </c>
      <c r="S43" s="26"/>
      <c r="T43" s="31">
        <v>495</v>
      </c>
      <c r="U43" s="25" t="str">
        <f>"739,4729"</f>
        <v>739,4729</v>
      </c>
      <c r="V43" s="17" t="s">
        <v>736</v>
      </c>
    </row>
    <row r="45" spans="1:22" ht="15" x14ac:dyDescent="0.2">
      <c r="B45" s="294" t="s">
        <v>4009</v>
      </c>
      <c r="C45" s="294"/>
      <c r="D45" s="294"/>
      <c r="E45" s="294"/>
      <c r="F45" s="294"/>
      <c r="G45" s="294"/>
      <c r="H45" s="294"/>
      <c r="I45" s="294"/>
      <c r="J45" s="294"/>
      <c r="K45" s="294"/>
      <c r="L45" s="294"/>
      <c r="M45" s="294"/>
      <c r="N45" s="294"/>
      <c r="O45" s="294"/>
      <c r="P45" s="294"/>
      <c r="Q45" s="294"/>
      <c r="R45" s="294"/>
      <c r="S45" s="294"/>
      <c r="T45" s="294"/>
      <c r="U45" s="294"/>
    </row>
    <row r="46" spans="1:22" x14ac:dyDescent="0.2">
      <c r="A46" s="43">
        <v>1</v>
      </c>
      <c r="B46" s="15" t="s">
        <v>617</v>
      </c>
      <c r="C46" s="15" t="s">
        <v>618</v>
      </c>
      <c r="D46" s="15" t="s">
        <v>619</v>
      </c>
      <c r="E46" s="15" t="str">
        <f>"1,0372"</f>
        <v>1,0372</v>
      </c>
      <c r="F46" s="15" t="s">
        <v>856</v>
      </c>
      <c r="G46" s="15" t="s">
        <v>800</v>
      </c>
      <c r="H46" s="38" t="s">
        <v>156</v>
      </c>
      <c r="I46" s="35" t="s">
        <v>156</v>
      </c>
      <c r="J46" s="38" t="s">
        <v>166</v>
      </c>
      <c r="K46" s="22"/>
      <c r="L46" s="35" t="s">
        <v>97</v>
      </c>
      <c r="M46" s="35" t="s">
        <v>70</v>
      </c>
      <c r="N46" s="35" t="s">
        <v>169</v>
      </c>
      <c r="O46" s="22"/>
      <c r="P46" s="35" t="s">
        <v>107</v>
      </c>
      <c r="Q46" s="35" t="s">
        <v>135</v>
      </c>
      <c r="R46" s="38" t="s">
        <v>378</v>
      </c>
      <c r="S46" s="22"/>
      <c r="T46" s="29">
        <v>497.5</v>
      </c>
      <c r="U46" s="21" t="str">
        <f>"516,0070"</f>
        <v>516,0070</v>
      </c>
      <c r="V46" s="15" t="s">
        <v>3391</v>
      </c>
    </row>
    <row r="47" spans="1:22" x14ac:dyDescent="0.2">
      <c r="A47" s="43">
        <v>2</v>
      </c>
      <c r="B47" s="16" t="s">
        <v>620</v>
      </c>
      <c r="C47" s="16" t="s">
        <v>621</v>
      </c>
      <c r="D47" s="16" t="s">
        <v>434</v>
      </c>
      <c r="E47" s="16" t="str">
        <f>"1,0576"</f>
        <v>1,0576</v>
      </c>
      <c r="F47" s="16" t="s">
        <v>857</v>
      </c>
      <c r="G47" s="16" t="s">
        <v>808</v>
      </c>
      <c r="H47" s="36" t="s">
        <v>186</v>
      </c>
      <c r="I47" s="36" t="s">
        <v>25</v>
      </c>
      <c r="J47" s="36" t="s">
        <v>127</v>
      </c>
      <c r="K47" s="24"/>
      <c r="L47" s="40" t="s">
        <v>66</v>
      </c>
      <c r="M47" s="36" t="s">
        <v>66</v>
      </c>
      <c r="N47" s="36" t="s">
        <v>70</v>
      </c>
      <c r="O47" s="24"/>
      <c r="P47" s="36" t="s">
        <v>127</v>
      </c>
      <c r="Q47" s="36" t="s">
        <v>156</v>
      </c>
      <c r="R47" s="40" t="s">
        <v>206</v>
      </c>
      <c r="S47" s="24"/>
      <c r="T47" s="30">
        <v>450</v>
      </c>
      <c r="U47" s="23" t="str">
        <f>"475,9200"</f>
        <v>475,9200</v>
      </c>
      <c r="V47" s="16" t="s">
        <v>724</v>
      </c>
    </row>
    <row r="48" spans="1:22" x14ac:dyDescent="0.2">
      <c r="A48" s="43">
        <v>3</v>
      </c>
      <c r="B48" s="17" t="s">
        <v>622</v>
      </c>
      <c r="C48" s="17" t="s">
        <v>623</v>
      </c>
      <c r="D48" s="17" t="s">
        <v>624</v>
      </c>
      <c r="E48" s="17" t="str">
        <f>"1,0960"</f>
        <v>1,0960</v>
      </c>
      <c r="F48" s="17" t="s">
        <v>859</v>
      </c>
      <c r="G48" s="17" t="s">
        <v>804</v>
      </c>
      <c r="H48" s="37" t="s">
        <v>149</v>
      </c>
      <c r="I48" s="37" t="s">
        <v>141</v>
      </c>
      <c r="J48" s="37" t="s">
        <v>239</v>
      </c>
      <c r="K48" s="26"/>
      <c r="L48" s="37" t="s">
        <v>97</v>
      </c>
      <c r="M48" s="37" t="s">
        <v>66</v>
      </c>
      <c r="N48" s="39" t="s">
        <v>87</v>
      </c>
      <c r="O48" s="26"/>
      <c r="P48" s="37" t="s">
        <v>149</v>
      </c>
      <c r="Q48" s="37" t="s">
        <v>30</v>
      </c>
      <c r="R48" s="39" t="s">
        <v>156</v>
      </c>
      <c r="S48" s="26"/>
      <c r="T48" s="31">
        <v>447.5</v>
      </c>
      <c r="U48" s="25" t="str">
        <f>"490,4600"</f>
        <v>490,4600</v>
      </c>
      <c r="V48" s="17" t="s">
        <v>730</v>
      </c>
    </row>
    <row r="50" spans="1:22" ht="15" x14ac:dyDescent="0.2">
      <c r="B50" s="294" t="s">
        <v>4010</v>
      </c>
      <c r="C50" s="294"/>
      <c r="D50" s="294"/>
      <c r="E50" s="294"/>
      <c r="F50" s="294"/>
      <c r="G50" s="294"/>
      <c r="H50" s="294"/>
      <c r="I50" s="294"/>
      <c r="J50" s="294"/>
      <c r="K50" s="294"/>
      <c r="L50" s="294"/>
      <c r="M50" s="294"/>
      <c r="N50" s="294"/>
      <c r="O50" s="294"/>
      <c r="P50" s="294"/>
      <c r="Q50" s="294"/>
      <c r="R50" s="294"/>
      <c r="S50" s="294"/>
      <c r="T50" s="294"/>
      <c r="U50" s="294"/>
    </row>
    <row r="51" spans="1:22" x14ac:dyDescent="0.2">
      <c r="A51" s="43">
        <v>1</v>
      </c>
      <c r="B51" s="15" t="s">
        <v>625</v>
      </c>
      <c r="C51" s="15" t="s">
        <v>626</v>
      </c>
      <c r="D51" s="15" t="s">
        <v>627</v>
      </c>
      <c r="E51" s="15" t="str">
        <f>"1,0118"</f>
        <v>1,0118</v>
      </c>
      <c r="F51" s="15" t="s">
        <v>4020</v>
      </c>
      <c r="G51" s="15" t="s">
        <v>796</v>
      </c>
      <c r="H51" s="35" t="s">
        <v>140</v>
      </c>
      <c r="I51" s="38" t="s">
        <v>187</v>
      </c>
      <c r="J51" s="35" t="s">
        <v>187</v>
      </c>
      <c r="K51" s="22"/>
      <c r="L51" s="35" t="s">
        <v>70</v>
      </c>
      <c r="M51" s="38" t="s">
        <v>157</v>
      </c>
      <c r="N51" s="38" t="s">
        <v>157</v>
      </c>
      <c r="O51" s="22"/>
      <c r="P51" s="35" t="s">
        <v>166</v>
      </c>
      <c r="Q51" s="35" t="s">
        <v>143</v>
      </c>
      <c r="R51" s="38" t="s">
        <v>296</v>
      </c>
      <c r="S51" s="22"/>
      <c r="T51" s="29">
        <v>540</v>
      </c>
      <c r="U51" s="109" t="str">
        <f>"546,3720"</f>
        <v>546,3720</v>
      </c>
      <c r="V51" s="15" t="s">
        <v>735</v>
      </c>
    </row>
    <row r="52" spans="1:22" x14ac:dyDescent="0.2">
      <c r="A52" s="43">
        <v>1</v>
      </c>
      <c r="B52" s="16" t="s">
        <v>438</v>
      </c>
      <c r="C52" s="16" t="s">
        <v>439</v>
      </c>
      <c r="D52" s="16" t="s">
        <v>235</v>
      </c>
      <c r="E52" s="16" t="str">
        <f>"0,9698"</f>
        <v>0,9698</v>
      </c>
      <c r="F52" s="16" t="s">
        <v>4020</v>
      </c>
      <c r="G52" s="16" t="s">
        <v>809</v>
      </c>
      <c r="H52" s="36" t="s">
        <v>220</v>
      </c>
      <c r="I52" s="36" t="s">
        <v>208</v>
      </c>
      <c r="J52" s="36" t="s">
        <v>221</v>
      </c>
      <c r="K52" s="24"/>
      <c r="L52" s="36" t="s">
        <v>70</v>
      </c>
      <c r="M52" s="36" t="s">
        <v>157</v>
      </c>
      <c r="N52" s="36" t="s">
        <v>104</v>
      </c>
      <c r="O52" s="24"/>
      <c r="P52" s="40" t="s">
        <v>144</v>
      </c>
      <c r="Q52" s="36" t="s">
        <v>253</v>
      </c>
      <c r="R52" s="36" t="s">
        <v>37</v>
      </c>
      <c r="S52" s="40" t="s">
        <v>221</v>
      </c>
      <c r="T52" s="30">
        <v>632.5</v>
      </c>
      <c r="U52" s="110" t="str">
        <f>"613,3985"</f>
        <v>613,3985</v>
      </c>
      <c r="V52" s="16" t="s">
        <v>734</v>
      </c>
    </row>
    <row r="53" spans="1:22" x14ac:dyDescent="0.2">
      <c r="A53" s="43">
        <v>2</v>
      </c>
      <c r="B53" s="16" t="s">
        <v>628</v>
      </c>
      <c r="C53" s="16" t="s">
        <v>629</v>
      </c>
      <c r="D53" s="16" t="s">
        <v>630</v>
      </c>
      <c r="E53" s="16" t="str">
        <f>"0,9786"</f>
        <v>0,9786</v>
      </c>
      <c r="F53" s="16" t="s">
        <v>4020</v>
      </c>
      <c r="G53" s="16" t="s">
        <v>810</v>
      </c>
      <c r="H53" s="36" t="s">
        <v>107</v>
      </c>
      <c r="I53" s="40" t="s">
        <v>135</v>
      </c>
      <c r="J53" s="36" t="s">
        <v>187</v>
      </c>
      <c r="K53" s="24"/>
      <c r="L53" s="36" t="s">
        <v>126</v>
      </c>
      <c r="M53" s="36" t="s">
        <v>148</v>
      </c>
      <c r="N53" s="36" t="s">
        <v>25</v>
      </c>
      <c r="O53" s="24"/>
      <c r="P53" s="36" t="s">
        <v>107</v>
      </c>
      <c r="Q53" s="40" t="s">
        <v>24</v>
      </c>
      <c r="R53" s="36" t="s">
        <v>24</v>
      </c>
      <c r="S53" s="24"/>
      <c r="T53" s="30">
        <v>590</v>
      </c>
      <c r="U53" s="110" t="str">
        <f>"577,3740"</f>
        <v>577,3740</v>
      </c>
      <c r="V53" s="16" t="s">
        <v>726</v>
      </c>
    </row>
    <row r="54" spans="1:22" x14ac:dyDescent="0.2">
      <c r="A54" s="43">
        <v>3</v>
      </c>
      <c r="B54" s="16" t="s">
        <v>215</v>
      </c>
      <c r="C54" s="16" t="s">
        <v>216</v>
      </c>
      <c r="D54" s="16" t="s">
        <v>10</v>
      </c>
      <c r="E54" s="16" t="str">
        <f>"0,9736"</f>
        <v>0,9736</v>
      </c>
      <c r="F54" s="16" t="s">
        <v>4020</v>
      </c>
      <c r="G54" s="16" t="s">
        <v>811</v>
      </c>
      <c r="H54" s="36" t="s">
        <v>107</v>
      </c>
      <c r="I54" s="40" t="s">
        <v>140</v>
      </c>
      <c r="J54" s="36" t="s">
        <v>140</v>
      </c>
      <c r="K54" s="24"/>
      <c r="L54" s="36" t="s">
        <v>104</v>
      </c>
      <c r="M54" s="40" t="s">
        <v>116</v>
      </c>
      <c r="N54" s="36" t="s">
        <v>186</v>
      </c>
      <c r="O54" s="24"/>
      <c r="P54" s="36" t="s">
        <v>140</v>
      </c>
      <c r="Q54" s="36" t="s">
        <v>187</v>
      </c>
      <c r="R54" s="40" t="s">
        <v>24</v>
      </c>
      <c r="S54" s="24"/>
      <c r="T54" s="30">
        <v>557.5</v>
      </c>
      <c r="U54" s="110" t="str">
        <f>"542,7820"</f>
        <v>542,7820</v>
      </c>
      <c r="V54" s="16" t="s">
        <v>733</v>
      </c>
    </row>
    <row r="55" spans="1:22" x14ac:dyDescent="0.2">
      <c r="A55" s="43">
        <v>1</v>
      </c>
      <c r="B55" s="16" t="s">
        <v>631</v>
      </c>
      <c r="C55" s="16" t="s">
        <v>632</v>
      </c>
      <c r="D55" s="16" t="s">
        <v>567</v>
      </c>
      <c r="E55" s="16" t="str">
        <f>"0,9760"</f>
        <v>0,9760</v>
      </c>
      <c r="F55" s="16" t="s">
        <v>4020</v>
      </c>
      <c r="G55" s="16" t="s">
        <v>812</v>
      </c>
      <c r="H55" s="40" t="s">
        <v>253</v>
      </c>
      <c r="I55" s="36" t="s">
        <v>37</v>
      </c>
      <c r="J55" s="40" t="s">
        <v>15</v>
      </c>
      <c r="K55" s="24"/>
      <c r="L55" s="36" t="s">
        <v>116</v>
      </c>
      <c r="M55" s="36" t="s">
        <v>36</v>
      </c>
      <c r="N55" s="40" t="s">
        <v>25</v>
      </c>
      <c r="O55" s="24"/>
      <c r="P55" s="36" t="s">
        <v>253</v>
      </c>
      <c r="Q55" s="36" t="s">
        <v>37</v>
      </c>
      <c r="R55" s="36" t="s">
        <v>221</v>
      </c>
      <c r="S55" s="24"/>
      <c r="T55" s="30">
        <v>652.5</v>
      </c>
      <c r="U55" s="110" t="str">
        <f>"636,8400"</f>
        <v>636,8400</v>
      </c>
      <c r="V55" s="16" t="s">
        <v>732</v>
      </c>
    </row>
    <row r="56" spans="1:22" x14ac:dyDescent="0.2">
      <c r="A56" s="43">
        <v>2</v>
      </c>
      <c r="B56" s="16" t="s">
        <v>633</v>
      </c>
      <c r="C56" s="16" t="s">
        <v>634</v>
      </c>
      <c r="D56" s="16" t="s">
        <v>566</v>
      </c>
      <c r="E56" s="16" t="str">
        <f>"0,9782"</f>
        <v>0,9782</v>
      </c>
      <c r="F56" s="16" t="s">
        <v>4020</v>
      </c>
      <c r="G56" s="16" t="s">
        <v>799</v>
      </c>
      <c r="H56" s="36" t="s">
        <v>187</v>
      </c>
      <c r="I56" s="36" t="s">
        <v>246</v>
      </c>
      <c r="J56" s="36" t="s">
        <v>188</v>
      </c>
      <c r="K56" s="24"/>
      <c r="L56" s="36" t="s">
        <v>127</v>
      </c>
      <c r="M56" s="36" t="s">
        <v>142</v>
      </c>
      <c r="N56" s="36" t="s">
        <v>239</v>
      </c>
      <c r="O56" s="24"/>
      <c r="P56" s="36" t="s">
        <v>246</v>
      </c>
      <c r="Q56" s="36" t="s">
        <v>220</v>
      </c>
      <c r="R56" s="36" t="s">
        <v>208</v>
      </c>
      <c r="S56" s="24"/>
      <c r="T56" s="30">
        <v>650</v>
      </c>
      <c r="U56" s="110" t="str">
        <f>"635,8300"</f>
        <v>635,8300</v>
      </c>
      <c r="V56" s="16" t="s">
        <v>3391</v>
      </c>
    </row>
    <row r="57" spans="1:22" x14ac:dyDescent="0.2">
      <c r="A57" s="43">
        <v>3</v>
      </c>
      <c r="B57" s="16" t="s">
        <v>458</v>
      </c>
      <c r="C57" s="16" t="s">
        <v>459</v>
      </c>
      <c r="D57" s="16" t="s">
        <v>460</v>
      </c>
      <c r="E57" s="16" t="str">
        <f>"0,9846"</f>
        <v>0,9846</v>
      </c>
      <c r="F57" s="16" t="s">
        <v>492</v>
      </c>
      <c r="G57" s="16" t="s">
        <v>819</v>
      </c>
      <c r="H57" s="40" t="s">
        <v>140</v>
      </c>
      <c r="I57" s="36" t="s">
        <v>140</v>
      </c>
      <c r="J57" s="36" t="s">
        <v>24</v>
      </c>
      <c r="K57" s="24"/>
      <c r="L57" s="36" t="s">
        <v>156</v>
      </c>
      <c r="M57" s="40" t="s">
        <v>11</v>
      </c>
      <c r="N57" s="36" t="s">
        <v>107</v>
      </c>
      <c r="O57" s="24"/>
      <c r="P57" s="36" t="s">
        <v>140</v>
      </c>
      <c r="Q57" s="40" t="s">
        <v>187</v>
      </c>
      <c r="R57" s="40" t="s">
        <v>187</v>
      </c>
      <c r="S57" s="24"/>
      <c r="T57" s="30">
        <v>610</v>
      </c>
      <c r="U57" s="110" t="str">
        <f>"600,6060"</f>
        <v>600,6060</v>
      </c>
      <c r="V57" s="16" t="s">
        <v>3391</v>
      </c>
    </row>
    <row r="58" spans="1:22" x14ac:dyDescent="0.2">
      <c r="A58" s="43">
        <v>4</v>
      </c>
      <c r="B58" s="16" t="s">
        <v>635</v>
      </c>
      <c r="C58" s="16" t="s">
        <v>636</v>
      </c>
      <c r="D58" s="16" t="s">
        <v>564</v>
      </c>
      <c r="E58" s="16" t="str">
        <f>"0,9704"</f>
        <v>0,9704</v>
      </c>
      <c r="F58" s="16" t="s">
        <v>4020</v>
      </c>
      <c r="G58" s="16" t="s">
        <v>813</v>
      </c>
      <c r="H58" s="36" t="s">
        <v>187</v>
      </c>
      <c r="I58" s="40" t="s">
        <v>246</v>
      </c>
      <c r="J58" s="40" t="s">
        <v>246</v>
      </c>
      <c r="K58" s="24"/>
      <c r="L58" s="40" t="s">
        <v>116</v>
      </c>
      <c r="M58" s="40" t="s">
        <v>116</v>
      </c>
      <c r="N58" s="36" t="s">
        <v>116</v>
      </c>
      <c r="O58" s="24"/>
      <c r="P58" s="36" t="s">
        <v>24</v>
      </c>
      <c r="Q58" s="36" t="s">
        <v>144</v>
      </c>
      <c r="R58" s="36" t="s">
        <v>253</v>
      </c>
      <c r="S58" s="24"/>
      <c r="T58" s="30">
        <v>595</v>
      </c>
      <c r="U58" s="110" t="str">
        <f>"577,3880"</f>
        <v>577,3880</v>
      </c>
      <c r="V58" s="16" t="s">
        <v>731</v>
      </c>
    </row>
    <row r="59" spans="1:22" x14ac:dyDescent="0.2">
      <c r="A59" s="43">
        <v>5</v>
      </c>
      <c r="B59" s="16" t="s">
        <v>637</v>
      </c>
      <c r="C59" s="16" t="s">
        <v>638</v>
      </c>
      <c r="D59" s="16" t="s">
        <v>565</v>
      </c>
      <c r="E59" s="16" t="str">
        <f>"1,0060"</f>
        <v>1,0060</v>
      </c>
      <c r="F59" s="16" t="s">
        <v>266</v>
      </c>
      <c r="G59" s="16" t="s">
        <v>823</v>
      </c>
      <c r="H59" s="40" t="s">
        <v>140</v>
      </c>
      <c r="I59" s="40" t="s">
        <v>24</v>
      </c>
      <c r="J59" s="36" t="s">
        <v>24</v>
      </c>
      <c r="K59" s="24"/>
      <c r="L59" s="40" t="s">
        <v>104</v>
      </c>
      <c r="M59" s="36" t="s">
        <v>104</v>
      </c>
      <c r="N59" s="36" t="s">
        <v>116</v>
      </c>
      <c r="O59" s="24"/>
      <c r="P59" s="36" t="s">
        <v>140</v>
      </c>
      <c r="Q59" s="36" t="s">
        <v>24</v>
      </c>
      <c r="R59" s="40" t="s">
        <v>144</v>
      </c>
      <c r="S59" s="24"/>
      <c r="T59" s="30">
        <v>580</v>
      </c>
      <c r="U59" s="110" t="str">
        <f>"583,4800"</f>
        <v>583,4800</v>
      </c>
      <c r="V59" s="16" t="s">
        <v>3391</v>
      </c>
    </row>
    <row r="60" spans="1:22" x14ac:dyDescent="0.2">
      <c r="B60" s="17" t="s">
        <v>461</v>
      </c>
      <c r="C60" s="17" t="s">
        <v>462</v>
      </c>
      <c r="D60" s="17" t="s">
        <v>463</v>
      </c>
      <c r="E60" s="17" t="str">
        <f>"0,9900"</f>
        <v>0,9900</v>
      </c>
      <c r="F60" s="17" t="s">
        <v>464</v>
      </c>
      <c r="G60" s="17" t="s">
        <v>824</v>
      </c>
      <c r="H60" s="39" t="s">
        <v>127</v>
      </c>
      <c r="I60" s="39" t="s">
        <v>127</v>
      </c>
      <c r="J60" s="26"/>
      <c r="K60" s="26"/>
      <c r="L60" s="39"/>
      <c r="M60" s="26"/>
      <c r="N60" s="26"/>
      <c r="O60" s="26"/>
      <c r="P60" s="39"/>
      <c r="Q60" s="26"/>
      <c r="R60" s="26"/>
      <c r="S60" s="26"/>
      <c r="T60" s="33">
        <v>0</v>
      </c>
      <c r="U60" s="111" t="s">
        <v>720</v>
      </c>
      <c r="V60" s="17" t="s">
        <v>3391</v>
      </c>
    </row>
    <row r="62" spans="1:22" ht="15" x14ac:dyDescent="0.2">
      <c r="B62" s="294" t="s">
        <v>4011</v>
      </c>
      <c r="C62" s="294"/>
      <c r="D62" s="294"/>
      <c r="E62" s="294"/>
      <c r="F62" s="294"/>
      <c r="G62" s="294"/>
      <c r="H62" s="294"/>
      <c r="I62" s="294"/>
      <c r="J62" s="294"/>
      <c r="K62" s="294"/>
      <c r="L62" s="294"/>
      <c r="M62" s="294"/>
      <c r="N62" s="294"/>
      <c r="O62" s="294"/>
      <c r="P62" s="294"/>
      <c r="Q62" s="294"/>
      <c r="R62" s="294"/>
      <c r="S62" s="294"/>
      <c r="T62" s="294"/>
      <c r="U62" s="294"/>
    </row>
    <row r="63" spans="1:22" x14ac:dyDescent="0.2">
      <c r="A63" s="43">
        <v>1</v>
      </c>
      <c r="B63" s="15" t="s">
        <v>639</v>
      </c>
      <c r="C63" s="15" t="s">
        <v>640</v>
      </c>
      <c r="D63" s="15" t="s">
        <v>641</v>
      </c>
      <c r="E63" s="15" t="str">
        <f>"0,9502"</f>
        <v>0,9502</v>
      </c>
      <c r="F63" s="15" t="s">
        <v>859</v>
      </c>
      <c r="G63" s="15" t="s">
        <v>814</v>
      </c>
      <c r="H63" s="35" t="s">
        <v>11</v>
      </c>
      <c r="I63" s="38" t="s">
        <v>642</v>
      </c>
      <c r="J63" s="38" t="s">
        <v>642</v>
      </c>
      <c r="K63" s="22"/>
      <c r="L63" s="35" t="s">
        <v>104</v>
      </c>
      <c r="M63" s="35" t="s">
        <v>126</v>
      </c>
      <c r="N63" s="38" t="s">
        <v>148</v>
      </c>
      <c r="O63" s="22"/>
      <c r="P63" s="35" t="s">
        <v>143</v>
      </c>
      <c r="Q63" s="35" t="s">
        <v>144</v>
      </c>
      <c r="R63" s="22"/>
      <c r="S63" s="22"/>
      <c r="T63" s="29">
        <v>555</v>
      </c>
      <c r="U63" s="21" t="str">
        <f>"527,3610"</f>
        <v>527,3610</v>
      </c>
      <c r="V63" s="15" t="s">
        <v>730</v>
      </c>
    </row>
    <row r="64" spans="1:22" x14ac:dyDescent="0.2">
      <c r="A64" s="43">
        <v>1</v>
      </c>
      <c r="B64" s="16" t="s">
        <v>468</v>
      </c>
      <c r="C64" s="16" t="s">
        <v>469</v>
      </c>
      <c r="D64" s="16" t="s">
        <v>643</v>
      </c>
      <c r="E64" s="16" t="str">
        <f>"0,9222"</f>
        <v>0,9222</v>
      </c>
      <c r="F64" s="16" t="s">
        <v>492</v>
      </c>
      <c r="G64" s="16" t="s">
        <v>830</v>
      </c>
      <c r="H64" s="36" t="s">
        <v>35</v>
      </c>
      <c r="I64" s="40" t="s">
        <v>26</v>
      </c>
      <c r="J64" s="40" t="s">
        <v>287</v>
      </c>
      <c r="K64" s="24"/>
      <c r="L64" s="36" t="s">
        <v>127</v>
      </c>
      <c r="M64" s="40" t="s">
        <v>141</v>
      </c>
      <c r="N64" s="40" t="s">
        <v>141</v>
      </c>
      <c r="O64" s="24"/>
      <c r="P64" s="36" t="s">
        <v>644</v>
      </c>
      <c r="Q64" s="40" t="s">
        <v>275</v>
      </c>
      <c r="R64" s="36" t="s">
        <v>275</v>
      </c>
      <c r="S64" s="24"/>
      <c r="T64" s="30">
        <v>745</v>
      </c>
      <c r="U64" s="23" t="str">
        <f>"687,0390"</f>
        <v>687,0390</v>
      </c>
      <c r="V64" s="16" t="s">
        <v>3391</v>
      </c>
    </row>
    <row r="65" spans="1:22" x14ac:dyDescent="0.2">
      <c r="A65" s="43">
        <v>2</v>
      </c>
      <c r="B65" s="16" t="s">
        <v>489</v>
      </c>
      <c r="C65" s="16" t="s">
        <v>568</v>
      </c>
      <c r="D65" s="16" t="s">
        <v>491</v>
      </c>
      <c r="E65" s="16" t="str">
        <f>"0,9226"</f>
        <v>0,9226</v>
      </c>
      <c r="F65" s="16" t="s">
        <v>492</v>
      </c>
      <c r="G65" s="16" t="s">
        <v>829</v>
      </c>
      <c r="H65" s="36" t="s">
        <v>220</v>
      </c>
      <c r="I65" s="36" t="s">
        <v>208</v>
      </c>
      <c r="J65" s="36" t="s">
        <v>221</v>
      </c>
      <c r="K65" s="24"/>
      <c r="L65" s="36" t="s">
        <v>224</v>
      </c>
      <c r="M65" s="40" t="s">
        <v>381</v>
      </c>
      <c r="N65" s="40" t="s">
        <v>381</v>
      </c>
      <c r="O65" s="24"/>
      <c r="P65" s="36" t="s">
        <v>253</v>
      </c>
      <c r="Q65" s="36" t="s">
        <v>37</v>
      </c>
      <c r="R65" s="36" t="s">
        <v>17</v>
      </c>
      <c r="S65" s="24"/>
      <c r="T65" s="30">
        <v>705</v>
      </c>
      <c r="U65" s="23" t="str">
        <f>"650,4330"</f>
        <v>650,4330</v>
      </c>
      <c r="V65" s="16" t="s">
        <v>815</v>
      </c>
    </row>
    <row r="66" spans="1:22" x14ac:dyDescent="0.2">
      <c r="A66" s="43">
        <v>3</v>
      </c>
      <c r="B66" s="16" t="s">
        <v>645</v>
      </c>
      <c r="C66" s="16" t="s">
        <v>646</v>
      </c>
      <c r="D66" s="16" t="s">
        <v>647</v>
      </c>
      <c r="E66" s="16" t="str">
        <f>"0,9290"</f>
        <v>0,9290</v>
      </c>
      <c r="F66" s="16" t="s">
        <v>860</v>
      </c>
      <c r="G66" s="16" t="s">
        <v>796</v>
      </c>
      <c r="H66" s="36" t="s">
        <v>11</v>
      </c>
      <c r="I66" s="36" t="s">
        <v>140</v>
      </c>
      <c r="J66" s="40" t="s">
        <v>187</v>
      </c>
      <c r="K66" s="24"/>
      <c r="L66" s="36" t="s">
        <v>157</v>
      </c>
      <c r="M66" s="36" t="s">
        <v>104</v>
      </c>
      <c r="N66" s="40" t="s">
        <v>23</v>
      </c>
      <c r="O66" s="24"/>
      <c r="P66" s="36" t="s">
        <v>166</v>
      </c>
      <c r="Q66" s="36" t="s">
        <v>143</v>
      </c>
      <c r="R66" s="36" t="s">
        <v>232</v>
      </c>
      <c r="S66" s="24"/>
      <c r="T66" s="30">
        <v>552.5</v>
      </c>
      <c r="U66" s="23" t="str">
        <f>"513,2725"</f>
        <v>513,2725</v>
      </c>
      <c r="V66" s="16" t="s">
        <v>729</v>
      </c>
    </row>
    <row r="67" spans="1:22" x14ac:dyDescent="0.2">
      <c r="A67" s="43">
        <v>4</v>
      </c>
      <c r="B67" s="16" t="s">
        <v>648</v>
      </c>
      <c r="C67" s="16" t="s">
        <v>649</v>
      </c>
      <c r="D67" s="16" t="s">
        <v>571</v>
      </c>
      <c r="E67" s="16" t="str">
        <f>"0,9286"</f>
        <v>0,9286</v>
      </c>
      <c r="F67" s="16" t="s">
        <v>860</v>
      </c>
      <c r="G67" s="16" t="s">
        <v>796</v>
      </c>
      <c r="H67" s="36" t="s">
        <v>11</v>
      </c>
      <c r="I67" s="36" t="s">
        <v>140</v>
      </c>
      <c r="J67" s="40" t="s">
        <v>187</v>
      </c>
      <c r="K67" s="24"/>
      <c r="L67" s="36" t="s">
        <v>71</v>
      </c>
      <c r="M67" s="36" t="s">
        <v>104</v>
      </c>
      <c r="N67" s="36" t="s">
        <v>23</v>
      </c>
      <c r="O67" s="24"/>
      <c r="P67" s="36" t="s">
        <v>107</v>
      </c>
      <c r="Q67" s="36" t="s">
        <v>135</v>
      </c>
      <c r="R67" s="36" t="s">
        <v>296</v>
      </c>
      <c r="S67" s="24"/>
      <c r="T67" s="30">
        <v>552.5</v>
      </c>
      <c r="U67" s="23" t="str">
        <f>"513,0515"</f>
        <v>513,0515</v>
      </c>
      <c r="V67" s="16" t="s">
        <v>729</v>
      </c>
    </row>
    <row r="68" spans="1:22" x14ac:dyDescent="0.2">
      <c r="A68" s="43">
        <v>5</v>
      </c>
      <c r="B68" s="16" t="s">
        <v>650</v>
      </c>
      <c r="C68" s="16" t="s">
        <v>57</v>
      </c>
      <c r="D68" s="16" t="s">
        <v>651</v>
      </c>
      <c r="E68" s="16" t="str">
        <f>"0,9406"</f>
        <v>0,9406</v>
      </c>
      <c r="F68" s="16" t="s">
        <v>860</v>
      </c>
      <c r="G68" s="16" t="s">
        <v>796</v>
      </c>
      <c r="H68" s="36" t="s">
        <v>140</v>
      </c>
      <c r="I68" s="40" t="s">
        <v>187</v>
      </c>
      <c r="J68" s="40" t="s">
        <v>187</v>
      </c>
      <c r="K68" s="24"/>
      <c r="L68" s="36" t="s">
        <v>104</v>
      </c>
      <c r="M68" s="36" t="s">
        <v>116</v>
      </c>
      <c r="N68" s="36" t="s">
        <v>126</v>
      </c>
      <c r="O68" s="24"/>
      <c r="P68" s="36" t="s">
        <v>107</v>
      </c>
      <c r="Q68" s="36" t="s">
        <v>225</v>
      </c>
      <c r="R68" s="40" t="s">
        <v>143</v>
      </c>
      <c r="S68" s="24"/>
      <c r="T68" s="30">
        <v>547.5</v>
      </c>
      <c r="U68" s="23" t="str">
        <f>"514,9785"</f>
        <v>514,9785</v>
      </c>
      <c r="V68" s="16" t="s">
        <v>729</v>
      </c>
    </row>
    <row r="69" spans="1:22" x14ac:dyDescent="0.2">
      <c r="A69" s="43">
        <v>1</v>
      </c>
      <c r="B69" s="17" t="s">
        <v>489</v>
      </c>
      <c r="C69" s="17" t="s">
        <v>490</v>
      </c>
      <c r="D69" s="17" t="s">
        <v>491</v>
      </c>
      <c r="E69" s="17" t="str">
        <f>"0,9226"</f>
        <v>0,9226</v>
      </c>
      <c r="F69" s="17" t="s">
        <v>492</v>
      </c>
      <c r="G69" s="17" t="s">
        <v>820</v>
      </c>
      <c r="H69" s="37" t="s">
        <v>220</v>
      </c>
      <c r="I69" s="37" t="s">
        <v>208</v>
      </c>
      <c r="J69" s="37" t="s">
        <v>221</v>
      </c>
      <c r="K69" s="26"/>
      <c r="L69" s="37" t="s">
        <v>224</v>
      </c>
      <c r="M69" s="39" t="s">
        <v>381</v>
      </c>
      <c r="N69" s="39" t="s">
        <v>381</v>
      </c>
      <c r="O69" s="26"/>
      <c r="P69" s="37" t="s">
        <v>253</v>
      </c>
      <c r="Q69" s="37" t="s">
        <v>37</v>
      </c>
      <c r="R69" s="37" t="s">
        <v>17</v>
      </c>
      <c r="S69" s="26"/>
      <c r="T69" s="31">
        <v>705</v>
      </c>
      <c r="U69" s="25" t="str">
        <f>"724,5823"</f>
        <v>724,5823</v>
      </c>
      <c r="V69" s="17" t="s">
        <v>816</v>
      </c>
    </row>
    <row r="71" spans="1:22" ht="15" x14ac:dyDescent="0.2">
      <c r="B71" s="311" t="s">
        <v>4012</v>
      </c>
      <c r="C71" s="311"/>
      <c r="D71" s="311"/>
      <c r="E71" s="311"/>
      <c r="F71" s="311"/>
      <c r="G71" s="311"/>
      <c r="H71" s="311"/>
      <c r="I71" s="311"/>
      <c r="J71" s="311"/>
      <c r="K71" s="311"/>
      <c r="L71" s="311"/>
      <c r="M71" s="311"/>
      <c r="N71" s="311"/>
      <c r="O71" s="311"/>
      <c r="P71" s="311"/>
      <c r="Q71" s="311"/>
      <c r="R71" s="311"/>
      <c r="S71" s="311"/>
      <c r="T71" s="311"/>
      <c r="U71" s="311"/>
      <c r="V71" s="50"/>
    </row>
    <row r="72" spans="1:22" x14ac:dyDescent="0.2">
      <c r="A72" s="43">
        <v>1</v>
      </c>
      <c r="B72" s="16" t="s">
        <v>652</v>
      </c>
      <c r="C72" s="16" t="s">
        <v>653</v>
      </c>
      <c r="D72" s="16" t="s">
        <v>654</v>
      </c>
      <c r="E72" s="16" t="str">
        <f>"0,8940"</f>
        <v>0,8940</v>
      </c>
      <c r="F72" s="53" t="s">
        <v>831</v>
      </c>
      <c r="G72" s="16" t="s">
        <v>832</v>
      </c>
      <c r="H72" s="36" t="s">
        <v>37</v>
      </c>
      <c r="I72" s="36" t="s">
        <v>655</v>
      </c>
      <c r="J72" s="36" t="s">
        <v>656</v>
      </c>
      <c r="K72" s="24"/>
      <c r="L72" s="36" t="s">
        <v>116</v>
      </c>
      <c r="M72" s="36" t="s">
        <v>126</v>
      </c>
      <c r="N72" s="40" t="s">
        <v>36</v>
      </c>
      <c r="O72" s="24"/>
      <c r="P72" s="40" t="s">
        <v>261</v>
      </c>
      <c r="Q72" s="36" t="s">
        <v>261</v>
      </c>
      <c r="R72" s="36" t="s">
        <v>657</v>
      </c>
      <c r="S72" s="36" t="s">
        <v>26</v>
      </c>
      <c r="T72" s="30">
        <v>687</v>
      </c>
      <c r="U72" s="23" t="str">
        <f>"614,1780"</f>
        <v>614,1780</v>
      </c>
      <c r="V72" s="16" t="s">
        <v>728</v>
      </c>
    </row>
    <row r="73" spans="1:22" x14ac:dyDescent="0.2">
      <c r="A73" s="43">
        <v>1</v>
      </c>
      <c r="B73" s="16" t="s">
        <v>586</v>
      </c>
      <c r="C73" s="16" t="s">
        <v>658</v>
      </c>
      <c r="D73" s="16" t="s">
        <v>659</v>
      </c>
      <c r="E73" s="16" t="str">
        <f>"0,8900"</f>
        <v>0,8900</v>
      </c>
      <c r="F73" s="16" t="s">
        <v>855</v>
      </c>
      <c r="G73" s="16" t="s">
        <v>796</v>
      </c>
      <c r="H73" s="36" t="s">
        <v>220</v>
      </c>
      <c r="I73" s="36" t="s">
        <v>660</v>
      </c>
      <c r="J73" s="40" t="s">
        <v>273</v>
      </c>
      <c r="K73" s="24"/>
      <c r="L73" s="36" t="s">
        <v>11</v>
      </c>
      <c r="M73" s="36" t="s">
        <v>107</v>
      </c>
      <c r="N73" s="40" t="s">
        <v>166</v>
      </c>
      <c r="O73" s="24"/>
      <c r="P73" s="36" t="s">
        <v>37</v>
      </c>
      <c r="Q73" s="36" t="s">
        <v>273</v>
      </c>
      <c r="R73" s="36" t="s">
        <v>15</v>
      </c>
      <c r="S73" s="24"/>
      <c r="T73" s="30">
        <v>702.5</v>
      </c>
      <c r="U73" s="23" t="str">
        <f>"625,2250"</f>
        <v>625,2250</v>
      </c>
      <c r="V73" s="16" t="s">
        <v>727</v>
      </c>
    </row>
    <row r="74" spans="1:22" x14ac:dyDescent="0.2">
      <c r="A74" s="43">
        <v>2</v>
      </c>
      <c r="B74" s="16" t="s">
        <v>661</v>
      </c>
      <c r="C74" s="16" t="s">
        <v>662</v>
      </c>
      <c r="D74" s="16" t="s">
        <v>663</v>
      </c>
      <c r="E74" s="16" t="str">
        <f>"0,8932"</f>
        <v>0,8932</v>
      </c>
      <c r="F74" s="16" t="s">
        <v>4020</v>
      </c>
      <c r="G74" s="16" t="s">
        <v>810</v>
      </c>
      <c r="H74" s="36" t="s">
        <v>17</v>
      </c>
      <c r="I74" s="40" t="s">
        <v>35</v>
      </c>
      <c r="J74" s="40" t="s">
        <v>35</v>
      </c>
      <c r="K74" s="24"/>
      <c r="L74" s="36" t="s">
        <v>156</v>
      </c>
      <c r="M74" s="40" t="s">
        <v>206</v>
      </c>
      <c r="N74" s="40" t="s">
        <v>106</v>
      </c>
      <c r="O74" s="24"/>
      <c r="P74" s="36" t="s">
        <v>253</v>
      </c>
      <c r="Q74" s="36" t="s">
        <v>37</v>
      </c>
      <c r="R74" s="40" t="s">
        <v>35</v>
      </c>
      <c r="S74" s="24"/>
      <c r="T74" s="30">
        <v>685</v>
      </c>
      <c r="U74" s="23" t="str">
        <f>"611,8420"</f>
        <v>611,8420</v>
      </c>
      <c r="V74" s="16" t="s">
        <v>726</v>
      </c>
    </row>
    <row r="75" spans="1:22" x14ac:dyDescent="0.2">
      <c r="A75" s="43">
        <v>3</v>
      </c>
      <c r="B75" s="16" t="s">
        <v>664</v>
      </c>
      <c r="C75" s="16" t="s">
        <v>665</v>
      </c>
      <c r="D75" s="16" t="s">
        <v>666</v>
      </c>
      <c r="E75" s="16" t="str">
        <f>"0,8928"</f>
        <v>0,8928</v>
      </c>
      <c r="F75" s="16" t="s">
        <v>4020</v>
      </c>
      <c r="G75" s="16" t="s">
        <v>799</v>
      </c>
      <c r="H75" s="36" t="s">
        <v>140</v>
      </c>
      <c r="I75" s="40" t="s">
        <v>187</v>
      </c>
      <c r="J75" s="40" t="s">
        <v>187</v>
      </c>
      <c r="K75" s="24"/>
      <c r="L75" s="36" t="s">
        <v>36</v>
      </c>
      <c r="M75" s="40" t="s">
        <v>149</v>
      </c>
      <c r="N75" s="40" t="s">
        <v>149</v>
      </c>
      <c r="O75" s="24"/>
      <c r="P75" s="36" t="s">
        <v>24</v>
      </c>
      <c r="Q75" s="36" t="s">
        <v>232</v>
      </c>
      <c r="R75" s="40" t="s">
        <v>246</v>
      </c>
      <c r="S75" s="24"/>
      <c r="T75" s="30">
        <v>572.5</v>
      </c>
      <c r="U75" s="23" t="str">
        <f>"511,1280"</f>
        <v>511,1280</v>
      </c>
      <c r="V75" s="16" t="s">
        <v>725</v>
      </c>
    </row>
    <row r="76" spans="1:22" x14ac:dyDescent="0.2">
      <c r="A76" s="43">
        <v>4</v>
      </c>
      <c r="B76" s="16" t="s">
        <v>551</v>
      </c>
      <c r="C76" s="16" t="s">
        <v>552</v>
      </c>
      <c r="D76" s="16" t="s">
        <v>553</v>
      </c>
      <c r="E76" s="16" t="str">
        <f>"0,8980"</f>
        <v>0,8980</v>
      </c>
      <c r="F76" s="16" t="s">
        <v>857</v>
      </c>
      <c r="G76" s="16" t="s">
        <v>796</v>
      </c>
      <c r="H76" s="36" t="s">
        <v>71</v>
      </c>
      <c r="I76" s="36" t="s">
        <v>158</v>
      </c>
      <c r="J76" s="40" t="s">
        <v>165</v>
      </c>
      <c r="K76" s="24"/>
      <c r="L76" s="36" t="s">
        <v>51</v>
      </c>
      <c r="M76" s="40" t="s">
        <v>41</v>
      </c>
      <c r="N76" s="40" t="s">
        <v>41</v>
      </c>
      <c r="O76" s="24"/>
      <c r="P76" s="36" t="s">
        <v>23</v>
      </c>
      <c r="Q76" s="36" t="s">
        <v>126</v>
      </c>
      <c r="R76" s="36" t="s">
        <v>148</v>
      </c>
      <c r="S76" s="24"/>
      <c r="T76" s="30">
        <v>350</v>
      </c>
      <c r="U76" s="23" t="str">
        <f>"314,3000"</f>
        <v>314,3000</v>
      </c>
      <c r="V76" s="16" t="s">
        <v>724</v>
      </c>
    </row>
    <row r="77" spans="1:22" x14ac:dyDescent="0.2">
      <c r="B77" s="17" t="s">
        <v>667</v>
      </c>
      <c r="C77" s="17" t="s">
        <v>668</v>
      </c>
      <c r="D77" s="17" t="s">
        <v>669</v>
      </c>
      <c r="E77" s="17" t="str">
        <f>"0,8978"</f>
        <v>0,8978</v>
      </c>
      <c r="F77" s="17" t="s">
        <v>464</v>
      </c>
      <c r="G77" s="17" t="s">
        <v>824</v>
      </c>
      <c r="H77" s="39" t="s">
        <v>141</v>
      </c>
      <c r="I77" s="39" t="s">
        <v>141</v>
      </c>
      <c r="J77" s="26"/>
      <c r="K77" s="26"/>
      <c r="L77" s="39"/>
      <c r="M77" s="26"/>
      <c r="N77" s="26"/>
      <c r="O77" s="26"/>
      <c r="P77" s="39"/>
      <c r="Q77" s="26"/>
      <c r="R77" s="26"/>
      <c r="S77" s="26"/>
      <c r="T77" s="33">
        <v>0</v>
      </c>
      <c r="U77" s="25" t="s">
        <v>720</v>
      </c>
      <c r="V77" s="17" t="s">
        <v>3391</v>
      </c>
    </row>
    <row r="79" spans="1:22" ht="15" x14ac:dyDescent="0.2">
      <c r="B79" s="294" t="s">
        <v>4013</v>
      </c>
      <c r="C79" s="294"/>
      <c r="D79" s="294"/>
      <c r="E79" s="294"/>
      <c r="F79" s="294"/>
      <c r="G79" s="294"/>
      <c r="H79" s="294"/>
      <c r="I79" s="294"/>
      <c r="J79" s="294"/>
      <c r="K79" s="294"/>
      <c r="L79" s="294"/>
      <c r="M79" s="294"/>
      <c r="N79" s="294"/>
      <c r="O79" s="294"/>
      <c r="P79" s="294"/>
      <c r="Q79" s="294"/>
      <c r="R79" s="294"/>
      <c r="S79" s="294"/>
      <c r="T79" s="294"/>
      <c r="U79" s="294"/>
    </row>
    <row r="80" spans="1:22" x14ac:dyDescent="0.2">
      <c r="A80" s="43">
        <v>1</v>
      </c>
      <c r="B80" s="15" t="s">
        <v>500</v>
      </c>
      <c r="C80" s="15" t="s">
        <v>501</v>
      </c>
      <c r="D80" s="15" t="s">
        <v>502</v>
      </c>
      <c r="E80" s="15" t="str">
        <f>"0,8824"</f>
        <v>0,8824</v>
      </c>
      <c r="F80" s="15" t="s">
        <v>14</v>
      </c>
      <c r="G80" s="15" t="s">
        <v>822</v>
      </c>
      <c r="H80" s="35" t="s">
        <v>208</v>
      </c>
      <c r="I80" s="35" t="s">
        <v>261</v>
      </c>
      <c r="J80" s="35" t="s">
        <v>374</v>
      </c>
      <c r="K80" s="22"/>
      <c r="L80" s="35" t="s">
        <v>106</v>
      </c>
      <c r="M80" s="35" t="s">
        <v>224</v>
      </c>
      <c r="N80" s="38" t="s">
        <v>166</v>
      </c>
      <c r="O80" s="22"/>
      <c r="P80" s="35" t="s">
        <v>287</v>
      </c>
      <c r="Q80" s="35" t="s">
        <v>274</v>
      </c>
      <c r="R80" s="38" t="s">
        <v>644</v>
      </c>
      <c r="S80" s="22"/>
      <c r="T80" s="29">
        <v>755</v>
      </c>
      <c r="U80" s="21" t="str">
        <f>"666,2120"</f>
        <v>666,2120</v>
      </c>
      <c r="V80" s="15" t="s">
        <v>817</v>
      </c>
    </row>
    <row r="81" spans="1:22" x14ac:dyDescent="0.2">
      <c r="A81" s="43">
        <v>2</v>
      </c>
      <c r="B81" s="16" t="s">
        <v>670</v>
      </c>
      <c r="C81" s="16" t="s">
        <v>671</v>
      </c>
      <c r="D81" s="16" t="s">
        <v>672</v>
      </c>
      <c r="E81" s="16" t="str">
        <f>"0,8660"</f>
        <v>0,8660</v>
      </c>
      <c r="F81" s="16" t="s">
        <v>4020</v>
      </c>
      <c r="G81" s="16" t="s">
        <v>796</v>
      </c>
      <c r="H81" s="36" t="s">
        <v>17</v>
      </c>
      <c r="I81" s="40" t="s">
        <v>35</v>
      </c>
      <c r="J81" s="36" t="s">
        <v>26</v>
      </c>
      <c r="K81" s="24"/>
      <c r="L81" s="36" t="s">
        <v>127</v>
      </c>
      <c r="M81" s="40" t="s">
        <v>142</v>
      </c>
      <c r="N81" s="40" t="s">
        <v>142</v>
      </c>
      <c r="O81" s="24"/>
      <c r="P81" s="36" t="s">
        <v>37</v>
      </c>
      <c r="Q81" s="40" t="s">
        <v>17</v>
      </c>
      <c r="R81" s="40" t="s">
        <v>15</v>
      </c>
      <c r="S81" s="24"/>
      <c r="T81" s="30">
        <v>690</v>
      </c>
      <c r="U81" s="23" t="str">
        <f>"597,5400"</f>
        <v>597,5400</v>
      </c>
      <c r="V81" s="16" t="s">
        <v>3391</v>
      </c>
    </row>
    <row r="82" spans="1:22" x14ac:dyDescent="0.2">
      <c r="A82" s="43">
        <v>3</v>
      </c>
      <c r="B82" s="17" t="s">
        <v>506</v>
      </c>
      <c r="C82" s="17" t="s">
        <v>507</v>
      </c>
      <c r="D82" s="17" t="s">
        <v>673</v>
      </c>
      <c r="E82" s="17" t="str">
        <f>"0,8750"</f>
        <v>0,8750</v>
      </c>
      <c r="F82" s="17" t="s">
        <v>492</v>
      </c>
      <c r="G82" s="17" t="s">
        <v>821</v>
      </c>
      <c r="H82" s="37" t="s">
        <v>11</v>
      </c>
      <c r="I82" s="37" t="s">
        <v>140</v>
      </c>
      <c r="J82" s="37" t="s">
        <v>24</v>
      </c>
      <c r="K82" s="26"/>
      <c r="L82" s="37" t="s">
        <v>207</v>
      </c>
      <c r="M82" s="37" t="s">
        <v>166</v>
      </c>
      <c r="N82" s="37" t="s">
        <v>140</v>
      </c>
      <c r="O82" s="26"/>
      <c r="P82" s="37" t="s">
        <v>24</v>
      </c>
      <c r="Q82" s="37" t="s">
        <v>208</v>
      </c>
      <c r="R82" s="39" t="s">
        <v>273</v>
      </c>
      <c r="S82" s="26"/>
      <c r="T82" s="31">
        <v>665</v>
      </c>
      <c r="U82" s="25" t="str">
        <f>"581,8750"</f>
        <v>581,8750</v>
      </c>
      <c r="V82" s="17" t="s">
        <v>3391</v>
      </c>
    </row>
    <row r="84" spans="1:22" ht="15" x14ac:dyDescent="0.2">
      <c r="B84" s="294" t="s">
        <v>4016</v>
      </c>
      <c r="C84" s="294"/>
      <c r="D84" s="294"/>
      <c r="E84" s="294"/>
      <c r="F84" s="294"/>
      <c r="G84" s="294"/>
      <c r="H84" s="294"/>
      <c r="I84" s="294"/>
      <c r="J84" s="294"/>
      <c r="K84" s="294"/>
      <c r="L84" s="294"/>
      <c r="M84" s="294"/>
      <c r="N84" s="294"/>
      <c r="O84" s="294"/>
      <c r="P84" s="294"/>
      <c r="Q84" s="294"/>
      <c r="R84" s="294"/>
      <c r="S84" s="294"/>
      <c r="T84" s="294"/>
      <c r="U84" s="294"/>
    </row>
    <row r="85" spans="1:22" x14ac:dyDescent="0.2">
      <c r="A85" s="43">
        <v>1</v>
      </c>
      <c r="B85" s="7" t="s">
        <v>674</v>
      </c>
      <c r="C85" s="7" t="s">
        <v>675</v>
      </c>
      <c r="D85" s="7" t="s">
        <v>676</v>
      </c>
      <c r="E85" s="7" t="str">
        <f>"0,8538"</f>
        <v>0,8538</v>
      </c>
      <c r="F85" s="7" t="s">
        <v>4020</v>
      </c>
      <c r="G85" s="7" t="s">
        <v>803</v>
      </c>
      <c r="H85" s="34" t="s">
        <v>17</v>
      </c>
      <c r="I85" s="34" t="s">
        <v>26</v>
      </c>
      <c r="J85" s="41" t="s">
        <v>274</v>
      </c>
      <c r="K85" s="20"/>
      <c r="L85" s="34" t="s">
        <v>36</v>
      </c>
      <c r="M85" s="34" t="s">
        <v>141</v>
      </c>
      <c r="N85" s="41" t="s">
        <v>156</v>
      </c>
      <c r="O85" s="20"/>
      <c r="P85" s="34" t="s">
        <v>37</v>
      </c>
      <c r="Q85" s="34" t="s">
        <v>17</v>
      </c>
      <c r="R85" s="41" t="s">
        <v>35</v>
      </c>
      <c r="S85" s="20"/>
      <c r="T85" s="28">
        <v>705</v>
      </c>
      <c r="U85" s="19" t="str">
        <f>"601,9290"</f>
        <v>601,9290</v>
      </c>
      <c r="V85" s="7" t="s">
        <v>723</v>
      </c>
    </row>
    <row r="87" spans="1:22" ht="15" x14ac:dyDescent="0.2">
      <c r="B87" s="294" t="s">
        <v>4017</v>
      </c>
      <c r="C87" s="294"/>
      <c r="D87" s="294"/>
      <c r="E87" s="294"/>
      <c r="F87" s="294"/>
      <c r="G87" s="294"/>
      <c r="H87" s="294"/>
      <c r="I87" s="294"/>
      <c r="J87" s="294"/>
      <c r="K87" s="294"/>
      <c r="L87" s="294"/>
      <c r="M87" s="294"/>
      <c r="N87" s="294"/>
      <c r="O87" s="294"/>
      <c r="P87" s="294"/>
      <c r="Q87" s="294"/>
      <c r="R87" s="294"/>
      <c r="S87" s="294"/>
      <c r="T87" s="294"/>
      <c r="U87" s="294"/>
    </row>
    <row r="88" spans="1:22" x14ac:dyDescent="0.2">
      <c r="A88" s="43">
        <v>1</v>
      </c>
      <c r="B88" s="7" t="s">
        <v>508</v>
      </c>
      <c r="C88" s="7" t="s">
        <v>509</v>
      </c>
      <c r="D88" s="7" t="s">
        <v>510</v>
      </c>
      <c r="E88" s="7" t="str">
        <f>"0,8380"</f>
        <v>0,8380</v>
      </c>
      <c r="F88" s="7" t="s">
        <v>492</v>
      </c>
      <c r="G88" s="7" t="s">
        <v>821</v>
      </c>
      <c r="H88" s="34" t="s">
        <v>208</v>
      </c>
      <c r="I88" s="20"/>
      <c r="J88" s="20"/>
      <c r="K88" s="20"/>
      <c r="L88" s="34" t="s">
        <v>71</v>
      </c>
      <c r="M88" s="41" t="s">
        <v>104</v>
      </c>
      <c r="N88" s="41" t="s">
        <v>104</v>
      </c>
      <c r="O88" s="20"/>
      <c r="P88" s="34" t="s">
        <v>261</v>
      </c>
      <c r="Q88" s="34" t="s">
        <v>511</v>
      </c>
      <c r="R88" s="41" t="s">
        <v>16</v>
      </c>
      <c r="S88" s="20"/>
      <c r="T88" s="28">
        <v>637.5</v>
      </c>
      <c r="U88" s="19" t="str">
        <f>"534,2250"</f>
        <v>534,2250</v>
      </c>
      <c r="V88" s="7" t="s">
        <v>3391</v>
      </c>
    </row>
    <row r="90" spans="1:22" ht="18" x14ac:dyDescent="0.25">
      <c r="B90" s="8" t="s">
        <v>4022</v>
      </c>
      <c r="C90" s="8"/>
    </row>
    <row r="91" spans="1:22" ht="15" x14ac:dyDescent="0.2">
      <c r="B91" s="9" t="s">
        <v>283</v>
      </c>
      <c r="C91" s="9"/>
    </row>
    <row r="92" spans="1:22" ht="14.25" x14ac:dyDescent="0.2">
      <c r="B92" s="11"/>
      <c r="C92" s="12" t="s">
        <v>18</v>
      </c>
    </row>
    <row r="93" spans="1:22" ht="15" x14ac:dyDescent="0.2">
      <c r="B93" s="13" t="s">
        <v>0</v>
      </c>
      <c r="C93" s="13" t="s">
        <v>19</v>
      </c>
      <c r="D93" s="13" t="s">
        <v>20</v>
      </c>
      <c r="E93" s="13" t="s">
        <v>3593</v>
      </c>
      <c r="F93" s="13" t="s">
        <v>9</v>
      </c>
    </row>
    <row r="94" spans="1:22" x14ac:dyDescent="0.2">
      <c r="A94" s="43">
        <v>1</v>
      </c>
      <c r="B94" s="10" t="s">
        <v>572</v>
      </c>
      <c r="C94" s="18" t="s">
        <v>18</v>
      </c>
      <c r="D94" s="18" t="s">
        <v>286</v>
      </c>
      <c r="E94" s="18" t="s">
        <v>677</v>
      </c>
      <c r="F94" s="27" t="s">
        <v>678</v>
      </c>
    </row>
    <row r="95" spans="1:22" x14ac:dyDescent="0.2">
      <c r="A95" s="43">
        <v>2</v>
      </c>
      <c r="B95" s="10" t="s">
        <v>583</v>
      </c>
      <c r="C95" s="18" t="s">
        <v>18</v>
      </c>
      <c r="D95" s="18" t="s">
        <v>288</v>
      </c>
      <c r="E95" s="18" t="s">
        <v>679</v>
      </c>
      <c r="F95" s="27" t="s">
        <v>680</v>
      </c>
    </row>
    <row r="96" spans="1:22" x14ac:dyDescent="0.2">
      <c r="A96" s="43">
        <v>3</v>
      </c>
      <c r="B96" s="10" t="s">
        <v>580</v>
      </c>
      <c r="C96" s="18" t="s">
        <v>18</v>
      </c>
      <c r="D96" s="18" t="s">
        <v>515</v>
      </c>
      <c r="E96" s="18" t="s">
        <v>681</v>
      </c>
      <c r="F96" s="27" t="s">
        <v>682</v>
      </c>
    </row>
    <row r="97" spans="1:6" x14ac:dyDescent="0.2">
      <c r="C97" s="18"/>
      <c r="D97" s="18"/>
      <c r="E97" s="18"/>
      <c r="F97" s="18"/>
    </row>
    <row r="98" spans="1:6" ht="15" x14ac:dyDescent="0.2">
      <c r="B98" s="9" t="s">
        <v>3499</v>
      </c>
      <c r="C98" s="203"/>
      <c r="D98" s="18"/>
      <c r="E98" s="18"/>
      <c r="F98" s="18"/>
    </row>
    <row r="99" spans="1:6" ht="14.25" x14ac:dyDescent="0.2">
      <c r="B99" s="11"/>
      <c r="C99" s="240" t="s">
        <v>18</v>
      </c>
      <c r="D99" s="18"/>
      <c r="E99" s="18"/>
      <c r="F99" s="18"/>
    </row>
    <row r="100" spans="1:6" ht="15" x14ac:dyDescent="0.2">
      <c r="B100" s="13" t="s">
        <v>0</v>
      </c>
      <c r="C100" s="13" t="s">
        <v>19</v>
      </c>
      <c r="D100" s="13" t="s">
        <v>20</v>
      </c>
      <c r="E100" s="13" t="s">
        <v>3593</v>
      </c>
      <c r="F100" s="13" t="s">
        <v>9</v>
      </c>
    </row>
    <row r="101" spans="1:6" x14ac:dyDescent="0.2">
      <c r="A101" s="43">
        <v>1</v>
      </c>
      <c r="B101" s="10" t="s">
        <v>603</v>
      </c>
      <c r="C101" s="18" t="s">
        <v>18</v>
      </c>
      <c r="D101" s="18" t="s">
        <v>295</v>
      </c>
      <c r="E101" s="18" t="s">
        <v>686</v>
      </c>
      <c r="F101" s="27" t="s">
        <v>687</v>
      </c>
    </row>
    <row r="102" spans="1:6" x14ac:dyDescent="0.2">
      <c r="A102" s="43">
        <v>2</v>
      </c>
      <c r="B102" s="10" t="s">
        <v>468</v>
      </c>
      <c r="C102" s="18" t="s">
        <v>18</v>
      </c>
      <c r="D102" s="18" t="s">
        <v>300</v>
      </c>
      <c r="E102" s="18" t="s">
        <v>688</v>
      </c>
      <c r="F102" s="27" t="s">
        <v>689</v>
      </c>
    </row>
    <row r="103" spans="1:6" x14ac:dyDescent="0.2">
      <c r="A103" s="43">
        <v>3</v>
      </c>
      <c r="B103" s="10" t="s">
        <v>500</v>
      </c>
      <c r="C103" s="18" t="s">
        <v>18</v>
      </c>
      <c r="D103" s="18" t="s">
        <v>303</v>
      </c>
      <c r="E103" s="18" t="s">
        <v>690</v>
      </c>
      <c r="F103" s="27" t="s">
        <v>691</v>
      </c>
    </row>
  </sheetData>
  <mergeCells count="32">
    <mergeCell ref="A1:V1"/>
    <mergeCell ref="A2:V2"/>
    <mergeCell ref="A3:V3"/>
    <mergeCell ref="A4:A5"/>
    <mergeCell ref="B4:B5"/>
    <mergeCell ref="C4:C5"/>
    <mergeCell ref="D4:D5"/>
    <mergeCell ref="E4:E5"/>
    <mergeCell ref="F4:F5"/>
    <mergeCell ref="G4:G5"/>
    <mergeCell ref="H4:K4"/>
    <mergeCell ref="L4:O4"/>
    <mergeCell ref="P4:S4"/>
    <mergeCell ref="V4:V5"/>
    <mergeCell ref="B87:U87"/>
    <mergeCell ref="B45:U45"/>
    <mergeCell ref="B50:U50"/>
    <mergeCell ref="B62:U62"/>
    <mergeCell ref="B71:U71"/>
    <mergeCell ref="B79:U79"/>
    <mergeCell ref="B84:U84"/>
    <mergeCell ref="B35:U35"/>
    <mergeCell ref="T4:T5"/>
    <mergeCell ref="U4:U5"/>
    <mergeCell ref="B22:U22"/>
    <mergeCell ref="B25:U25"/>
    <mergeCell ref="B28:U28"/>
    <mergeCell ref="B31:U31"/>
    <mergeCell ref="B6:U6"/>
    <mergeCell ref="B9:U9"/>
    <mergeCell ref="B14:U14"/>
    <mergeCell ref="B17:U17"/>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workbookViewId="0">
      <selection activeCell="E52" sqref="E52"/>
    </sheetView>
  </sheetViews>
  <sheetFormatPr defaultColWidth="8.7109375" defaultRowHeight="12.75" x14ac:dyDescent="0.2"/>
  <cols>
    <col min="1" max="1" width="6.7109375" customWidth="1"/>
    <col min="2" max="2" width="26.7109375" customWidth="1"/>
    <col min="3" max="3" width="28.7109375" customWidth="1"/>
    <col min="4" max="4" width="17" customWidth="1"/>
    <col min="5" max="5" width="18.42578125" customWidth="1"/>
    <col min="6" max="6" width="35" customWidth="1"/>
    <col min="12" max="12" width="17.5703125" customWidth="1"/>
  </cols>
  <sheetData>
    <row r="1" spans="1:12" ht="30" x14ac:dyDescent="0.4">
      <c r="A1" s="340" t="s">
        <v>4053</v>
      </c>
      <c r="B1" s="340"/>
      <c r="C1" s="340"/>
      <c r="D1" s="340"/>
      <c r="E1" s="340"/>
      <c r="F1" s="340"/>
      <c r="G1" s="340"/>
      <c r="H1" s="340"/>
      <c r="I1" s="340"/>
      <c r="J1" s="340"/>
      <c r="K1" s="340"/>
      <c r="L1" s="341"/>
    </row>
    <row r="2" spans="1:12" ht="30" x14ac:dyDescent="0.4">
      <c r="A2" s="317" t="s">
        <v>3380</v>
      </c>
      <c r="B2" s="317"/>
      <c r="C2" s="317"/>
      <c r="D2" s="317"/>
      <c r="E2" s="317"/>
      <c r="F2" s="317"/>
      <c r="G2" s="317"/>
      <c r="H2" s="317"/>
      <c r="I2" s="317"/>
      <c r="J2" s="317"/>
      <c r="K2" s="317"/>
      <c r="L2" s="318"/>
    </row>
    <row r="3" spans="1:12" ht="30.75" thickBot="1" x14ac:dyDescent="0.45">
      <c r="A3" s="319" t="s">
        <v>3381</v>
      </c>
      <c r="B3" s="319"/>
      <c r="C3" s="319"/>
      <c r="D3" s="319"/>
      <c r="E3" s="319"/>
      <c r="F3" s="319"/>
      <c r="G3" s="319"/>
      <c r="H3" s="319"/>
      <c r="I3" s="319"/>
      <c r="J3" s="319"/>
      <c r="K3" s="319"/>
      <c r="L3" s="320"/>
    </row>
    <row r="4" spans="1:12" ht="15" x14ac:dyDescent="0.2">
      <c r="A4" s="297" t="s">
        <v>719</v>
      </c>
      <c r="B4" s="300" t="s">
        <v>0</v>
      </c>
      <c r="C4" s="302" t="s">
        <v>3382</v>
      </c>
      <c r="D4" s="302" t="s">
        <v>8</v>
      </c>
      <c r="E4" s="304" t="s">
        <v>1</v>
      </c>
      <c r="F4" s="305" t="s">
        <v>2819</v>
      </c>
      <c r="G4" s="342" t="s">
        <v>3380</v>
      </c>
      <c r="H4" s="343"/>
      <c r="I4" s="343"/>
      <c r="J4" s="344"/>
      <c r="K4" s="312" t="s">
        <v>3593</v>
      </c>
      <c r="L4" s="307" t="s">
        <v>5</v>
      </c>
    </row>
    <row r="5" spans="1:12" ht="15" customHeight="1" thickBot="1" x14ac:dyDescent="0.25">
      <c r="A5" s="298"/>
      <c r="B5" s="301"/>
      <c r="C5" s="303"/>
      <c r="D5" s="303"/>
      <c r="E5" s="303"/>
      <c r="F5" s="306"/>
      <c r="G5" s="3">
        <v>1</v>
      </c>
      <c r="H5" s="3">
        <v>2</v>
      </c>
      <c r="I5" s="3">
        <v>3</v>
      </c>
      <c r="J5" s="164">
        <v>4</v>
      </c>
      <c r="K5" s="313"/>
      <c r="L5" s="310"/>
    </row>
    <row r="6" spans="1:12" ht="15" x14ac:dyDescent="0.2">
      <c r="A6" s="66"/>
      <c r="B6" s="328" t="s">
        <v>3383</v>
      </c>
      <c r="C6" s="299"/>
      <c r="D6" s="299"/>
      <c r="E6" s="299"/>
      <c r="F6" s="299"/>
      <c r="G6" s="299"/>
      <c r="H6" s="299"/>
      <c r="I6" s="299"/>
      <c r="J6" s="299"/>
      <c r="K6" s="299"/>
      <c r="L6" s="65"/>
    </row>
    <row r="7" spans="1:12" x14ac:dyDescent="0.2">
      <c r="A7" s="86" t="s">
        <v>892</v>
      </c>
      <c r="B7" s="76" t="s">
        <v>3384</v>
      </c>
      <c r="C7" s="70" t="s">
        <v>3385</v>
      </c>
      <c r="D7" s="165" t="s">
        <v>3386</v>
      </c>
      <c r="E7" s="70" t="s">
        <v>3387</v>
      </c>
      <c r="F7" s="70" t="s">
        <v>3388</v>
      </c>
      <c r="G7" s="166" t="s">
        <v>3389</v>
      </c>
      <c r="H7" s="167" t="s">
        <v>3390</v>
      </c>
      <c r="I7" s="167" t="s">
        <v>3390</v>
      </c>
      <c r="J7" s="168"/>
      <c r="K7" s="76">
        <v>31.5</v>
      </c>
      <c r="L7" s="70" t="s">
        <v>3391</v>
      </c>
    </row>
    <row r="8" spans="1:12" x14ac:dyDescent="0.2">
      <c r="A8" s="86" t="s">
        <v>2778</v>
      </c>
      <c r="B8" s="78" t="s">
        <v>3392</v>
      </c>
      <c r="C8" s="72" t="s">
        <v>3393</v>
      </c>
      <c r="D8" s="169" t="s">
        <v>3394</v>
      </c>
      <c r="E8" s="72" t="s">
        <v>3387</v>
      </c>
      <c r="F8" s="72" t="s">
        <v>3388</v>
      </c>
      <c r="G8" s="170" t="s">
        <v>1588</v>
      </c>
      <c r="H8" s="171" t="s">
        <v>3389</v>
      </c>
      <c r="I8" s="171" t="s">
        <v>3389</v>
      </c>
      <c r="J8" s="172"/>
      <c r="K8" s="78">
        <v>27.5</v>
      </c>
      <c r="L8" s="72" t="s">
        <v>3395</v>
      </c>
    </row>
    <row r="9" spans="1:12" x14ac:dyDescent="0.2">
      <c r="A9" s="42"/>
      <c r="B9" s="69"/>
      <c r="C9" s="66"/>
      <c r="D9" s="66"/>
      <c r="E9" s="65"/>
      <c r="F9" s="65"/>
      <c r="G9" s="66"/>
      <c r="H9" s="66"/>
      <c r="I9" s="66"/>
      <c r="J9" s="66"/>
      <c r="K9" s="69"/>
      <c r="L9" s="65"/>
    </row>
    <row r="10" spans="1:12" ht="15" x14ac:dyDescent="0.2">
      <c r="A10" s="42"/>
      <c r="B10" s="324" t="s">
        <v>3396</v>
      </c>
      <c r="C10" s="316"/>
      <c r="D10" s="316"/>
      <c r="E10" s="316"/>
      <c r="F10" s="316"/>
      <c r="G10" s="316"/>
      <c r="H10" s="316"/>
      <c r="I10" s="316"/>
      <c r="J10" s="316"/>
      <c r="K10" s="324"/>
      <c r="L10" s="65"/>
    </row>
    <row r="11" spans="1:12" x14ac:dyDescent="0.2">
      <c r="A11" s="42">
        <v>1</v>
      </c>
      <c r="B11" s="76" t="s">
        <v>3397</v>
      </c>
      <c r="C11" s="70" t="s">
        <v>3398</v>
      </c>
      <c r="D11" s="165" t="s">
        <v>1608</v>
      </c>
      <c r="E11" s="70" t="s">
        <v>3399</v>
      </c>
      <c r="F11" s="70" t="s">
        <v>3388</v>
      </c>
      <c r="G11" s="166" t="s">
        <v>3400</v>
      </c>
      <c r="H11" s="166" t="s">
        <v>3401</v>
      </c>
      <c r="I11" s="166" t="s">
        <v>3402</v>
      </c>
      <c r="J11" s="168"/>
      <c r="K11" s="70" t="s">
        <v>3402</v>
      </c>
      <c r="L11" s="70" t="s">
        <v>3391</v>
      </c>
    </row>
    <row r="12" spans="1:12" x14ac:dyDescent="0.2">
      <c r="A12" s="42">
        <v>2</v>
      </c>
      <c r="B12" s="77" t="s">
        <v>1960</v>
      </c>
      <c r="C12" s="71" t="s">
        <v>1718</v>
      </c>
      <c r="D12" s="173" t="s">
        <v>3403</v>
      </c>
      <c r="E12" s="71" t="s">
        <v>3387</v>
      </c>
      <c r="F12" s="71" t="s">
        <v>3388</v>
      </c>
      <c r="G12" s="174" t="s">
        <v>80</v>
      </c>
      <c r="H12" s="175" t="s">
        <v>3404</v>
      </c>
      <c r="I12" s="175" t="s">
        <v>3404</v>
      </c>
      <c r="J12" s="176"/>
      <c r="K12" s="77">
        <v>37.5</v>
      </c>
      <c r="L12" s="71" t="s">
        <v>2072</v>
      </c>
    </row>
    <row r="13" spans="1:12" x14ac:dyDescent="0.2">
      <c r="A13" s="42">
        <v>1</v>
      </c>
      <c r="B13" s="78" t="s">
        <v>3405</v>
      </c>
      <c r="C13" s="72" t="s">
        <v>3406</v>
      </c>
      <c r="D13" s="169" t="s">
        <v>3407</v>
      </c>
      <c r="E13" s="72" t="s">
        <v>3387</v>
      </c>
      <c r="F13" s="72" t="s">
        <v>3388</v>
      </c>
      <c r="G13" s="170" t="s">
        <v>3408</v>
      </c>
      <c r="H13" s="170" t="s">
        <v>594</v>
      </c>
      <c r="I13" s="171" t="s">
        <v>3409</v>
      </c>
      <c r="J13" s="172"/>
      <c r="K13" s="72" t="s">
        <v>594</v>
      </c>
      <c r="L13" s="72" t="s">
        <v>3410</v>
      </c>
    </row>
    <row r="14" spans="1:12" x14ac:dyDescent="0.2">
      <c r="A14" s="42"/>
      <c r="B14" s="69"/>
      <c r="C14" s="66"/>
      <c r="D14" s="66"/>
      <c r="E14" s="65"/>
      <c r="F14" s="65"/>
      <c r="G14" s="66"/>
      <c r="H14" s="66"/>
      <c r="I14" s="66"/>
      <c r="J14" s="66"/>
      <c r="K14" s="69"/>
      <c r="L14" s="65"/>
    </row>
    <row r="15" spans="1:12" ht="15" x14ac:dyDescent="0.2">
      <c r="A15" s="42"/>
      <c r="B15" s="324" t="s">
        <v>3411</v>
      </c>
      <c r="C15" s="316"/>
      <c r="D15" s="316"/>
      <c r="E15" s="316"/>
      <c r="F15" s="316"/>
      <c r="G15" s="316"/>
      <c r="H15" s="316"/>
      <c r="I15" s="316"/>
      <c r="J15" s="316"/>
      <c r="K15" s="324"/>
      <c r="L15" s="65"/>
    </row>
    <row r="16" spans="1:12" x14ac:dyDescent="0.2">
      <c r="A16" s="42">
        <v>1</v>
      </c>
      <c r="B16" s="74" t="s">
        <v>1720</v>
      </c>
      <c r="C16" s="68" t="s">
        <v>1721</v>
      </c>
      <c r="D16" s="67" t="s">
        <v>659</v>
      </c>
      <c r="E16" s="68" t="s">
        <v>3387</v>
      </c>
      <c r="F16" s="68" t="s">
        <v>3412</v>
      </c>
      <c r="G16" s="177" t="s">
        <v>3413</v>
      </c>
      <c r="H16" s="177" t="s">
        <v>3404</v>
      </c>
      <c r="I16" s="178" t="s">
        <v>3401</v>
      </c>
      <c r="J16" s="179"/>
      <c r="K16" s="74">
        <v>41.5</v>
      </c>
      <c r="L16" s="68" t="s">
        <v>2073</v>
      </c>
    </row>
    <row r="17" spans="1:12" x14ac:dyDescent="0.2">
      <c r="A17" s="42"/>
      <c r="B17" s="69"/>
      <c r="C17" s="66"/>
      <c r="D17" s="66"/>
      <c r="E17" s="65"/>
      <c r="F17" s="65"/>
      <c r="G17" s="66"/>
      <c r="H17" s="66"/>
      <c r="I17" s="66"/>
      <c r="J17" s="66"/>
      <c r="K17" s="69"/>
      <c r="L17" s="65"/>
    </row>
    <row r="18" spans="1:12" ht="15" x14ac:dyDescent="0.2">
      <c r="A18" s="42"/>
      <c r="B18" s="324" t="s">
        <v>3414</v>
      </c>
      <c r="C18" s="316"/>
      <c r="D18" s="316"/>
      <c r="E18" s="316"/>
      <c r="F18" s="316"/>
      <c r="G18" s="316"/>
      <c r="H18" s="316"/>
      <c r="I18" s="316"/>
      <c r="J18" s="316"/>
      <c r="K18" s="324"/>
      <c r="L18" s="65"/>
    </row>
    <row r="19" spans="1:12" x14ac:dyDescent="0.2">
      <c r="A19" s="42">
        <v>1</v>
      </c>
      <c r="B19" s="76" t="s">
        <v>3415</v>
      </c>
      <c r="C19" s="70" t="s">
        <v>3416</v>
      </c>
      <c r="D19" s="165" t="s">
        <v>3417</v>
      </c>
      <c r="E19" s="70" t="s">
        <v>3387</v>
      </c>
      <c r="F19" s="70" t="s">
        <v>3418</v>
      </c>
      <c r="G19" s="166" t="s">
        <v>3419</v>
      </c>
      <c r="H19" s="166" t="s">
        <v>2413</v>
      </c>
      <c r="I19" s="167" t="s">
        <v>3420</v>
      </c>
      <c r="J19" s="168"/>
      <c r="K19" s="70" t="s">
        <v>2413</v>
      </c>
      <c r="L19" s="70" t="s">
        <v>3391</v>
      </c>
    </row>
    <row r="20" spans="1:12" x14ac:dyDescent="0.2">
      <c r="A20" s="42">
        <v>2</v>
      </c>
      <c r="B20" s="78" t="s">
        <v>3421</v>
      </c>
      <c r="C20" s="72" t="s">
        <v>3422</v>
      </c>
      <c r="D20" s="169" t="s">
        <v>352</v>
      </c>
      <c r="E20" s="72" t="s">
        <v>3423</v>
      </c>
      <c r="F20" s="72" t="s">
        <v>3388</v>
      </c>
      <c r="G20" s="170" t="s">
        <v>3424</v>
      </c>
      <c r="H20" s="171" t="s">
        <v>3425</v>
      </c>
      <c r="I20" s="171" t="s">
        <v>2413</v>
      </c>
      <c r="J20" s="172"/>
      <c r="K20" s="78">
        <v>46.5</v>
      </c>
      <c r="L20" s="72" t="s">
        <v>3426</v>
      </c>
    </row>
    <row r="21" spans="1:12" x14ac:dyDescent="0.2">
      <c r="A21" s="42"/>
      <c r="B21" s="69"/>
      <c r="C21" s="66"/>
      <c r="D21" s="66"/>
      <c r="E21" s="65"/>
      <c r="F21" s="65"/>
      <c r="G21" s="66"/>
      <c r="H21" s="66"/>
      <c r="I21" s="66"/>
      <c r="J21" s="66"/>
      <c r="K21" s="69"/>
      <c r="L21" s="65"/>
    </row>
    <row r="22" spans="1:12" ht="15" x14ac:dyDescent="0.2">
      <c r="A22" s="42"/>
      <c r="B22" s="324" t="s">
        <v>3427</v>
      </c>
      <c r="C22" s="316"/>
      <c r="D22" s="316"/>
      <c r="E22" s="316"/>
      <c r="F22" s="316"/>
      <c r="G22" s="316"/>
      <c r="H22" s="316"/>
      <c r="I22" s="316"/>
      <c r="J22" s="316"/>
      <c r="K22" s="324"/>
      <c r="L22" s="65"/>
    </row>
    <row r="23" spans="1:12" x14ac:dyDescent="0.2">
      <c r="A23" s="42">
        <v>1</v>
      </c>
      <c r="B23" s="74" t="s">
        <v>3428</v>
      </c>
      <c r="C23" s="68" t="s">
        <v>3429</v>
      </c>
      <c r="D23" s="67" t="s">
        <v>3430</v>
      </c>
      <c r="E23" s="68" t="s">
        <v>3387</v>
      </c>
      <c r="F23" s="68" t="s">
        <v>3388</v>
      </c>
      <c r="G23" s="177" t="s">
        <v>3431</v>
      </c>
      <c r="H23" s="177" t="s">
        <v>3432</v>
      </c>
      <c r="I23" s="177" t="s">
        <v>3433</v>
      </c>
      <c r="J23" s="178" t="s">
        <v>3434</v>
      </c>
      <c r="K23" s="68" t="s">
        <v>3433</v>
      </c>
      <c r="L23" s="68" t="s">
        <v>3391</v>
      </c>
    </row>
    <row r="24" spans="1:12" x14ac:dyDescent="0.2">
      <c r="A24" s="42"/>
      <c r="B24" s="69"/>
      <c r="C24" s="66"/>
      <c r="D24" s="66"/>
      <c r="E24" s="65"/>
      <c r="F24" s="65"/>
      <c r="G24" s="66"/>
      <c r="H24" s="66"/>
      <c r="I24" s="66"/>
      <c r="J24" s="66"/>
      <c r="K24" s="69"/>
      <c r="L24" s="65"/>
    </row>
    <row r="25" spans="1:12" ht="15" x14ac:dyDescent="0.2">
      <c r="A25" s="42"/>
      <c r="B25" s="324" t="s">
        <v>3435</v>
      </c>
      <c r="C25" s="316"/>
      <c r="D25" s="316"/>
      <c r="E25" s="316"/>
      <c r="F25" s="316"/>
      <c r="G25" s="316"/>
      <c r="H25" s="316"/>
      <c r="I25" s="316"/>
      <c r="J25" s="316"/>
      <c r="K25" s="324"/>
      <c r="L25" s="65"/>
    </row>
    <row r="26" spans="1:12" x14ac:dyDescent="0.2">
      <c r="A26" s="42">
        <v>1</v>
      </c>
      <c r="B26" s="76" t="s">
        <v>3436</v>
      </c>
      <c r="C26" s="70" t="s">
        <v>3437</v>
      </c>
      <c r="D26" s="165" t="s">
        <v>2303</v>
      </c>
      <c r="E26" s="70" t="s">
        <v>3423</v>
      </c>
      <c r="F26" s="70" t="s">
        <v>3438</v>
      </c>
      <c r="G26" s="166" t="s">
        <v>3439</v>
      </c>
      <c r="H26" s="167" t="s">
        <v>3440</v>
      </c>
      <c r="I26" s="166" t="s">
        <v>3440</v>
      </c>
      <c r="J26" s="167" t="s">
        <v>81</v>
      </c>
      <c r="K26" s="70" t="s">
        <v>3440</v>
      </c>
      <c r="L26" s="70" t="s">
        <v>3391</v>
      </c>
    </row>
    <row r="27" spans="1:12" x14ac:dyDescent="0.2">
      <c r="A27" s="42">
        <v>2</v>
      </c>
      <c r="B27" s="77" t="s">
        <v>3441</v>
      </c>
      <c r="C27" s="71" t="s">
        <v>3442</v>
      </c>
      <c r="D27" s="173" t="s">
        <v>3443</v>
      </c>
      <c r="E27" s="71" t="s">
        <v>3387</v>
      </c>
      <c r="F27" s="71" t="s">
        <v>3444</v>
      </c>
      <c r="G27" s="174" t="s">
        <v>53</v>
      </c>
      <c r="H27" s="174" t="s">
        <v>3445</v>
      </c>
      <c r="I27" s="174" t="s">
        <v>3446</v>
      </c>
      <c r="J27" s="175" t="s">
        <v>3447</v>
      </c>
      <c r="K27" s="71" t="s">
        <v>3446</v>
      </c>
      <c r="L27" s="71" t="s">
        <v>3448</v>
      </c>
    </row>
    <row r="28" spans="1:12" x14ac:dyDescent="0.2">
      <c r="A28" s="42">
        <v>3</v>
      </c>
      <c r="B28" s="77" t="s">
        <v>3449</v>
      </c>
      <c r="C28" s="71" t="s">
        <v>3450</v>
      </c>
      <c r="D28" s="173" t="s">
        <v>3451</v>
      </c>
      <c r="E28" s="71" t="s">
        <v>3387</v>
      </c>
      <c r="F28" s="71" t="s">
        <v>3388</v>
      </c>
      <c r="G28" s="174" t="s">
        <v>3432</v>
      </c>
      <c r="H28" s="174" t="s">
        <v>3452</v>
      </c>
      <c r="I28" s="174" t="s">
        <v>3434</v>
      </c>
      <c r="J28" s="175" t="s">
        <v>3447</v>
      </c>
      <c r="K28" s="77">
        <v>76.5</v>
      </c>
      <c r="L28" s="71" t="s">
        <v>3453</v>
      </c>
    </row>
    <row r="29" spans="1:12" x14ac:dyDescent="0.2">
      <c r="A29" s="42">
        <v>4</v>
      </c>
      <c r="B29" s="77" t="s">
        <v>1816</v>
      </c>
      <c r="C29" s="71" t="s">
        <v>3454</v>
      </c>
      <c r="D29" s="173" t="s">
        <v>3054</v>
      </c>
      <c r="E29" s="71" t="s">
        <v>3423</v>
      </c>
      <c r="F29" s="71" t="s">
        <v>3388</v>
      </c>
      <c r="G29" s="174" t="s">
        <v>93</v>
      </c>
      <c r="H29" s="174" t="s">
        <v>3455</v>
      </c>
      <c r="I29" s="175" t="s">
        <v>3456</v>
      </c>
      <c r="J29" s="176"/>
      <c r="K29" s="77">
        <v>61.5</v>
      </c>
      <c r="L29" s="71" t="s">
        <v>3457</v>
      </c>
    </row>
    <row r="30" spans="1:12" x14ac:dyDescent="0.2">
      <c r="A30" s="42">
        <v>1</v>
      </c>
      <c r="B30" s="77" t="s">
        <v>3458</v>
      </c>
      <c r="C30" s="71" t="s">
        <v>3459</v>
      </c>
      <c r="D30" s="173" t="s">
        <v>451</v>
      </c>
      <c r="E30" s="71" t="s">
        <v>3387</v>
      </c>
      <c r="F30" s="71" t="s">
        <v>3460</v>
      </c>
      <c r="G30" s="174" t="s">
        <v>86</v>
      </c>
      <c r="H30" s="174" t="s">
        <v>53</v>
      </c>
      <c r="I30" s="174" t="s">
        <v>51</v>
      </c>
      <c r="J30" s="176"/>
      <c r="K30" s="71" t="s">
        <v>51</v>
      </c>
      <c r="L30" s="71" t="s">
        <v>3391</v>
      </c>
    </row>
    <row r="31" spans="1:12" x14ac:dyDescent="0.2">
      <c r="A31" s="42">
        <v>2</v>
      </c>
      <c r="B31" s="78" t="s">
        <v>3461</v>
      </c>
      <c r="C31" s="72" t="s">
        <v>3462</v>
      </c>
      <c r="D31" s="169" t="s">
        <v>627</v>
      </c>
      <c r="E31" s="72" t="s">
        <v>3387</v>
      </c>
      <c r="F31" s="72" t="s">
        <v>3463</v>
      </c>
      <c r="G31" s="170" t="s">
        <v>3464</v>
      </c>
      <c r="H31" s="171" t="s">
        <v>3432</v>
      </c>
      <c r="I31" s="171" t="s">
        <v>3432</v>
      </c>
      <c r="J31" s="172"/>
      <c r="K31" s="72" t="s">
        <v>3464</v>
      </c>
      <c r="L31" s="72" t="s">
        <v>3465</v>
      </c>
    </row>
    <row r="32" spans="1:12" x14ac:dyDescent="0.2">
      <c r="A32" s="42"/>
      <c r="B32" s="69"/>
      <c r="C32" s="66"/>
      <c r="D32" s="66"/>
      <c r="E32" s="65"/>
      <c r="F32" s="65"/>
      <c r="G32" s="66"/>
      <c r="H32" s="66"/>
      <c r="I32" s="66"/>
      <c r="J32" s="66"/>
      <c r="K32" s="69"/>
      <c r="L32" s="65"/>
    </row>
    <row r="33" spans="1:12" ht="15" x14ac:dyDescent="0.2">
      <c r="A33" s="42"/>
      <c r="B33" s="324" t="s">
        <v>3466</v>
      </c>
      <c r="C33" s="316"/>
      <c r="D33" s="316"/>
      <c r="E33" s="316"/>
      <c r="F33" s="316"/>
      <c r="G33" s="316"/>
      <c r="H33" s="316"/>
      <c r="I33" s="316"/>
      <c r="J33" s="316"/>
      <c r="K33" s="324"/>
      <c r="L33" s="65"/>
    </row>
    <row r="34" spans="1:12" x14ac:dyDescent="0.2">
      <c r="A34" s="42">
        <v>1</v>
      </c>
      <c r="B34" s="76" t="s">
        <v>3467</v>
      </c>
      <c r="C34" s="70" t="s">
        <v>3468</v>
      </c>
      <c r="D34" s="165" t="s">
        <v>957</v>
      </c>
      <c r="E34" s="70" t="s">
        <v>3387</v>
      </c>
      <c r="F34" s="70" t="s">
        <v>3388</v>
      </c>
      <c r="G34" s="166" t="s">
        <v>3469</v>
      </c>
      <c r="H34" s="167" t="s">
        <v>3464</v>
      </c>
      <c r="I34" s="167" t="s">
        <v>3464</v>
      </c>
      <c r="J34" s="168"/>
      <c r="K34" s="70" t="s">
        <v>3469</v>
      </c>
      <c r="L34" s="70" t="s">
        <v>3391</v>
      </c>
    </row>
    <row r="35" spans="1:12" x14ac:dyDescent="0.2">
      <c r="A35" s="42">
        <v>1</v>
      </c>
      <c r="B35" s="77" t="s">
        <v>3470</v>
      </c>
      <c r="C35" s="71" t="s">
        <v>3471</v>
      </c>
      <c r="D35" s="173" t="s">
        <v>256</v>
      </c>
      <c r="E35" s="71" t="s">
        <v>3399</v>
      </c>
      <c r="F35" s="71" t="s">
        <v>3388</v>
      </c>
      <c r="G35" s="174" t="s">
        <v>86</v>
      </c>
      <c r="H35" s="175" t="s">
        <v>53</v>
      </c>
      <c r="I35" s="175" t="s">
        <v>53</v>
      </c>
      <c r="J35" s="176"/>
      <c r="K35" s="71" t="s">
        <v>86</v>
      </c>
      <c r="L35" s="71" t="s">
        <v>773</v>
      </c>
    </row>
    <row r="36" spans="1:12" x14ac:dyDescent="0.2">
      <c r="A36" s="42">
        <v>1</v>
      </c>
      <c r="B36" s="78" t="s">
        <v>2512</v>
      </c>
      <c r="C36" s="72" t="s">
        <v>3472</v>
      </c>
      <c r="D36" s="169" t="s">
        <v>2211</v>
      </c>
      <c r="E36" s="72" t="s">
        <v>3387</v>
      </c>
      <c r="F36" s="72" t="s">
        <v>3473</v>
      </c>
      <c r="G36" s="170" t="s">
        <v>45</v>
      </c>
      <c r="H36" s="171" t="s">
        <v>59</v>
      </c>
      <c r="I36" s="171" t="s">
        <v>59</v>
      </c>
      <c r="J36" s="172"/>
      <c r="K36" s="72" t="s">
        <v>45</v>
      </c>
      <c r="L36" s="72" t="s">
        <v>2078</v>
      </c>
    </row>
    <row r="37" spans="1:12" x14ac:dyDescent="0.2">
      <c r="A37" s="42"/>
      <c r="B37" s="69"/>
      <c r="C37" s="66"/>
      <c r="D37" s="66"/>
      <c r="E37" s="65"/>
      <c r="F37" s="65"/>
      <c r="G37" s="66"/>
      <c r="H37" s="66"/>
      <c r="I37" s="66"/>
      <c r="J37" s="66"/>
      <c r="K37" s="69"/>
      <c r="L37" s="65"/>
    </row>
    <row r="38" spans="1:12" ht="15" x14ac:dyDescent="0.2">
      <c r="A38" s="42"/>
      <c r="B38" s="324" t="s">
        <v>3474</v>
      </c>
      <c r="C38" s="316"/>
      <c r="D38" s="316"/>
      <c r="E38" s="316"/>
      <c r="F38" s="316"/>
      <c r="G38" s="316"/>
      <c r="H38" s="316"/>
      <c r="I38" s="316"/>
      <c r="J38" s="316"/>
      <c r="K38" s="324"/>
      <c r="L38" s="65"/>
    </row>
    <row r="39" spans="1:12" x14ac:dyDescent="0.2">
      <c r="A39" s="42">
        <v>1</v>
      </c>
      <c r="B39" s="76" t="s">
        <v>3475</v>
      </c>
      <c r="C39" s="70" t="s">
        <v>3476</v>
      </c>
      <c r="D39" s="165" t="s">
        <v>1386</v>
      </c>
      <c r="E39" s="70" t="s">
        <v>3399</v>
      </c>
      <c r="F39" s="70" t="s">
        <v>3477</v>
      </c>
      <c r="G39" s="166" t="s">
        <v>91</v>
      </c>
      <c r="H39" s="166" t="s">
        <v>61</v>
      </c>
      <c r="I39" s="166" t="s">
        <v>47</v>
      </c>
      <c r="J39" s="168"/>
      <c r="K39" s="180">
        <v>97.5</v>
      </c>
      <c r="L39" s="70" t="s">
        <v>3478</v>
      </c>
    </row>
    <row r="40" spans="1:12" x14ac:dyDescent="0.2">
      <c r="A40" s="42">
        <v>2</v>
      </c>
      <c r="B40" s="77" t="s">
        <v>468</v>
      </c>
      <c r="C40" s="71" t="s">
        <v>469</v>
      </c>
      <c r="D40" s="173" t="s">
        <v>1386</v>
      </c>
      <c r="E40" s="16" t="s">
        <v>3387</v>
      </c>
      <c r="F40" s="71" t="s">
        <v>3479</v>
      </c>
      <c r="G40" s="174" t="s">
        <v>59</v>
      </c>
      <c r="H40" s="174" t="s">
        <v>86</v>
      </c>
      <c r="I40" s="175" t="s">
        <v>51</v>
      </c>
      <c r="J40" s="176"/>
      <c r="K40" s="181" t="s">
        <v>86</v>
      </c>
      <c r="L40" s="71" t="s">
        <v>3391</v>
      </c>
    </row>
    <row r="41" spans="1:12" x14ac:dyDescent="0.2">
      <c r="A41" s="42">
        <v>1</v>
      </c>
      <c r="B41" s="77" t="s">
        <v>3480</v>
      </c>
      <c r="C41" s="71" t="s">
        <v>3481</v>
      </c>
      <c r="D41" s="173" t="s">
        <v>2795</v>
      </c>
      <c r="E41" s="71" t="s">
        <v>3399</v>
      </c>
      <c r="F41" s="71" t="s">
        <v>3482</v>
      </c>
      <c r="G41" s="174" t="s">
        <v>3469</v>
      </c>
      <c r="H41" s="174" t="s">
        <v>3464</v>
      </c>
      <c r="I41" s="175" t="s">
        <v>3432</v>
      </c>
      <c r="J41" s="176"/>
      <c r="K41" s="181" t="s">
        <v>3464</v>
      </c>
      <c r="L41" s="71" t="s">
        <v>3391</v>
      </c>
    </row>
    <row r="42" spans="1:12" x14ac:dyDescent="0.2">
      <c r="A42" s="42">
        <v>1</v>
      </c>
      <c r="B42" s="78" t="s">
        <v>497</v>
      </c>
      <c r="C42" s="72" t="s">
        <v>3483</v>
      </c>
      <c r="D42" s="169" t="s">
        <v>3484</v>
      </c>
      <c r="E42" s="72" t="s">
        <v>3387</v>
      </c>
      <c r="F42" s="72" t="s">
        <v>3388</v>
      </c>
      <c r="G42" s="171" t="s">
        <v>93</v>
      </c>
      <c r="H42" s="170" t="s">
        <v>93</v>
      </c>
      <c r="I42" s="171" t="s">
        <v>86</v>
      </c>
      <c r="J42" s="172"/>
      <c r="K42" s="182" t="s">
        <v>93</v>
      </c>
      <c r="L42" s="72" t="s">
        <v>773</v>
      </c>
    </row>
    <row r="43" spans="1:12" x14ac:dyDescent="0.2">
      <c r="A43" s="42"/>
      <c r="B43" s="69"/>
      <c r="C43" s="66"/>
      <c r="D43" s="66"/>
      <c r="E43" s="65"/>
      <c r="F43" s="65"/>
      <c r="G43" s="66"/>
      <c r="H43" s="66"/>
      <c r="I43" s="66"/>
      <c r="J43" s="66"/>
      <c r="K43" s="69"/>
      <c r="L43" s="65"/>
    </row>
    <row r="44" spans="1:12" ht="15" x14ac:dyDescent="0.2">
      <c r="A44" s="42"/>
      <c r="B44" s="324" t="s">
        <v>3485</v>
      </c>
      <c r="C44" s="316"/>
      <c r="D44" s="316"/>
      <c r="E44" s="316"/>
      <c r="F44" s="316"/>
      <c r="G44" s="316"/>
      <c r="H44" s="316"/>
      <c r="I44" s="316"/>
      <c r="J44" s="316"/>
      <c r="K44" s="324"/>
      <c r="L44" s="65"/>
    </row>
    <row r="45" spans="1:12" x14ac:dyDescent="0.2">
      <c r="A45" s="42">
        <v>1</v>
      </c>
      <c r="B45" s="76" t="s">
        <v>2577</v>
      </c>
      <c r="C45" s="70" t="s">
        <v>3486</v>
      </c>
      <c r="D45" s="165" t="s">
        <v>3487</v>
      </c>
      <c r="E45" s="70" t="s">
        <v>3423</v>
      </c>
      <c r="F45" s="70" t="s">
        <v>3388</v>
      </c>
      <c r="G45" s="166" t="s">
        <v>41</v>
      </c>
      <c r="H45" s="166" t="s">
        <v>3488</v>
      </c>
      <c r="I45" s="166" t="s">
        <v>3489</v>
      </c>
      <c r="J45" s="168"/>
      <c r="K45" s="183">
        <v>91.5</v>
      </c>
      <c r="L45" s="70" t="s">
        <v>3426</v>
      </c>
    </row>
    <row r="46" spans="1:12" x14ac:dyDescent="0.2">
      <c r="A46" s="42">
        <v>1</v>
      </c>
      <c r="B46" s="78" t="s">
        <v>3490</v>
      </c>
      <c r="C46" s="72" t="s">
        <v>3491</v>
      </c>
      <c r="D46" s="169" t="s">
        <v>3492</v>
      </c>
      <c r="E46" s="72" t="s">
        <v>3387</v>
      </c>
      <c r="F46" s="72" t="s">
        <v>3460</v>
      </c>
      <c r="G46" s="170" t="s">
        <v>51</v>
      </c>
      <c r="H46" s="170" t="s">
        <v>42</v>
      </c>
      <c r="I46" s="170" t="s">
        <v>3493</v>
      </c>
      <c r="J46" s="172"/>
      <c r="K46" s="184" t="s">
        <v>3493</v>
      </c>
      <c r="L46" s="72" t="s">
        <v>3494</v>
      </c>
    </row>
    <row r="47" spans="1:12" x14ac:dyDescent="0.2">
      <c r="A47" s="42"/>
      <c r="B47" s="69"/>
      <c r="C47" s="66"/>
      <c r="D47" s="66"/>
      <c r="E47" s="65"/>
      <c r="F47" s="65"/>
      <c r="G47" s="66"/>
      <c r="H47" s="66"/>
      <c r="I47" s="66"/>
      <c r="J47" s="66"/>
      <c r="K47" s="69"/>
      <c r="L47" s="65"/>
    </row>
    <row r="48" spans="1:12" ht="15" x14ac:dyDescent="0.2">
      <c r="A48" s="42"/>
      <c r="B48" s="324" t="s">
        <v>3495</v>
      </c>
      <c r="C48" s="316"/>
      <c r="D48" s="316"/>
      <c r="E48" s="316"/>
      <c r="F48" s="316"/>
      <c r="G48" s="316"/>
      <c r="H48" s="316"/>
      <c r="I48" s="316"/>
      <c r="J48" s="316"/>
      <c r="K48" s="324"/>
      <c r="L48" s="65"/>
    </row>
    <row r="49" spans="1:12" x14ac:dyDescent="0.2">
      <c r="A49" s="42">
        <v>1</v>
      </c>
      <c r="B49" s="74" t="s">
        <v>2577</v>
      </c>
      <c r="C49" s="68" t="s">
        <v>3496</v>
      </c>
      <c r="D49" s="67" t="s">
        <v>3487</v>
      </c>
      <c r="E49" s="68" t="s">
        <v>3423</v>
      </c>
      <c r="F49" s="68" t="s">
        <v>3388</v>
      </c>
      <c r="G49" s="177" t="s">
        <v>41</v>
      </c>
      <c r="H49" s="177" t="s">
        <v>3488</v>
      </c>
      <c r="I49" s="177" t="s">
        <v>3489</v>
      </c>
      <c r="J49" s="179"/>
      <c r="K49" s="74">
        <v>91.5</v>
      </c>
      <c r="L49" s="68" t="s">
        <v>3426</v>
      </c>
    </row>
    <row r="50" spans="1:12" x14ac:dyDescent="0.2">
      <c r="A50" s="42"/>
      <c r="B50" s="69"/>
      <c r="C50" s="66"/>
      <c r="D50" s="66"/>
      <c r="E50" s="65"/>
      <c r="F50" s="65"/>
      <c r="G50" s="66"/>
      <c r="H50" s="66"/>
      <c r="I50" s="66"/>
      <c r="J50" s="66"/>
      <c r="K50" s="69"/>
      <c r="L50" s="65"/>
    </row>
    <row r="51" spans="1:12" ht="15" x14ac:dyDescent="0.2">
      <c r="A51" s="42"/>
      <c r="B51" s="324" t="s">
        <v>3497</v>
      </c>
      <c r="C51" s="316"/>
      <c r="D51" s="316"/>
      <c r="E51" s="316"/>
      <c r="F51" s="316"/>
      <c r="G51" s="316"/>
      <c r="H51" s="316"/>
      <c r="I51" s="316"/>
      <c r="J51" s="316"/>
      <c r="K51" s="324"/>
      <c r="L51" s="65"/>
    </row>
    <row r="52" spans="1:12" x14ac:dyDescent="0.2">
      <c r="A52" s="42">
        <v>1</v>
      </c>
      <c r="B52" s="74" t="s">
        <v>508</v>
      </c>
      <c r="C52" s="68" t="s">
        <v>509</v>
      </c>
      <c r="D52" s="67" t="s">
        <v>3498</v>
      </c>
      <c r="E52" s="7" t="s">
        <v>3387</v>
      </c>
      <c r="F52" s="68" t="s">
        <v>492</v>
      </c>
      <c r="G52" s="177" t="s">
        <v>59</v>
      </c>
      <c r="H52" s="177" t="s">
        <v>86</v>
      </c>
      <c r="I52" s="178" t="s">
        <v>3433</v>
      </c>
      <c r="J52" s="179"/>
      <c r="K52" s="68" t="s">
        <v>86</v>
      </c>
      <c r="L52" s="68" t="s">
        <v>3391</v>
      </c>
    </row>
    <row r="53" spans="1:12" x14ac:dyDescent="0.2">
      <c r="A53" s="1"/>
      <c r="B53" s="69"/>
      <c r="C53" s="66"/>
      <c r="D53" s="66"/>
      <c r="E53" s="65"/>
      <c r="F53" s="65"/>
      <c r="G53" s="66"/>
      <c r="H53" s="66"/>
      <c r="I53" s="66"/>
      <c r="J53" s="66"/>
      <c r="K53" s="69"/>
      <c r="L53" s="65"/>
    </row>
    <row r="54" spans="1:12" ht="18" x14ac:dyDescent="0.25">
      <c r="A54" s="1"/>
      <c r="B54" s="8" t="s">
        <v>4022</v>
      </c>
      <c r="C54" s="8"/>
      <c r="D54" s="66"/>
      <c r="E54" s="65"/>
      <c r="F54" s="65"/>
      <c r="G54" s="66"/>
      <c r="H54" s="66"/>
      <c r="I54" s="66"/>
      <c r="J54" s="66"/>
      <c r="K54" s="69"/>
      <c r="L54" s="65"/>
    </row>
    <row r="55" spans="1:12" ht="15" x14ac:dyDescent="0.2">
      <c r="A55" s="185"/>
      <c r="B55" s="80" t="s">
        <v>3499</v>
      </c>
      <c r="C55" s="162"/>
      <c r="D55" s="186"/>
      <c r="E55" s="75"/>
      <c r="F55" s="75"/>
      <c r="G55" s="186"/>
      <c r="H55" s="186"/>
      <c r="I55" s="186"/>
      <c r="J55" s="186"/>
      <c r="K55" s="75"/>
      <c r="L55" s="75"/>
    </row>
    <row r="56" spans="1:12" ht="14.25" x14ac:dyDescent="0.2">
      <c r="A56" s="185"/>
      <c r="B56" s="81"/>
      <c r="C56" s="84" t="s">
        <v>18</v>
      </c>
      <c r="D56" s="186"/>
      <c r="E56" s="75"/>
      <c r="F56" s="75"/>
      <c r="G56" s="186"/>
      <c r="H56" s="186"/>
      <c r="I56" s="186"/>
      <c r="J56" s="186"/>
      <c r="K56" s="75"/>
      <c r="L56" s="75"/>
    </row>
    <row r="57" spans="1:12" ht="15" x14ac:dyDescent="0.2">
      <c r="A57" s="185"/>
      <c r="B57" s="73" t="s">
        <v>0</v>
      </c>
      <c r="C57" s="73" t="s">
        <v>19</v>
      </c>
      <c r="D57" s="73" t="s">
        <v>20</v>
      </c>
      <c r="E57" s="73" t="s">
        <v>3593</v>
      </c>
      <c r="F57" s="75"/>
      <c r="G57" s="186"/>
      <c r="H57" s="186"/>
      <c r="I57" s="186"/>
      <c r="J57" s="186"/>
      <c r="K57" s="75"/>
      <c r="L57" s="75"/>
    </row>
    <row r="58" spans="1:12" x14ac:dyDescent="0.2">
      <c r="A58" s="42">
        <v>1</v>
      </c>
      <c r="B58" s="83" t="s">
        <v>3475</v>
      </c>
      <c r="C58" s="186" t="s">
        <v>18</v>
      </c>
      <c r="D58" s="186" t="s">
        <v>306</v>
      </c>
      <c r="E58" s="186" t="s">
        <v>47</v>
      </c>
      <c r="F58" s="75"/>
      <c r="G58" s="186"/>
      <c r="H58" s="186"/>
      <c r="I58" s="186"/>
      <c r="J58" s="186"/>
      <c r="K58" s="75"/>
      <c r="L58" s="75"/>
    </row>
    <row r="59" spans="1:12" x14ac:dyDescent="0.2">
      <c r="A59" s="42">
        <v>2</v>
      </c>
      <c r="B59" s="83" t="s">
        <v>2577</v>
      </c>
      <c r="C59" s="186" t="s">
        <v>18</v>
      </c>
      <c r="D59" s="186" t="s">
        <v>303</v>
      </c>
      <c r="E59" s="186" t="s">
        <v>3489</v>
      </c>
      <c r="F59" s="75"/>
      <c r="G59" s="186"/>
      <c r="H59" s="186"/>
      <c r="I59" s="186"/>
      <c r="J59" s="186"/>
      <c r="K59" s="75"/>
      <c r="L59" s="75"/>
    </row>
    <row r="60" spans="1:12" x14ac:dyDescent="0.2">
      <c r="A60" s="42">
        <v>3</v>
      </c>
      <c r="B60" s="83" t="s">
        <v>3436</v>
      </c>
      <c r="C60" s="186" t="s">
        <v>18</v>
      </c>
      <c r="D60" s="186" t="s">
        <v>32</v>
      </c>
      <c r="E60" s="186" t="s">
        <v>3440</v>
      </c>
      <c r="F60" s="75"/>
      <c r="G60" s="186"/>
      <c r="H60" s="186"/>
      <c r="I60" s="186"/>
      <c r="J60" s="186"/>
      <c r="K60" s="75"/>
      <c r="L60" s="75"/>
    </row>
    <row r="61" spans="1:12" x14ac:dyDescent="0.2">
      <c r="A61" s="1"/>
      <c r="B61" s="69"/>
      <c r="C61" s="66"/>
      <c r="D61" s="66"/>
      <c r="E61" s="65"/>
      <c r="F61" s="65"/>
      <c r="G61" s="66"/>
      <c r="H61" s="66"/>
      <c r="I61" s="66"/>
      <c r="J61" s="66"/>
      <c r="K61" s="69"/>
      <c r="L61" s="65"/>
    </row>
    <row r="62" spans="1:12" x14ac:dyDescent="0.2">
      <c r="A62" s="1"/>
      <c r="B62" s="69"/>
      <c r="C62" s="66"/>
      <c r="D62" s="66"/>
      <c r="E62" s="65"/>
      <c r="F62" s="65"/>
      <c r="G62" s="66"/>
      <c r="H62" s="66"/>
      <c r="I62" s="66"/>
      <c r="J62" s="66"/>
      <c r="K62" s="69"/>
      <c r="L62" s="65"/>
    </row>
    <row r="63" spans="1:12" x14ac:dyDescent="0.2">
      <c r="A63" s="1"/>
      <c r="B63" s="69"/>
      <c r="C63" s="66"/>
      <c r="D63" s="66"/>
      <c r="E63" s="65"/>
      <c r="F63" s="65"/>
      <c r="G63" s="66"/>
      <c r="H63" s="66"/>
      <c r="I63" s="66"/>
      <c r="J63" s="66"/>
      <c r="K63" s="69"/>
      <c r="L63" s="65"/>
    </row>
    <row r="64" spans="1:12" x14ac:dyDescent="0.2">
      <c r="A64" s="1"/>
      <c r="B64" s="69"/>
      <c r="C64" s="66"/>
      <c r="D64" s="66"/>
      <c r="E64" s="65"/>
      <c r="F64" s="65"/>
      <c r="G64" s="66"/>
      <c r="H64" s="66"/>
      <c r="I64" s="66"/>
      <c r="J64" s="66"/>
      <c r="K64" s="69"/>
      <c r="L64" s="65"/>
    </row>
  </sheetData>
  <mergeCells count="23">
    <mergeCell ref="A3:L3"/>
    <mergeCell ref="A1:L1"/>
    <mergeCell ref="A2:L2"/>
    <mergeCell ref="A4:A5"/>
    <mergeCell ref="B4:B5"/>
    <mergeCell ref="C4:C5"/>
    <mergeCell ref="D4:D5"/>
    <mergeCell ref="E4:E5"/>
    <mergeCell ref="F4:F5"/>
    <mergeCell ref="G4:J4"/>
    <mergeCell ref="K4:K5"/>
    <mergeCell ref="B51:K51"/>
    <mergeCell ref="L4:L5"/>
    <mergeCell ref="B6:K6"/>
    <mergeCell ref="B10:K10"/>
    <mergeCell ref="B15:K15"/>
    <mergeCell ref="B18:K18"/>
    <mergeCell ref="B22:K22"/>
    <mergeCell ref="B25:K25"/>
    <mergeCell ref="B33:K33"/>
    <mergeCell ref="B38:K38"/>
    <mergeCell ref="B44:K44"/>
    <mergeCell ref="B48:K48"/>
  </mergeCells>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topLeftCell="A4" workbookViewId="0">
      <selection activeCell="E15" sqref="E15:E17"/>
    </sheetView>
  </sheetViews>
  <sheetFormatPr defaultColWidth="8.7109375" defaultRowHeight="12.75" x14ac:dyDescent="0.2"/>
  <cols>
    <col min="2" max="2" width="21.140625" customWidth="1"/>
    <col min="3" max="3" width="28.5703125" customWidth="1"/>
    <col min="4" max="4" width="15.85546875" customWidth="1"/>
    <col min="5" max="5" width="15.140625" customWidth="1"/>
    <col min="6" max="6" width="36.5703125" customWidth="1"/>
    <col min="12" max="12" width="17.7109375" customWidth="1"/>
  </cols>
  <sheetData>
    <row r="1" spans="1:13" ht="30" x14ac:dyDescent="0.4">
      <c r="A1" s="340" t="s">
        <v>4053</v>
      </c>
      <c r="B1" s="340"/>
      <c r="C1" s="340"/>
      <c r="D1" s="340"/>
      <c r="E1" s="340"/>
      <c r="F1" s="340"/>
      <c r="G1" s="340"/>
      <c r="H1" s="340"/>
      <c r="I1" s="340"/>
      <c r="J1" s="340"/>
      <c r="K1" s="340"/>
      <c r="L1" s="341"/>
    </row>
    <row r="2" spans="1:13" ht="30" x14ac:dyDescent="0.4">
      <c r="A2" s="317" t="s">
        <v>3500</v>
      </c>
      <c r="B2" s="317"/>
      <c r="C2" s="317"/>
      <c r="D2" s="317"/>
      <c r="E2" s="317"/>
      <c r="F2" s="317"/>
      <c r="G2" s="317"/>
      <c r="H2" s="317"/>
      <c r="I2" s="317"/>
      <c r="J2" s="317"/>
      <c r="K2" s="317"/>
      <c r="L2" s="318"/>
    </row>
    <row r="3" spans="1:13" ht="30.75" thickBot="1" x14ac:dyDescent="0.45">
      <c r="A3" s="319" t="s">
        <v>3381</v>
      </c>
      <c r="B3" s="319"/>
      <c r="C3" s="319"/>
      <c r="D3" s="319"/>
      <c r="E3" s="319"/>
      <c r="F3" s="319"/>
      <c r="G3" s="319"/>
      <c r="H3" s="319"/>
      <c r="I3" s="319"/>
      <c r="J3" s="319"/>
      <c r="K3" s="319"/>
      <c r="L3" s="320"/>
    </row>
    <row r="4" spans="1:13" ht="15" x14ac:dyDescent="0.2">
      <c r="A4" s="297" t="s">
        <v>719</v>
      </c>
      <c r="B4" s="300" t="s">
        <v>0</v>
      </c>
      <c r="C4" s="302" t="s">
        <v>3382</v>
      </c>
      <c r="D4" s="302" t="s">
        <v>8</v>
      </c>
      <c r="E4" s="304" t="s">
        <v>1</v>
      </c>
      <c r="F4" s="305" t="s">
        <v>2819</v>
      </c>
      <c r="G4" s="342" t="s">
        <v>3500</v>
      </c>
      <c r="H4" s="343"/>
      <c r="I4" s="343"/>
      <c r="J4" s="344"/>
      <c r="K4" s="312" t="s">
        <v>3593</v>
      </c>
      <c r="L4" s="307" t="s">
        <v>5</v>
      </c>
      <c r="M4" s="5"/>
    </row>
    <row r="5" spans="1:13" ht="15.75" thickBot="1" x14ac:dyDescent="0.25">
      <c r="A5" s="298"/>
      <c r="B5" s="301"/>
      <c r="C5" s="303"/>
      <c r="D5" s="303"/>
      <c r="E5" s="303"/>
      <c r="F5" s="306"/>
      <c r="G5" s="3">
        <v>1</v>
      </c>
      <c r="H5" s="3">
        <v>2</v>
      </c>
      <c r="I5" s="3">
        <v>3</v>
      </c>
      <c r="J5" s="164">
        <v>4</v>
      </c>
      <c r="K5" s="313"/>
      <c r="L5" s="310"/>
      <c r="M5" s="5"/>
    </row>
    <row r="6" spans="1:13" ht="15" x14ac:dyDescent="0.2">
      <c r="B6" s="299" t="s">
        <v>3383</v>
      </c>
      <c r="C6" s="299"/>
      <c r="D6" s="299"/>
      <c r="E6" s="299"/>
      <c r="F6" s="299"/>
      <c r="G6" s="299"/>
      <c r="H6" s="299"/>
      <c r="I6" s="299"/>
      <c r="J6" s="299"/>
      <c r="K6" s="299"/>
      <c r="L6" s="6"/>
    </row>
    <row r="7" spans="1:13" x14ac:dyDescent="0.2">
      <c r="A7" s="43">
        <v>1</v>
      </c>
      <c r="B7" s="15" t="s">
        <v>3384</v>
      </c>
      <c r="C7" s="15" t="s">
        <v>3385</v>
      </c>
      <c r="D7" s="15" t="s">
        <v>3386</v>
      </c>
      <c r="E7" s="15" t="s">
        <v>3387</v>
      </c>
      <c r="F7" s="15" t="s">
        <v>3388</v>
      </c>
      <c r="G7" s="187" t="s">
        <v>86</v>
      </c>
      <c r="H7" s="187" t="s">
        <v>51</v>
      </c>
      <c r="I7" s="187" t="s">
        <v>42</v>
      </c>
      <c r="J7" s="188"/>
      <c r="K7" s="15" t="s">
        <v>42</v>
      </c>
      <c r="L7" s="15" t="s">
        <v>3391</v>
      </c>
    </row>
    <row r="8" spans="1:13" x14ac:dyDescent="0.2">
      <c r="A8" s="43">
        <v>1</v>
      </c>
      <c r="B8" s="17" t="s">
        <v>3501</v>
      </c>
      <c r="C8" s="17" t="s">
        <v>3502</v>
      </c>
      <c r="D8" s="17" t="s">
        <v>3503</v>
      </c>
      <c r="E8" s="17" t="s">
        <v>3387</v>
      </c>
      <c r="F8" s="17" t="s">
        <v>3388</v>
      </c>
      <c r="G8" s="189" t="s">
        <v>67</v>
      </c>
      <c r="H8" s="190" t="s">
        <v>51</v>
      </c>
      <c r="I8" s="190" t="s">
        <v>51</v>
      </c>
      <c r="J8" s="191"/>
      <c r="K8" s="17">
        <v>62.5</v>
      </c>
      <c r="L8" s="17" t="s">
        <v>1068</v>
      </c>
    </row>
    <row r="9" spans="1:13" x14ac:dyDescent="0.2">
      <c r="A9" s="43"/>
      <c r="B9" s="6"/>
      <c r="C9" s="6"/>
      <c r="D9" s="6"/>
      <c r="E9" s="6"/>
      <c r="F9" s="6"/>
      <c r="G9" s="6"/>
      <c r="H9" s="6"/>
      <c r="I9" s="6"/>
      <c r="J9" s="6"/>
      <c r="K9" s="6"/>
      <c r="L9" s="6"/>
    </row>
    <row r="10" spans="1:13" ht="15" x14ac:dyDescent="0.2">
      <c r="A10" s="43"/>
      <c r="B10" s="294" t="s">
        <v>3396</v>
      </c>
      <c r="C10" s="294"/>
      <c r="D10" s="294"/>
      <c r="E10" s="294"/>
      <c r="F10" s="294"/>
      <c r="G10" s="294"/>
      <c r="H10" s="294"/>
      <c r="I10" s="294"/>
      <c r="J10" s="294"/>
      <c r="K10" s="294"/>
      <c r="L10" s="6"/>
    </row>
    <row r="11" spans="1:13" x14ac:dyDescent="0.2">
      <c r="A11" s="43">
        <v>1</v>
      </c>
      <c r="B11" s="15" t="s">
        <v>3397</v>
      </c>
      <c r="C11" s="15" t="s">
        <v>3398</v>
      </c>
      <c r="D11" s="15" t="s">
        <v>1608</v>
      </c>
      <c r="E11" s="15" t="s">
        <v>3399</v>
      </c>
      <c r="F11" s="15" t="s">
        <v>3388</v>
      </c>
      <c r="G11" s="187" t="s">
        <v>65</v>
      </c>
      <c r="H11" s="188"/>
      <c r="I11" s="188"/>
      <c r="J11" s="188"/>
      <c r="K11" s="15">
        <v>102.5</v>
      </c>
      <c r="L11" s="15" t="s">
        <v>3391</v>
      </c>
    </row>
    <row r="12" spans="1:13" x14ac:dyDescent="0.2">
      <c r="A12" s="43">
        <v>1</v>
      </c>
      <c r="B12" s="17" t="s">
        <v>3405</v>
      </c>
      <c r="C12" s="17" t="s">
        <v>3406</v>
      </c>
      <c r="D12" s="17" t="s">
        <v>3407</v>
      </c>
      <c r="E12" s="17" t="s">
        <v>3387</v>
      </c>
      <c r="F12" s="17" t="s">
        <v>3388</v>
      </c>
      <c r="G12" s="190" t="s">
        <v>594</v>
      </c>
      <c r="H12" s="191"/>
      <c r="I12" s="191"/>
      <c r="J12" s="191"/>
      <c r="K12" s="17">
        <v>0</v>
      </c>
      <c r="L12" s="17" t="s">
        <v>3410</v>
      </c>
    </row>
    <row r="13" spans="1:13" x14ac:dyDescent="0.2">
      <c r="A13" s="43"/>
      <c r="B13" s="6"/>
      <c r="C13" s="6"/>
      <c r="D13" s="6"/>
      <c r="E13" s="6"/>
      <c r="F13" s="6"/>
      <c r="G13" s="6"/>
      <c r="H13" s="6"/>
      <c r="I13" s="6"/>
      <c r="J13" s="6"/>
      <c r="K13" s="6"/>
      <c r="L13" s="6"/>
    </row>
    <row r="14" spans="1:13" ht="15" x14ac:dyDescent="0.2">
      <c r="A14" s="43"/>
      <c r="B14" s="294" t="s">
        <v>3414</v>
      </c>
      <c r="C14" s="294"/>
      <c r="D14" s="294"/>
      <c r="E14" s="294"/>
      <c r="F14" s="294"/>
      <c r="G14" s="294"/>
      <c r="H14" s="294"/>
      <c r="I14" s="294"/>
      <c r="J14" s="294"/>
      <c r="K14" s="294"/>
      <c r="L14" s="6"/>
    </row>
    <row r="15" spans="1:13" x14ac:dyDescent="0.2">
      <c r="A15" s="43">
        <v>1</v>
      </c>
      <c r="B15" s="15" t="s">
        <v>366</v>
      </c>
      <c r="C15" s="15" t="s">
        <v>3504</v>
      </c>
      <c r="D15" s="15" t="s">
        <v>3505</v>
      </c>
      <c r="E15" s="15" t="s">
        <v>3387</v>
      </c>
      <c r="F15" s="15" t="s">
        <v>3506</v>
      </c>
      <c r="G15" s="187" t="s">
        <v>71</v>
      </c>
      <c r="H15" s="187" t="s">
        <v>104</v>
      </c>
      <c r="I15" s="192" t="s">
        <v>116</v>
      </c>
      <c r="J15" s="188"/>
      <c r="K15" s="15" t="s">
        <v>104</v>
      </c>
      <c r="L15" s="15" t="s">
        <v>764</v>
      </c>
    </row>
    <row r="16" spans="1:13" x14ac:dyDescent="0.2">
      <c r="A16" s="43">
        <v>1</v>
      </c>
      <c r="B16" s="16" t="s">
        <v>3507</v>
      </c>
      <c r="C16" s="16" t="s">
        <v>3508</v>
      </c>
      <c r="D16" s="16" t="s">
        <v>115</v>
      </c>
      <c r="E16" s="16" t="s">
        <v>3387</v>
      </c>
      <c r="F16" s="16" t="s">
        <v>3509</v>
      </c>
      <c r="G16" s="193" t="s">
        <v>116</v>
      </c>
      <c r="H16" s="193" t="s">
        <v>127</v>
      </c>
      <c r="I16" s="193" t="s">
        <v>142</v>
      </c>
      <c r="J16" s="194"/>
      <c r="K16" s="16" t="s">
        <v>142</v>
      </c>
      <c r="L16" s="16" t="s">
        <v>3510</v>
      </c>
    </row>
    <row r="17" spans="1:12" x14ac:dyDescent="0.2">
      <c r="A17" s="43">
        <v>2</v>
      </c>
      <c r="B17" s="17" t="s">
        <v>3511</v>
      </c>
      <c r="C17" s="17" t="s">
        <v>3512</v>
      </c>
      <c r="D17" s="17" t="s">
        <v>122</v>
      </c>
      <c r="E17" s="17" t="s">
        <v>3423</v>
      </c>
      <c r="F17" s="17" t="s">
        <v>3388</v>
      </c>
      <c r="G17" s="190" t="s">
        <v>104</v>
      </c>
      <c r="H17" s="190" t="s">
        <v>104</v>
      </c>
      <c r="I17" s="190" t="s">
        <v>104</v>
      </c>
      <c r="J17" s="191"/>
      <c r="K17" s="17">
        <v>0</v>
      </c>
      <c r="L17" s="17" t="s">
        <v>3391</v>
      </c>
    </row>
    <row r="18" spans="1:12" x14ac:dyDescent="0.2">
      <c r="A18" s="43"/>
      <c r="B18" s="6"/>
      <c r="C18" s="6"/>
      <c r="D18" s="6"/>
      <c r="E18" s="6"/>
      <c r="F18" s="6"/>
      <c r="G18" s="6"/>
      <c r="H18" s="6"/>
      <c r="I18" s="6"/>
      <c r="J18" s="6"/>
      <c r="K18" s="6"/>
      <c r="L18" s="6"/>
    </row>
    <row r="19" spans="1:12" ht="15" x14ac:dyDescent="0.2">
      <c r="A19" s="43"/>
      <c r="B19" s="294" t="s">
        <v>3427</v>
      </c>
      <c r="C19" s="294"/>
      <c r="D19" s="294"/>
      <c r="E19" s="294"/>
      <c r="F19" s="294"/>
      <c r="G19" s="294"/>
      <c r="H19" s="294"/>
      <c r="I19" s="294"/>
      <c r="J19" s="294"/>
      <c r="K19" s="294"/>
      <c r="L19" s="6"/>
    </row>
    <row r="20" spans="1:12" x14ac:dyDescent="0.2">
      <c r="A20" s="43">
        <v>1</v>
      </c>
      <c r="B20" s="7" t="s">
        <v>3513</v>
      </c>
      <c r="C20" s="7" t="s">
        <v>3514</v>
      </c>
      <c r="D20" s="7" t="s">
        <v>3515</v>
      </c>
      <c r="E20" s="7" t="s">
        <v>3387</v>
      </c>
      <c r="F20" s="7" t="s">
        <v>3388</v>
      </c>
      <c r="G20" s="195" t="s">
        <v>155</v>
      </c>
      <c r="H20" s="195" t="s">
        <v>142</v>
      </c>
      <c r="I20" s="195" t="s">
        <v>156</v>
      </c>
      <c r="J20" s="196"/>
      <c r="K20" s="7" t="s">
        <v>156</v>
      </c>
      <c r="L20" s="7" t="s">
        <v>3391</v>
      </c>
    </row>
    <row r="21" spans="1:12" x14ac:dyDescent="0.2">
      <c r="A21" s="43"/>
      <c r="B21" s="6"/>
      <c r="C21" s="6"/>
      <c r="D21" s="6"/>
      <c r="E21" s="6"/>
      <c r="F21" s="6"/>
      <c r="G21" s="6"/>
      <c r="H21" s="6"/>
      <c r="I21" s="6"/>
      <c r="J21" s="6"/>
      <c r="K21" s="6"/>
      <c r="L21" s="6"/>
    </row>
    <row r="22" spans="1:12" ht="15" x14ac:dyDescent="0.2">
      <c r="A22" s="43"/>
      <c r="B22" s="294" t="s">
        <v>3435</v>
      </c>
      <c r="C22" s="294"/>
      <c r="D22" s="294"/>
      <c r="E22" s="294"/>
      <c r="F22" s="294"/>
      <c r="G22" s="294"/>
      <c r="H22" s="294"/>
      <c r="I22" s="294"/>
      <c r="J22" s="294"/>
      <c r="K22" s="294"/>
      <c r="L22" s="6"/>
    </row>
    <row r="23" spans="1:12" x14ac:dyDescent="0.2">
      <c r="A23" s="43">
        <v>1</v>
      </c>
      <c r="B23" s="15" t="s">
        <v>3516</v>
      </c>
      <c r="C23" s="15" t="s">
        <v>3517</v>
      </c>
      <c r="D23" s="15" t="s">
        <v>3518</v>
      </c>
      <c r="E23" s="15" t="s">
        <v>3399</v>
      </c>
      <c r="F23" s="15" t="s">
        <v>3477</v>
      </c>
      <c r="G23" s="187" t="s">
        <v>116</v>
      </c>
      <c r="H23" s="187" t="s">
        <v>36</v>
      </c>
      <c r="I23" s="187" t="s">
        <v>127</v>
      </c>
      <c r="J23" s="188"/>
      <c r="K23" s="15" t="s">
        <v>127</v>
      </c>
      <c r="L23" s="15" t="s">
        <v>3478</v>
      </c>
    </row>
    <row r="24" spans="1:12" x14ac:dyDescent="0.2">
      <c r="A24" s="43">
        <v>1</v>
      </c>
      <c r="B24" s="16" t="s">
        <v>3519</v>
      </c>
      <c r="C24" s="16" t="s">
        <v>3520</v>
      </c>
      <c r="D24" s="16" t="s">
        <v>228</v>
      </c>
      <c r="E24" s="16" t="s">
        <v>3399</v>
      </c>
      <c r="F24" s="16" t="s">
        <v>3477</v>
      </c>
      <c r="G24" s="193" t="s">
        <v>11</v>
      </c>
      <c r="H24" s="193" t="s">
        <v>106</v>
      </c>
      <c r="I24" s="193" t="s">
        <v>107</v>
      </c>
      <c r="J24" s="194"/>
      <c r="K24" s="16" t="s">
        <v>107</v>
      </c>
      <c r="L24" s="16" t="s">
        <v>3391</v>
      </c>
    </row>
    <row r="25" spans="1:12" x14ac:dyDescent="0.2">
      <c r="A25" s="43">
        <v>2</v>
      </c>
      <c r="B25" s="16" t="s">
        <v>3436</v>
      </c>
      <c r="C25" s="16" t="s">
        <v>3437</v>
      </c>
      <c r="D25" s="16" t="s">
        <v>2303</v>
      </c>
      <c r="E25" s="16" t="s">
        <v>3423</v>
      </c>
      <c r="F25" s="16" t="s">
        <v>3438</v>
      </c>
      <c r="G25" s="193" t="s">
        <v>127</v>
      </c>
      <c r="H25" s="193" t="s">
        <v>142</v>
      </c>
      <c r="I25" s="193" t="s">
        <v>11</v>
      </c>
      <c r="J25" s="194"/>
      <c r="K25" s="16" t="s">
        <v>11</v>
      </c>
      <c r="L25" s="16" t="s">
        <v>3391</v>
      </c>
    </row>
    <row r="26" spans="1:12" x14ac:dyDescent="0.2">
      <c r="A26" s="43">
        <v>3</v>
      </c>
      <c r="B26" s="16" t="s">
        <v>3441</v>
      </c>
      <c r="C26" s="16" t="s">
        <v>3442</v>
      </c>
      <c r="D26" s="16" t="s">
        <v>3443</v>
      </c>
      <c r="E26" s="16" t="s">
        <v>3387</v>
      </c>
      <c r="F26" s="16" t="s">
        <v>3444</v>
      </c>
      <c r="G26" s="193" t="s">
        <v>127</v>
      </c>
      <c r="H26" s="193" t="s">
        <v>141</v>
      </c>
      <c r="I26" s="197" t="s">
        <v>239</v>
      </c>
      <c r="J26" s="194"/>
      <c r="K26" s="16" t="s">
        <v>141</v>
      </c>
      <c r="L26" s="16" t="s">
        <v>3448</v>
      </c>
    </row>
    <row r="27" spans="1:12" x14ac:dyDescent="0.2">
      <c r="A27" s="43">
        <v>4</v>
      </c>
      <c r="B27" s="16" t="s">
        <v>1816</v>
      </c>
      <c r="C27" s="16" t="s">
        <v>3454</v>
      </c>
      <c r="D27" s="16" t="s">
        <v>3054</v>
      </c>
      <c r="E27" s="16" t="s">
        <v>3423</v>
      </c>
      <c r="F27" s="16" t="s">
        <v>3388</v>
      </c>
      <c r="G27" s="197" t="s">
        <v>36</v>
      </c>
      <c r="H27" s="197" t="s">
        <v>36</v>
      </c>
      <c r="I27" s="197" t="s">
        <v>36</v>
      </c>
      <c r="J27" s="194"/>
      <c r="K27" s="16">
        <v>0</v>
      </c>
      <c r="L27" s="16" t="s">
        <v>3457</v>
      </c>
    </row>
    <row r="28" spans="1:12" x14ac:dyDescent="0.2">
      <c r="A28" s="43">
        <v>1</v>
      </c>
      <c r="B28" s="16" t="s">
        <v>3458</v>
      </c>
      <c r="C28" s="16" t="s">
        <v>3459</v>
      </c>
      <c r="D28" s="16" t="s">
        <v>451</v>
      </c>
      <c r="E28" s="16" t="s">
        <v>3387</v>
      </c>
      <c r="F28" s="16" t="s">
        <v>3460</v>
      </c>
      <c r="G28" s="193" t="s">
        <v>36</v>
      </c>
      <c r="H28" s="193" t="s">
        <v>127</v>
      </c>
      <c r="I28" s="197" t="s">
        <v>141</v>
      </c>
      <c r="J28" s="194"/>
      <c r="K28" s="16" t="s">
        <v>127</v>
      </c>
      <c r="L28" s="16" t="s">
        <v>3391</v>
      </c>
    </row>
    <row r="29" spans="1:12" x14ac:dyDescent="0.2">
      <c r="A29" s="43">
        <v>2</v>
      </c>
      <c r="B29" s="17" t="s">
        <v>3461</v>
      </c>
      <c r="C29" s="17" t="s">
        <v>3462</v>
      </c>
      <c r="D29" s="17" t="s">
        <v>627</v>
      </c>
      <c r="E29" s="17" t="s">
        <v>3387</v>
      </c>
      <c r="F29" s="17" t="s">
        <v>3463</v>
      </c>
      <c r="G29" s="189" t="s">
        <v>116</v>
      </c>
      <c r="H29" s="189" t="s">
        <v>36</v>
      </c>
      <c r="I29" s="190" t="s">
        <v>127</v>
      </c>
      <c r="J29" s="191"/>
      <c r="K29" s="17" t="s">
        <v>36</v>
      </c>
      <c r="L29" s="17" t="s">
        <v>3465</v>
      </c>
    </row>
    <row r="30" spans="1:12" x14ac:dyDescent="0.2">
      <c r="A30" s="43"/>
      <c r="B30" s="6"/>
      <c r="C30" s="6"/>
      <c r="D30" s="6"/>
      <c r="E30" s="6"/>
      <c r="F30" s="6"/>
      <c r="G30" s="6"/>
      <c r="H30" s="6"/>
      <c r="I30" s="6"/>
      <c r="J30" s="6"/>
      <c r="K30" s="6"/>
      <c r="L30" s="6"/>
    </row>
    <row r="31" spans="1:12" ht="15" x14ac:dyDescent="0.2">
      <c r="A31" s="43"/>
      <c r="B31" s="294" t="s">
        <v>3466</v>
      </c>
      <c r="C31" s="294"/>
      <c r="D31" s="294"/>
      <c r="E31" s="294"/>
      <c r="F31" s="294"/>
      <c r="G31" s="294"/>
      <c r="H31" s="294"/>
      <c r="I31" s="294"/>
      <c r="J31" s="294"/>
      <c r="K31" s="294"/>
      <c r="L31" s="6"/>
    </row>
    <row r="32" spans="1:12" x14ac:dyDescent="0.2">
      <c r="A32" s="43">
        <v>1</v>
      </c>
      <c r="B32" s="15" t="s">
        <v>3521</v>
      </c>
      <c r="C32" s="15" t="s">
        <v>3522</v>
      </c>
      <c r="D32" s="15" t="s">
        <v>641</v>
      </c>
      <c r="E32" s="15" t="s">
        <v>3423</v>
      </c>
      <c r="F32" s="15" t="s">
        <v>3388</v>
      </c>
      <c r="G32" s="187" t="s">
        <v>142</v>
      </c>
      <c r="H32" s="187" t="s">
        <v>11</v>
      </c>
      <c r="I32" s="192" t="s">
        <v>107</v>
      </c>
      <c r="J32" s="188"/>
      <c r="K32" s="15" t="s">
        <v>11</v>
      </c>
      <c r="L32" s="15" t="s">
        <v>3391</v>
      </c>
    </row>
    <row r="33" spans="1:12" x14ac:dyDescent="0.2">
      <c r="A33" s="43">
        <v>1</v>
      </c>
      <c r="B33" s="16" t="s">
        <v>3470</v>
      </c>
      <c r="C33" s="16" t="s">
        <v>3471</v>
      </c>
      <c r="D33" s="16" t="s">
        <v>256</v>
      </c>
      <c r="E33" s="16" t="s">
        <v>3399</v>
      </c>
      <c r="F33" s="16" t="s">
        <v>3388</v>
      </c>
      <c r="G33" s="193" t="s">
        <v>104</v>
      </c>
      <c r="H33" s="193" t="s">
        <v>116</v>
      </c>
      <c r="I33" s="193" t="s">
        <v>574</v>
      </c>
      <c r="J33" s="194"/>
      <c r="K33" s="16">
        <v>147.5</v>
      </c>
      <c r="L33" s="16" t="s">
        <v>773</v>
      </c>
    </row>
    <row r="34" spans="1:12" x14ac:dyDescent="0.2">
      <c r="A34" s="43">
        <v>1</v>
      </c>
      <c r="B34" s="17" t="s">
        <v>2512</v>
      </c>
      <c r="C34" s="17" t="s">
        <v>3472</v>
      </c>
      <c r="D34" s="17" t="s">
        <v>2211</v>
      </c>
      <c r="E34" s="17" t="s">
        <v>3387</v>
      </c>
      <c r="F34" s="17" t="s">
        <v>3473</v>
      </c>
      <c r="G34" s="189" t="s">
        <v>46</v>
      </c>
      <c r="H34" s="189" t="s">
        <v>76</v>
      </c>
      <c r="I34" s="190" t="s">
        <v>69</v>
      </c>
      <c r="J34" s="191"/>
      <c r="K34" s="17" t="s">
        <v>76</v>
      </c>
      <c r="L34" s="17" t="s">
        <v>2078</v>
      </c>
    </row>
    <row r="35" spans="1:12" x14ac:dyDescent="0.2">
      <c r="A35" s="43"/>
      <c r="B35" s="6"/>
      <c r="C35" s="6"/>
      <c r="D35" s="6"/>
      <c r="E35" s="6"/>
      <c r="F35" s="6"/>
      <c r="G35" s="6"/>
      <c r="H35" s="6"/>
      <c r="I35" s="6"/>
      <c r="J35" s="6"/>
      <c r="K35" s="6"/>
      <c r="L35" s="6"/>
    </row>
    <row r="36" spans="1:12" ht="15" x14ac:dyDescent="0.2">
      <c r="A36" s="43"/>
      <c r="B36" s="294" t="s">
        <v>3474</v>
      </c>
      <c r="C36" s="294"/>
      <c r="D36" s="294"/>
      <c r="E36" s="294"/>
      <c r="F36" s="294"/>
      <c r="G36" s="294"/>
      <c r="H36" s="294"/>
      <c r="I36" s="294"/>
      <c r="J36" s="294"/>
      <c r="K36" s="294"/>
      <c r="L36" s="6"/>
    </row>
    <row r="37" spans="1:12" x14ac:dyDescent="0.2">
      <c r="A37" s="43">
        <v>1</v>
      </c>
      <c r="B37" s="15" t="s">
        <v>3475</v>
      </c>
      <c r="C37" s="15" t="s">
        <v>3476</v>
      </c>
      <c r="D37" s="15" t="s">
        <v>1386</v>
      </c>
      <c r="E37" s="15" t="s">
        <v>3399</v>
      </c>
      <c r="F37" s="15" t="s">
        <v>3477</v>
      </c>
      <c r="G37" s="187" t="s">
        <v>140</v>
      </c>
      <c r="H37" s="187" t="s">
        <v>143</v>
      </c>
      <c r="I37" s="192" t="s">
        <v>296</v>
      </c>
      <c r="J37" s="188"/>
      <c r="K37" s="15" t="s">
        <v>143</v>
      </c>
      <c r="L37" s="15" t="s">
        <v>3478</v>
      </c>
    </row>
    <row r="38" spans="1:12" x14ac:dyDescent="0.2">
      <c r="A38" s="43">
        <v>2</v>
      </c>
      <c r="B38" s="16" t="s">
        <v>3480</v>
      </c>
      <c r="C38" s="16" t="s">
        <v>3523</v>
      </c>
      <c r="D38" s="16" t="s">
        <v>2795</v>
      </c>
      <c r="E38" s="16" t="s">
        <v>3399</v>
      </c>
      <c r="F38" s="16" t="s">
        <v>3482</v>
      </c>
      <c r="G38" s="193" t="s">
        <v>126</v>
      </c>
      <c r="H38" s="193" t="s">
        <v>25</v>
      </c>
      <c r="I38" s="197" t="s">
        <v>127</v>
      </c>
      <c r="J38" s="194"/>
      <c r="K38" s="16" t="s">
        <v>25</v>
      </c>
      <c r="L38" s="16" t="s">
        <v>3391</v>
      </c>
    </row>
    <row r="39" spans="1:12" x14ac:dyDescent="0.2">
      <c r="A39" s="43">
        <v>3</v>
      </c>
      <c r="B39" s="16" t="s">
        <v>468</v>
      </c>
      <c r="C39" s="16" t="s">
        <v>469</v>
      </c>
      <c r="D39" s="16" t="s">
        <v>1386</v>
      </c>
      <c r="E39" s="16" t="s">
        <v>3387</v>
      </c>
      <c r="F39" s="16" t="s">
        <v>3479</v>
      </c>
      <c r="G39" s="193" t="s">
        <v>23</v>
      </c>
      <c r="H39" s="193" t="s">
        <v>36</v>
      </c>
      <c r="I39" s="197" t="s">
        <v>155</v>
      </c>
      <c r="J39" s="194"/>
      <c r="K39" s="16" t="s">
        <v>36</v>
      </c>
      <c r="L39" s="16" t="s">
        <v>3391</v>
      </c>
    </row>
    <row r="40" spans="1:12" x14ac:dyDescent="0.2">
      <c r="A40" s="43">
        <v>1</v>
      </c>
      <c r="B40" s="17" t="s">
        <v>497</v>
      </c>
      <c r="C40" s="17" t="s">
        <v>3483</v>
      </c>
      <c r="D40" s="17" t="s">
        <v>3484</v>
      </c>
      <c r="E40" s="17" t="s">
        <v>3387</v>
      </c>
      <c r="F40" s="17" t="s">
        <v>3388</v>
      </c>
      <c r="G40" s="189" t="s">
        <v>69</v>
      </c>
      <c r="H40" s="190" t="s">
        <v>71</v>
      </c>
      <c r="I40" s="190" t="s">
        <v>112</v>
      </c>
      <c r="J40" s="191"/>
      <c r="K40" s="17" t="s">
        <v>69</v>
      </c>
      <c r="L40" s="17" t="s">
        <v>773</v>
      </c>
    </row>
    <row r="41" spans="1:12" x14ac:dyDescent="0.2">
      <c r="A41" s="43"/>
      <c r="B41" s="6"/>
      <c r="C41" s="6"/>
      <c r="D41" s="6"/>
      <c r="E41" s="6"/>
      <c r="F41" s="6"/>
      <c r="G41" s="6"/>
      <c r="H41" s="6"/>
      <c r="I41" s="6"/>
      <c r="J41" s="6"/>
      <c r="K41" s="6"/>
      <c r="L41" s="6"/>
    </row>
    <row r="42" spans="1:12" ht="15" x14ac:dyDescent="0.2">
      <c r="A42" s="43"/>
      <c r="B42" s="294" t="s">
        <v>3485</v>
      </c>
      <c r="C42" s="294"/>
      <c r="D42" s="294"/>
      <c r="E42" s="294"/>
      <c r="F42" s="294"/>
      <c r="G42" s="294"/>
      <c r="H42" s="294"/>
      <c r="I42" s="294"/>
      <c r="J42" s="294"/>
      <c r="K42" s="294"/>
      <c r="L42" s="6"/>
    </row>
    <row r="43" spans="1:12" x14ac:dyDescent="0.2">
      <c r="A43" s="43">
        <v>1</v>
      </c>
      <c r="B43" s="15" t="s">
        <v>2577</v>
      </c>
      <c r="C43" s="15" t="s">
        <v>3486</v>
      </c>
      <c r="D43" s="15" t="s">
        <v>3487</v>
      </c>
      <c r="E43" s="15" t="s">
        <v>3423</v>
      </c>
      <c r="F43" s="15" t="s">
        <v>3388</v>
      </c>
      <c r="G43" s="192" t="s">
        <v>142</v>
      </c>
      <c r="H43" s="187" t="s">
        <v>107</v>
      </c>
      <c r="I43" s="192" t="s">
        <v>140</v>
      </c>
      <c r="J43" s="188"/>
      <c r="K43" s="15" t="s">
        <v>107</v>
      </c>
      <c r="L43" s="15" t="s">
        <v>3426</v>
      </c>
    </row>
    <row r="44" spans="1:12" x14ac:dyDescent="0.2">
      <c r="A44" s="43">
        <v>1</v>
      </c>
      <c r="B44" s="17" t="s">
        <v>3490</v>
      </c>
      <c r="C44" s="17" t="s">
        <v>3491</v>
      </c>
      <c r="D44" s="17" t="s">
        <v>3492</v>
      </c>
      <c r="E44" s="17" t="s">
        <v>3387</v>
      </c>
      <c r="F44" s="17" t="s">
        <v>3460</v>
      </c>
      <c r="G44" s="189" t="s">
        <v>11</v>
      </c>
      <c r="H44" s="189" t="s">
        <v>107</v>
      </c>
      <c r="I44" s="189" t="s">
        <v>140</v>
      </c>
      <c r="J44" s="191"/>
      <c r="K44" s="17" t="s">
        <v>140</v>
      </c>
      <c r="L44" s="17" t="s">
        <v>3494</v>
      </c>
    </row>
    <row r="45" spans="1:12" x14ac:dyDescent="0.2">
      <c r="A45" s="43"/>
      <c r="B45" s="6"/>
      <c r="C45" s="6"/>
      <c r="D45" s="6"/>
      <c r="E45" s="6"/>
      <c r="F45" s="6"/>
      <c r="G45" s="6"/>
      <c r="H45" s="6"/>
      <c r="I45" s="6"/>
      <c r="J45" s="6"/>
      <c r="K45" s="6"/>
      <c r="L45" s="6"/>
    </row>
    <row r="46" spans="1:12" ht="15" x14ac:dyDescent="0.2">
      <c r="A46" s="43"/>
      <c r="B46" s="294" t="s">
        <v>3495</v>
      </c>
      <c r="C46" s="294"/>
      <c r="D46" s="294"/>
      <c r="E46" s="294"/>
      <c r="F46" s="294"/>
      <c r="G46" s="294"/>
      <c r="H46" s="294"/>
      <c r="I46" s="294"/>
      <c r="J46" s="294"/>
      <c r="K46" s="294"/>
      <c r="L46" s="6"/>
    </row>
    <row r="47" spans="1:12" x14ac:dyDescent="0.2">
      <c r="A47" s="43">
        <v>1</v>
      </c>
      <c r="B47" s="7" t="s">
        <v>2577</v>
      </c>
      <c r="C47" s="7" t="s">
        <v>3496</v>
      </c>
      <c r="D47" s="7" t="s">
        <v>3487</v>
      </c>
      <c r="E47" s="7" t="s">
        <v>3423</v>
      </c>
      <c r="F47" s="7" t="s">
        <v>3388</v>
      </c>
      <c r="G47" s="198" t="s">
        <v>142</v>
      </c>
      <c r="H47" s="195" t="s">
        <v>107</v>
      </c>
      <c r="I47" s="198" t="s">
        <v>140</v>
      </c>
      <c r="J47" s="196"/>
      <c r="K47" s="7" t="s">
        <v>107</v>
      </c>
      <c r="L47" s="7" t="s">
        <v>3426</v>
      </c>
    </row>
    <row r="48" spans="1:12" x14ac:dyDescent="0.2">
      <c r="A48" s="43"/>
      <c r="B48" s="6"/>
      <c r="C48" s="6"/>
      <c r="D48" s="6"/>
      <c r="E48" s="6"/>
      <c r="F48" s="6"/>
      <c r="G48" s="6"/>
      <c r="H48" s="6"/>
      <c r="I48" s="6"/>
      <c r="J48" s="6"/>
      <c r="K48" s="6"/>
      <c r="L48" s="6"/>
    </row>
    <row r="49" spans="1:12" ht="15" x14ac:dyDescent="0.2">
      <c r="A49" s="43"/>
      <c r="B49" s="294" t="s">
        <v>3497</v>
      </c>
      <c r="C49" s="294"/>
      <c r="D49" s="294"/>
      <c r="E49" s="294"/>
      <c r="F49" s="294"/>
      <c r="G49" s="294"/>
      <c r="H49" s="294"/>
      <c r="I49" s="294"/>
      <c r="J49" s="294"/>
      <c r="K49" s="294"/>
      <c r="L49" s="6"/>
    </row>
    <row r="50" spans="1:12" x14ac:dyDescent="0.2">
      <c r="A50" s="43">
        <v>1</v>
      </c>
      <c r="B50" s="7" t="s">
        <v>508</v>
      </c>
      <c r="C50" s="7" t="s">
        <v>509</v>
      </c>
      <c r="D50" s="7" t="s">
        <v>3498</v>
      </c>
      <c r="E50" s="7" t="s">
        <v>3387</v>
      </c>
      <c r="F50" s="7" t="s">
        <v>492</v>
      </c>
      <c r="G50" s="195" t="s">
        <v>71</v>
      </c>
      <c r="H50" s="195" t="s">
        <v>116</v>
      </c>
      <c r="I50" s="198" t="s">
        <v>142</v>
      </c>
      <c r="J50" s="196"/>
      <c r="K50" s="7" t="s">
        <v>116</v>
      </c>
      <c r="L50" s="7" t="s">
        <v>3391</v>
      </c>
    </row>
    <row r="51" spans="1:12" x14ac:dyDescent="0.2">
      <c r="B51" s="6"/>
      <c r="C51" s="6"/>
      <c r="D51" s="6"/>
      <c r="E51" s="6"/>
      <c r="F51" s="6"/>
      <c r="G51" s="6"/>
      <c r="H51" s="6"/>
      <c r="I51" s="6"/>
      <c r="J51" s="6"/>
      <c r="K51" s="6"/>
      <c r="L51" s="6"/>
    </row>
    <row r="52" spans="1:12" ht="18" x14ac:dyDescent="0.25">
      <c r="B52" s="8" t="s">
        <v>4022</v>
      </c>
      <c r="C52" s="8"/>
      <c r="D52" s="6"/>
      <c r="E52" s="6"/>
      <c r="F52" s="6"/>
      <c r="G52" s="6"/>
      <c r="H52" s="6"/>
      <c r="I52" s="6"/>
      <c r="J52" s="6"/>
      <c r="K52" s="6"/>
      <c r="L52" s="6"/>
    </row>
    <row r="53" spans="1:12" ht="15" x14ac:dyDescent="0.2">
      <c r="B53" s="9" t="s">
        <v>3499</v>
      </c>
      <c r="C53" s="9"/>
      <c r="D53" s="6"/>
      <c r="E53" s="6"/>
      <c r="F53" s="6"/>
      <c r="G53" s="6"/>
      <c r="H53" s="6"/>
      <c r="I53" s="6"/>
      <c r="J53" s="6"/>
      <c r="K53" s="6"/>
      <c r="L53" s="6"/>
    </row>
    <row r="54" spans="1:12" ht="14.25" x14ac:dyDescent="0.2">
      <c r="B54" s="11"/>
      <c r="C54" s="12" t="s">
        <v>18</v>
      </c>
      <c r="D54" s="6"/>
      <c r="E54" s="6"/>
      <c r="F54" s="6"/>
      <c r="G54" s="6"/>
      <c r="H54" s="6"/>
      <c r="I54" s="6"/>
      <c r="J54" s="6"/>
      <c r="K54" s="6"/>
      <c r="L54" s="6"/>
    </row>
    <row r="55" spans="1:12" ht="15" x14ac:dyDescent="0.2">
      <c r="B55" s="13" t="s">
        <v>0</v>
      </c>
      <c r="C55" s="13" t="s">
        <v>19</v>
      </c>
      <c r="D55" s="13" t="s">
        <v>20</v>
      </c>
      <c r="E55" s="13" t="s">
        <v>3593</v>
      </c>
      <c r="F55" s="6"/>
      <c r="G55" s="6"/>
      <c r="H55" s="6"/>
      <c r="I55" s="6"/>
      <c r="J55" s="6"/>
      <c r="K55" s="6"/>
      <c r="L55" s="6"/>
    </row>
    <row r="56" spans="1:12" x14ac:dyDescent="0.2">
      <c r="A56" s="43">
        <v>1</v>
      </c>
      <c r="B56" s="18" t="s">
        <v>3475</v>
      </c>
      <c r="C56" s="18" t="s">
        <v>18</v>
      </c>
      <c r="D56" s="18" t="s">
        <v>306</v>
      </c>
      <c r="E56" s="18" t="s">
        <v>143</v>
      </c>
      <c r="F56" s="6"/>
      <c r="G56" s="6"/>
      <c r="H56" s="6"/>
      <c r="I56" s="6"/>
      <c r="J56" s="6"/>
      <c r="K56" s="6"/>
      <c r="L56" s="6"/>
    </row>
    <row r="57" spans="1:12" x14ac:dyDescent="0.2">
      <c r="A57" s="43">
        <v>2</v>
      </c>
      <c r="B57" s="18" t="s">
        <v>3519</v>
      </c>
      <c r="C57" s="18" t="s">
        <v>18</v>
      </c>
      <c r="D57" s="18" t="s">
        <v>32</v>
      </c>
      <c r="E57" s="18" t="s">
        <v>107</v>
      </c>
      <c r="F57" s="6"/>
      <c r="G57" s="6"/>
      <c r="H57" s="6"/>
      <c r="I57" s="6"/>
      <c r="J57" s="6"/>
      <c r="K57" s="6"/>
      <c r="L57" s="6"/>
    </row>
    <row r="58" spans="1:12" x14ac:dyDescent="0.2">
      <c r="A58" s="43">
        <v>3</v>
      </c>
      <c r="B58" s="18" t="s">
        <v>2577</v>
      </c>
      <c r="C58" s="18" t="s">
        <v>18</v>
      </c>
      <c r="D58" s="18" t="s">
        <v>303</v>
      </c>
      <c r="E58" s="18" t="s">
        <v>107</v>
      </c>
      <c r="F58" s="6"/>
      <c r="G58" s="6"/>
      <c r="H58" s="6"/>
      <c r="I58" s="6"/>
      <c r="J58" s="6"/>
      <c r="K58" s="6"/>
      <c r="L58" s="6"/>
    </row>
    <row r="59" spans="1:12" x14ac:dyDescent="0.2">
      <c r="B59" s="6"/>
      <c r="C59" s="6"/>
      <c r="D59" s="6"/>
      <c r="E59" s="6"/>
      <c r="F59" s="6"/>
      <c r="G59" s="6"/>
      <c r="H59" s="6"/>
      <c r="I59" s="6"/>
      <c r="J59" s="6"/>
      <c r="K59" s="6"/>
      <c r="L59" s="6"/>
    </row>
    <row r="60" spans="1:12" x14ac:dyDescent="0.2">
      <c r="B60" s="6"/>
      <c r="C60" s="6"/>
      <c r="D60" s="6"/>
      <c r="E60" s="6"/>
      <c r="F60" s="6"/>
      <c r="G60" s="6"/>
      <c r="H60" s="6"/>
      <c r="I60" s="6"/>
      <c r="J60" s="6"/>
      <c r="K60" s="6"/>
      <c r="L60" s="6"/>
    </row>
    <row r="61" spans="1:12" x14ac:dyDescent="0.2">
      <c r="B61" s="6"/>
      <c r="C61" s="6"/>
      <c r="D61" s="6"/>
      <c r="E61" s="6"/>
      <c r="F61" s="6"/>
      <c r="G61" s="6"/>
      <c r="H61" s="6"/>
      <c r="I61" s="6"/>
      <c r="J61" s="6"/>
      <c r="K61" s="6"/>
      <c r="L61" s="6"/>
    </row>
    <row r="62" spans="1:12" x14ac:dyDescent="0.2">
      <c r="B62" s="6"/>
      <c r="C62" s="6"/>
      <c r="D62" s="6"/>
      <c r="E62" s="6"/>
      <c r="F62" s="6"/>
      <c r="G62" s="6"/>
      <c r="H62" s="6"/>
      <c r="I62" s="6"/>
      <c r="J62" s="6"/>
      <c r="K62" s="6"/>
      <c r="L62" s="6"/>
    </row>
    <row r="63" spans="1:12" x14ac:dyDescent="0.2">
      <c r="B63" s="6"/>
      <c r="C63" s="6"/>
      <c r="D63" s="6"/>
      <c r="E63" s="6"/>
      <c r="F63" s="6"/>
      <c r="G63" s="6"/>
      <c r="H63" s="6"/>
      <c r="I63" s="6"/>
      <c r="J63" s="6"/>
      <c r="K63" s="6"/>
      <c r="L63" s="6"/>
    </row>
    <row r="64" spans="1:12" x14ac:dyDescent="0.2">
      <c r="B64" s="6"/>
      <c r="C64" s="6"/>
      <c r="D64" s="6"/>
      <c r="E64" s="6"/>
      <c r="F64" s="6"/>
      <c r="G64" s="6"/>
      <c r="H64" s="6"/>
      <c r="I64" s="6"/>
      <c r="J64" s="6"/>
      <c r="K64" s="6"/>
      <c r="L64" s="6"/>
    </row>
    <row r="65" spans="2:12" x14ac:dyDescent="0.2">
      <c r="B65" s="6"/>
      <c r="C65" s="6"/>
      <c r="D65" s="6"/>
      <c r="E65" s="6"/>
      <c r="F65" s="6"/>
      <c r="G65" s="6"/>
      <c r="H65" s="6"/>
      <c r="I65" s="6"/>
      <c r="J65" s="6"/>
      <c r="K65" s="6"/>
      <c r="L65" s="6"/>
    </row>
    <row r="66" spans="2:12" x14ac:dyDescent="0.2">
      <c r="B66" s="6"/>
      <c r="C66" s="6"/>
      <c r="D66" s="6"/>
      <c r="E66" s="6"/>
      <c r="F66" s="6"/>
      <c r="G66" s="6"/>
      <c r="H66" s="6"/>
      <c r="I66" s="6"/>
      <c r="J66" s="6"/>
      <c r="K66" s="6"/>
      <c r="L66" s="6"/>
    </row>
    <row r="67" spans="2:12" x14ac:dyDescent="0.2">
      <c r="B67" s="6"/>
      <c r="C67" s="6"/>
      <c r="D67" s="6"/>
      <c r="E67" s="6"/>
      <c r="F67" s="6"/>
      <c r="G67" s="6"/>
      <c r="H67" s="6"/>
      <c r="I67" s="6"/>
      <c r="J67" s="6"/>
      <c r="K67" s="6"/>
      <c r="L67" s="6"/>
    </row>
    <row r="68" spans="2:12" x14ac:dyDescent="0.2">
      <c r="B68" s="6"/>
      <c r="C68" s="6"/>
      <c r="D68" s="6"/>
      <c r="E68" s="6"/>
      <c r="F68" s="6"/>
      <c r="G68" s="6"/>
      <c r="H68" s="6"/>
      <c r="I68" s="6"/>
      <c r="J68" s="6"/>
      <c r="K68" s="6"/>
      <c r="L68" s="6"/>
    </row>
    <row r="69" spans="2:12" x14ac:dyDescent="0.2">
      <c r="B69" s="6"/>
      <c r="C69" s="6"/>
      <c r="D69" s="6"/>
      <c r="E69" s="6"/>
      <c r="F69" s="6"/>
      <c r="G69" s="6"/>
      <c r="H69" s="6"/>
      <c r="I69" s="6"/>
      <c r="J69" s="6"/>
      <c r="K69" s="6"/>
      <c r="L69" s="6"/>
    </row>
  </sheetData>
  <mergeCells count="22">
    <mergeCell ref="A1:L1"/>
    <mergeCell ref="A2:L2"/>
    <mergeCell ref="A3:L3"/>
    <mergeCell ref="A4:A5"/>
    <mergeCell ref="B22:K22"/>
    <mergeCell ref="B4:B5"/>
    <mergeCell ref="C4:C5"/>
    <mergeCell ref="D4:D5"/>
    <mergeCell ref="E4:E5"/>
    <mergeCell ref="F4:F5"/>
    <mergeCell ref="G4:J4"/>
    <mergeCell ref="K4:K5"/>
    <mergeCell ref="L4:L5"/>
    <mergeCell ref="B6:K6"/>
    <mergeCell ref="B10:K10"/>
    <mergeCell ref="B14:K14"/>
    <mergeCell ref="B49:K49"/>
    <mergeCell ref="B19:K19"/>
    <mergeCell ref="B31:K31"/>
    <mergeCell ref="B36:K36"/>
    <mergeCell ref="B42:K42"/>
    <mergeCell ref="B46:K46"/>
  </mergeCells>
  <pageMargins left="0.7" right="0.7" top="0.75" bottom="0.75" header="0.3" footer="0.3"/>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opLeftCell="A3" workbookViewId="0">
      <selection activeCell="E44" sqref="E44"/>
    </sheetView>
  </sheetViews>
  <sheetFormatPr defaultColWidth="8.7109375" defaultRowHeight="12.75" x14ac:dyDescent="0.2"/>
  <cols>
    <col min="2" max="2" width="25.140625" customWidth="1"/>
    <col min="3" max="3" width="29.28515625" customWidth="1"/>
    <col min="4" max="4" width="15" customWidth="1"/>
    <col min="5" max="5" width="20.140625" customWidth="1"/>
    <col min="6" max="6" width="32.28515625" customWidth="1"/>
    <col min="12" max="12" width="24" customWidth="1"/>
  </cols>
  <sheetData>
    <row r="1" spans="1:12" ht="30" x14ac:dyDescent="0.4">
      <c r="A1" s="340" t="s">
        <v>4053</v>
      </c>
      <c r="B1" s="340"/>
      <c r="C1" s="340"/>
      <c r="D1" s="340"/>
      <c r="E1" s="340"/>
      <c r="F1" s="340"/>
      <c r="G1" s="340"/>
      <c r="H1" s="340"/>
      <c r="I1" s="340"/>
      <c r="J1" s="340"/>
      <c r="K1" s="340"/>
      <c r="L1" s="341"/>
    </row>
    <row r="2" spans="1:12" ht="30" x14ac:dyDescent="0.4">
      <c r="A2" s="317" t="s">
        <v>3524</v>
      </c>
      <c r="B2" s="317"/>
      <c r="C2" s="317"/>
      <c r="D2" s="317"/>
      <c r="E2" s="317"/>
      <c r="F2" s="317"/>
      <c r="G2" s="317"/>
      <c r="H2" s="317"/>
      <c r="I2" s="317"/>
      <c r="J2" s="317"/>
      <c r="K2" s="317"/>
      <c r="L2" s="318"/>
    </row>
    <row r="3" spans="1:12" ht="30.75" thickBot="1" x14ac:dyDescent="0.45">
      <c r="A3" s="319" t="s">
        <v>3381</v>
      </c>
      <c r="B3" s="319"/>
      <c r="C3" s="319"/>
      <c r="D3" s="319"/>
      <c r="E3" s="319"/>
      <c r="F3" s="319"/>
      <c r="G3" s="319"/>
      <c r="H3" s="319"/>
      <c r="I3" s="319"/>
      <c r="J3" s="319"/>
      <c r="K3" s="319"/>
      <c r="L3" s="320"/>
    </row>
    <row r="4" spans="1:12" ht="15" x14ac:dyDescent="0.2">
      <c r="A4" s="297" t="s">
        <v>719</v>
      </c>
      <c r="B4" s="300" t="s">
        <v>0</v>
      </c>
      <c r="C4" s="302" t="s">
        <v>3382</v>
      </c>
      <c r="D4" s="302" t="s">
        <v>8</v>
      </c>
      <c r="E4" s="304" t="s">
        <v>1</v>
      </c>
      <c r="F4" s="305" t="s">
        <v>2819</v>
      </c>
      <c r="G4" s="342" t="s">
        <v>3524</v>
      </c>
      <c r="H4" s="343"/>
      <c r="I4" s="343"/>
      <c r="J4" s="344"/>
      <c r="K4" s="312" t="s">
        <v>3593</v>
      </c>
      <c r="L4" s="307" t="s">
        <v>5</v>
      </c>
    </row>
    <row r="5" spans="1:12" ht="15" customHeight="1" thickBot="1" x14ac:dyDescent="0.25">
      <c r="A5" s="298"/>
      <c r="B5" s="301"/>
      <c r="C5" s="303"/>
      <c r="D5" s="303"/>
      <c r="E5" s="303"/>
      <c r="F5" s="306"/>
      <c r="G5" s="3">
        <v>1</v>
      </c>
      <c r="H5" s="3">
        <v>2</v>
      </c>
      <c r="I5" s="3">
        <v>3</v>
      </c>
      <c r="J5" s="164">
        <v>4</v>
      </c>
      <c r="K5" s="313"/>
      <c r="L5" s="310"/>
    </row>
    <row r="6" spans="1:12" ht="15" x14ac:dyDescent="0.2">
      <c r="B6" s="299" t="s">
        <v>3383</v>
      </c>
      <c r="C6" s="299"/>
      <c r="D6" s="299"/>
      <c r="E6" s="299"/>
      <c r="F6" s="299"/>
      <c r="G6" s="299"/>
      <c r="H6" s="299"/>
      <c r="I6" s="299"/>
      <c r="J6" s="299"/>
      <c r="K6" s="299"/>
      <c r="L6" s="6"/>
    </row>
    <row r="7" spans="1:12" x14ac:dyDescent="0.2">
      <c r="A7" s="43">
        <v>1</v>
      </c>
      <c r="B7" s="7" t="s">
        <v>3525</v>
      </c>
      <c r="C7" s="7" t="s">
        <v>3526</v>
      </c>
      <c r="D7" s="7" t="s">
        <v>1698</v>
      </c>
      <c r="E7" s="7" t="s">
        <v>3423</v>
      </c>
      <c r="F7" s="7" t="s">
        <v>3527</v>
      </c>
      <c r="G7" s="195" t="s">
        <v>3528</v>
      </c>
      <c r="H7" s="195" t="s">
        <v>1589</v>
      </c>
      <c r="I7" s="195" t="s">
        <v>3529</v>
      </c>
      <c r="J7" s="196"/>
      <c r="K7" s="7">
        <v>33.5</v>
      </c>
      <c r="L7" s="7" t="s">
        <v>3530</v>
      </c>
    </row>
    <row r="8" spans="1:12" x14ac:dyDescent="0.2">
      <c r="A8" s="43"/>
      <c r="B8" s="6"/>
      <c r="C8" s="6"/>
      <c r="D8" s="6"/>
      <c r="E8" s="6"/>
      <c r="F8" s="6"/>
      <c r="G8" s="6"/>
      <c r="H8" s="6"/>
      <c r="I8" s="6"/>
      <c r="J8" s="6"/>
      <c r="K8" s="6"/>
      <c r="L8" s="6"/>
    </row>
    <row r="9" spans="1:12" ht="15" x14ac:dyDescent="0.2">
      <c r="A9" s="43"/>
      <c r="B9" s="294" t="s">
        <v>3396</v>
      </c>
      <c r="C9" s="294"/>
      <c r="D9" s="294"/>
      <c r="E9" s="294"/>
      <c r="F9" s="294"/>
      <c r="G9" s="294"/>
      <c r="H9" s="294"/>
      <c r="I9" s="294"/>
      <c r="J9" s="294"/>
      <c r="K9" s="294"/>
      <c r="L9" s="6"/>
    </row>
    <row r="10" spans="1:12" x14ac:dyDescent="0.2">
      <c r="A10" s="43">
        <v>1</v>
      </c>
      <c r="B10" s="15" t="s">
        <v>2419</v>
      </c>
      <c r="C10" s="15" t="s">
        <v>2420</v>
      </c>
      <c r="D10" s="15" t="s">
        <v>352</v>
      </c>
      <c r="E10" s="114" t="s">
        <v>3387</v>
      </c>
      <c r="F10" s="15" t="s">
        <v>3531</v>
      </c>
      <c r="G10" s="199" t="s">
        <v>3419</v>
      </c>
      <c r="H10" s="187" t="s">
        <v>745</v>
      </c>
      <c r="I10" s="187" t="s">
        <v>2413</v>
      </c>
      <c r="J10" s="192" t="s">
        <v>93</v>
      </c>
      <c r="K10" s="15" t="s">
        <v>2413</v>
      </c>
      <c r="L10" s="15" t="s">
        <v>3532</v>
      </c>
    </row>
    <row r="11" spans="1:12" x14ac:dyDescent="0.2">
      <c r="A11" s="43">
        <v>2</v>
      </c>
      <c r="B11" s="17" t="s">
        <v>3397</v>
      </c>
      <c r="C11" s="17" t="s">
        <v>3398</v>
      </c>
      <c r="D11" s="17" t="s">
        <v>1608</v>
      </c>
      <c r="E11" s="116" t="s">
        <v>3399</v>
      </c>
      <c r="F11" s="17" t="s">
        <v>3388</v>
      </c>
      <c r="G11" s="200" t="s">
        <v>3424</v>
      </c>
      <c r="H11" s="190" t="s">
        <v>3533</v>
      </c>
      <c r="I11" s="190" t="s">
        <v>3533</v>
      </c>
      <c r="J11" s="191"/>
      <c r="K11" s="17">
        <v>46.5</v>
      </c>
      <c r="L11" s="17" t="s">
        <v>3391</v>
      </c>
    </row>
    <row r="12" spans="1:12" x14ac:dyDescent="0.2">
      <c r="A12" s="43"/>
      <c r="B12" s="6"/>
      <c r="C12" s="6"/>
      <c r="D12" s="6"/>
      <c r="E12" s="6"/>
      <c r="F12" s="6"/>
      <c r="G12" s="6"/>
      <c r="H12" s="6"/>
      <c r="I12" s="6"/>
      <c r="J12" s="6"/>
      <c r="K12" s="6"/>
      <c r="L12" s="6"/>
    </row>
    <row r="13" spans="1:12" ht="15" x14ac:dyDescent="0.2">
      <c r="A13" s="43"/>
      <c r="B13" s="294" t="s">
        <v>3414</v>
      </c>
      <c r="C13" s="294"/>
      <c r="D13" s="294"/>
      <c r="E13" s="294"/>
      <c r="F13" s="294"/>
      <c r="G13" s="294"/>
      <c r="H13" s="294"/>
      <c r="I13" s="294"/>
      <c r="J13" s="294"/>
      <c r="K13" s="294"/>
      <c r="L13" s="6"/>
    </row>
    <row r="14" spans="1:12" x14ac:dyDescent="0.2">
      <c r="A14" s="43">
        <v>1</v>
      </c>
      <c r="B14" s="15" t="s">
        <v>3511</v>
      </c>
      <c r="C14" s="15" t="s">
        <v>3534</v>
      </c>
      <c r="D14" s="15" t="s">
        <v>122</v>
      </c>
      <c r="E14" s="15" t="s">
        <v>3423</v>
      </c>
      <c r="F14" s="15" t="s">
        <v>3388</v>
      </c>
      <c r="G14" s="187" t="s">
        <v>3535</v>
      </c>
      <c r="H14" s="187" t="s">
        <v>3536</v>
      </c>
      <c r="I14" s="187" t="s">
        <v>3537</v>
      </c>
      <c r="J14" s="188" t="s">
        <v>51</v>
      </c>
      <c r="K14" s="15">
        <v>68.5</v>
      </c>
      <c r="L14" s="15" t="s">
        <v>3426</v>
      </c>
    </row>
    <row r="15" spans="1:12" x14ac:dyDescent="0.2">
      <c r="A15" s="43">
        <v>1</v>
      </c>
      <c r="B15" s="16" t="s">
        <v>3538</v>
      </c>
      <c r="C15" s="16" t="s">
        <v>3539</v>
      </c>
      <c r="D15" s="16" t="s">
        <v>3407</v>
      </c>
      <c r="E15" s="16" t="s">
        <v>3387</v>
      </c>
      <c r="F15" s="16" t="s">
        <v>3444</v>
      </c>
      <c r="G15" s="193" t="s">
        <v>86</v>
      </c>
      <c r="H15" s="193" t="s">
        <v>3537</v>
      </c>
      <c r="I15" s="193" t="s">
        <v>3540</v>
      </c>
      <c r="J15" s="194" t="s">
        <v>3541</v>
      </c>
      <c r="K15" s="16">
        <v>73.5</v>
      </c>
      <c r="L15" s="16" t="s">
        <v>3391</v>
      </c>
    </row>
    <row r="16" spans="1:12" x14ac:dyDescent="0.2">
      <c r="A16" s="43">
        <v>2</v>
      </c>
      <c r="B16" s="17" t="s">
        <v>3415</v>
      </c>
      <c r="C16" s="17" t="s">
        <v>3416</v>
      </c>
      <c r="D16" s="17" t="s">
        <v>3417</v>
      </c>
      <c r="E16" s="17" t="s">
        <v>3387</v>
      </c>
      <c r="F16" s="17" t="s">
        <v>3542</v>
      </c>
      <c r="G16" s="189" t="s">
        <v>3419</v>
      </c>
      <c r="H16" s="189" t="s">
        <v>2413</v>
      </c>
      <c r="I16" s="189" t="s">
        <v>3543</v>
      </c>
      <c r="J16" s="191"/>
      <c r="K16" s="17" t="s">
        <v>3543</v>
      </c>
      <c r="L16" s="17" t="s">
        <v>3391</v>
      </c>
    </row>
    <row r="17" spans="1:12" x14ac:dyDescent="0.2">
      <c r="A17" s="43"/>
      <c r="B17" s="6"/>
      <c r="C17" s="6"/>
      <c r="D17" s="6"/>
      <c r="E17" s="6"/>
      <c r="F17" s="6"/>
      <c r="G17" s="6"/>
      <c r="H17" s="6"/>
      <c r="I17" s="6"/>
      <c r="J17" s="6"/>
      <c r="K17" s="6"/>
      <c r="L17" s="6"/>
    </row>
    <row r="18" spans="1:12" ht="15" x14ac:dyDescent="0.2">
      <c r="A18" s="43"/>
      <c r="B18" s="294" t="s">
        <v>3427</v>
      </c>
      <c r="C18" s="294"/>
      <c r="D18" s="294"/>
      <c r="E18" s="294"/>
      <c r="F18" s="294"/>
      <c r="G18" s="294"/>
      <c r="H18" s="294"/>
      <c r="I18" s="294"/>
      <c r="J18" s="294"/>
      <c r="K18" s="294"/>
      <c r="L18" s="6"/>
    </row>
    <row r="19" spans="1:12" x14ac:dyDescent="0.2">
      <c r="A19" s="43">
        <v>1</v>
      </c>
      <c r="B19" s="7" t="s">
        <v>3428</v>
      </c>
      <c r="C19" s="7" t="s">
        <v>3429</v>
      </c>
      <c r="D19" s="7" t="s">
        <v>3430</v>
      </c>
      <c r="E19" s="7" t="s">
        <v>3387</v>
      </c>
      <c r="F19" s="7" t="s">
        <v>3388</v>
      </c>
      <c r="G19" s="195" t="s">
        <v>3431</v>
      </c>
      <c r="H19" s="195" t="s">
        <v>3537</v>
      </c>
      <c r="I19" s="195" t="s">
        <v>3540</v>
      </c>
      <c r="J19" s="198" t="s">
        <v>3541</v>
      </c>
      <c r="K19" s="7">
        <v>73.5</v>
      </c>
      <c r="L19" s="7" t="s">
        <v>3391</v>
      </c>
    </row>
    <row r="20" spans="1:12" x14ac:dyDescent="0.2">
      <c r="A20" s="43"/>
      <c r="B20" s="6"/>
      <c r="C20" s="6"/>
      <c r="D20" s="6"/>
      <c r="E20" s="6"/>
      <c r="F20" s="6"/>
      <c r="G20" s="6"/>
      <c r="H20" s="6"/>
      <c r="I20" s="6"/>
      <c r="J20" s="6"/>
      <c r="K20" s="6"/>
      <c r="L20" s="6"/>
    </row>
    <row r="21" spans="1:12" ht="15" x14ac:dyDescent="0.2">
      <c r="A21" s="43"/>
      <c r="B21" s="294" t="s">
        <v>3435</v>
      </c>
      <c r="C21" s="294"/>
      <c r="D21" s="294"/>
      <c r="E21" s="294"/>
      <c r="F21" s="294"/>
      <c r="G21" s="294"/>
      <c r="H21" s="294"/>
      <c r="I21" s="294"/>
      <c r="J21" s="294"/>
      <c r="K21" s="294"/>
      <c r="L21" s="6"/>
    </row>
    <row r="22" spans="1:12" x14ac:dyDescent="0.2">
      <c r="A22" s="43">
        <v>1</v>
      </c>
      <c r="B22" s="15" t="s">
        <v>3519</v>
      </c>
      <c r="C22" s="15" t="s">
        <v>3520</v>
      </c>
      <c r="D22" s="15" t="s">
        <v>228</v>
      </c>
      <c r="E22" s="15" t="s">
        <v>3399</v>
      </c>
      <c r="F22" s="15" t="s">
        <v>3477</v>
      </c>
      <c r="G22" s="187" t="s">
        <v>3541</v>
      </c>
      <c r="H22" s="192" t="s">
        <v>1723</v>
      </c>
      <c r="I22" s="187" t="s">
        <v>3544</v>
      </c>
      <c r="J22" s="188"/>
      <c r="K22" s="15">
        <v>83.5</v>
      </c>
      <c r="L22" s="15" t="s">
        <v>3391</v>
      </c>
    </row>
    <row r="23" spans="1:12" x14ac:dyDescent="0.2">
      <c r="A23" s="43">
        <v>2</v>
      </c>
      <c r="B23" s="16" t="s">
        <v>3441</v>
      </c>
      <c r="C23" s="16" t="s">
        <v>3442</v>
      </c>
      <c r="D23" s="16" t="s">
        <v>3443</v>
      </c>
      <c r="E23" s="16" t="s">
        <v>3387</v>
      </c>
      <c r="F23" s="16" t="s">
        <v>3444</v>
      </c>
      <c r="G23" s="193" t="s">
        <v>86</v>
      </c>
      <c r="H23" s="193" t="s">
        <v>53</v>
      </c>
      <c r="I23" s="193" t="s">
        <v>51</v>
      </c>
      <c r="J23" s="194"/>
      <c r="K23" s="16" t="s">
        <v>51</v>
      </c>
      <c r="L23" s="16" t="s">
        <v>3448</v>
      </c>
    </row>
    <row r="24" spans="1:12" x14ac:dyDescent="0.2">
      <c r="A24" s="43">
        <v>1</v>
      </c>
      <c r="B24" s="16" t="s">
        <v>3545</v>
      </c>
      <c r="C24" s="16" t="s">
        <v>3546</v>
      </c>
      <c r="D24" s="16" t="s">
        <v>442</v>
      </c>
      <c r="E24" s="16" t="s">
        <v>3387</v>
      </c>
      <c r="F24" s="16" t="s">
        <v>3388</v>
      </c>
      <c r="G24" s="193" t="s">
        <v>3469</v>
      </c>
      <c r="H24" s="193" t="s">
        <v>3536</v>
      </c>
      <c r="I24" s="197" t="s">
        <v>3537</v>
      </c>
      <c r="J24" s="194"/>
      <c r="K24" s="16">
        <v>63.5</v>
      </c>
      <c r="L24" s="16" t="s">
        <v>3391</v>
      </c>
    </row>
    <row r="25" spans="1:12" x14ac:dyDescent="0.2">
      <c r="A25" s="43">
        <v>1</v>
      </c>
      <c r="B25" s="17" t="s">
        <v>3461</v>
      </c>
      <c r="C25" s="17" t="s">
        <v>3462</v>
      </c>
      <c r="D25" s="17" t="s">
        <v>627</v>
      </c>
      <c r="E25" s="17" t="s">
        <v>3387</v>
      </c>
      <c r="F25" s="17" t="s">
        <v>3463</v>
      </c>
      <c r="G25" s="189" t="s">
        <v>3547</v>
      </c>
      <c r="H25" s="189" t="s">
        <v>3548</v>
      </c>
      <c r="I25" s="189" t="s">
        <v>3425</v>
      </c>
      <c r="J25" s="191"/>
      <c r="K25" s="17" t="s">
        <v>3425</v>
      </c>
      <c r="L25" s="17" t="s">
        <v>3465</v>
      </c>
    </row>
    <row r="26" spans="1:12" x14ac:dyDescent="0.2">
      <c r="A26" s="43"/>
      <c r="B26" s="6"/>
      <c r="C26" s="6"/>
      <c r="D26" s="6"/>
      <c r="E26" s="6"/>
      <c r="F26" s="6"/>
      <c r="G26" s="6"/>
      <c r="H26" s="6"/>
      <c r="I26" s="6"/>
      <c r="J26" s="6"/>
      <c r="K26" s="6"/>
      <c r="L26" s="6"/>
    </row>
    <row r="27" spans="1:12" ht="15" x14ac:dyDescent="0.2">
      <c r="A27" s="43"/>
      <c r="B27" s="294" t="s">
        <v>3466</v>
      </c>
      <c r="C27" s="294"/>
      <c r="D27" s="294"/>
      <c r="E27" s="294"/>
      <c r="F27" s="294"/>
      <c r="G27" s="294"/>
      <c r="H27" s="294"/>
      <c r="I27" s="294"/>
      <c r="J27" s="294"/>
      <c r="K27" s="294"/>
      <c r="L27" s="6"/>
    </row>
    <row r="28" spans="1:12" x14ac:dyDescent="0.2">
      <c r="A28" s="43">
        <v>1</v>
      </c>
      <c r="B28" s="15" t="s">
        <v>3521</v>
      </c>
      <c r="C28" s="15" t="s">
        <v>3522</v>
      </c>
      <c r="D28" s="15" t="s">
        <v>641</v>
      </c>
      <c r="E28" s="15" t="s">
        <v>3423</v>
      </c>
      <c r="F28" s="15" t="s">
        <v>3388</v>
      </c>
      <c r="G28" s="187" t="s">
        <v>86</v>
      </c>
      <c r="H28" s="187" t="s">
        <v>51</v>
      </c>
      <c r="I28" s="187" t="s">
        <v>3541</v>
      </c>
      <c r="J28" s="188"/>
      <c r="K28" s="15">
        <v>78.5</v>
      </c>
      <c r="L28" s="15" t="s">
        <v>3391</v>
      </c>
    </row>
    <row r="29" spans="1:12" x14ac:dyDescent="0.2">
      <c r="A29" s="43">
        <v>1</v>
      </c>
      <c r="B29" s="17" t="s">
        <v>3467</v>
      </c>
      <c r="C29" s="17" t="s">
        <v>3468</v>
      </c>
      <c r="D29" s="17" t="s">
        <v>957</v>
      </c>
      <c r="E29" s="17" t="s">
        <v>3387</v>
      </c>
      <c r="F29" s="17" t="s">
        <v>3388</v>
      </c>
      <c r="G29" s="189" t="s">
        <v>93</v>
      </c>
      <c r="H29" s="189" t="s">
        <v>86</v>
      </c>
      <c r="I29" s="189" t="s">
        <v>3464</v>
      </c>
      <c r="J29" s="191"/>
      <c r="K29" s="17" t="s">
        <v>3464</v>
      </c>
      <c r="L29" s="17" t="s">
        <v>3391</v>
      </c>
    </row>
    <row r="30" spans="1:12" x14ac:dyDescent="0.2">
      <c r="A30" s="43"/>
      <c r="B30" s="6"/>
      <c r="C30" s="6"/>
      <c r="D30" s="6"/>
      <c r="E30" s="6"/>
      <c r="F30" s="6"/>
      <c r="G30" s="6"/>
      <c r="H30" s="6"/>
      <c r="I30" s="6"/>
      <c r="J30" s="6"/>
      <c r="K30" s="6"/>
      <c r="L30" s="6"/>
    </row>
    <row r="31" spans="1:12" ht="15" x14ac:dyDescent="0.2">
      <c r="A31" s="43"/>
      <c r="B31" s="294" t="s">
        <v>3474</v>
      </c>
      <c r="C31" s="294"/>
      <c r="D31" s="294"/>
      <c r="E31" s="294"/>
      <c r="F31" s="294"/>
      <c r="G31" s="294"/>
      <c r="H31" s="294"/>
      <c r="I31" s="294"/>
      <c r="J31" s="294"/>
      <c r="K31" s="294"/>
      <c r="L31" s="6"/>
    </row>
    <row r="32" spans="1:12" x14ac:dyDescent="0.2">
      <c r="A32" s="43">
        <v>1</v>
      </c>
      <c r="B32" s="15" t="s">
        <v>3549</v>
      </c>
      <c r="C32" s="15" t="s">
        <v>3550</v>
      </c>
      <c r="D32" s="15" t="s">
        <v>654</v>
      </c>
      <c r="E32" s="15" t="s">
        <v>3423</v>
      </c>
      <c r="F32" s="15" t="s">
        <v>3388</v>
      </c>
      <c r="G32" s="187" t="s">
        <v>3541</v>
      </c>
      <c r="H32" s="187" t="s">
        <v>3544</v>
      </c>
      <c r="I32" s="187" t="s">
        <v>3551</v>
      </c>
      <c r="J32" s="188"/>
      <c r="K32" s="15">
        <v>85.5</v>
      </c>
      <c r="L32" s="15" t="s">
        <v>3552</v>
      </c>
    </row>
    <row r="33" spans="1:12" x14ac:dyDescent="0.2">
      <c r="A33" s="43">
        <v>2</v>
      </c>
      <c r="B33" s="16" t="s">
        <v>3480</v>
      </c>
      <c r="C33" s="16" t="s">
        <v>3523</v>
      </c>
      <c r="D33" s="16" t="s">
        <v>2795</v>
      </c>
      <c r="E33" s="16" t="s">
        <v>3399</v>
      </c>
      <c r="F33" s="16" t="s">
        <v>3482</v>
      </c>
      <c r="G33" s="193" t="s">
        <v>3553</v>
      </c>
      <c r="H33" s="197" t="s">
        <v>46</v>
      </c>
      <c r="I33" s="197" t="s">
        <v>46</v>
      </c>
      <c r="J33" s="194"/>
      <c r="K33" s="16" t="s">
        <v>3553</v>
      </c>
      <c r="L33" s="16" t="s">
        <v>3391</v>
      </c>
    </row>
    <row r="34" spans="1:12" x14ac:dyDescent="0.2">
      <c r="A34" s="43">
        <v>3</v>
      </c>
      <c r="B34" s="16" t="s">
        <v>468</v>
      </c>
      <c r="C34" s="16" t="s">
        <v>469</v>
      </c>
      <c r="D34" s="16" t="s">
        <v>1386</v>
      </c>
      <c r="E34" s="16" t="s">
        <v>3387</v>
      </c>
      <c r="F34" s="16" t="s">
        <v>3479</v>
      </c>
      <c r="G34" s="193" t="s">
        <v>93</v>
      </c>
      <c r="H34" s="193" t="s">
        <v>51</v>
      </c>
      <c r="I34" s="197" t="s">
        <v>3440</v>
      </c>
      <c r="J34" s="194"/>
      <c r="K34" s="16" t="s">
        <v>51</v>
      </c>
      <c r="L34" s="16" t="s">
        <v>3391</v>
      </c>
    </row>
    <row r="35" spans="1:12" x14ac:dyDescent="0.2">
      <c r="A35" s="43">
        <v>1</v>
      </c>
      <c r="B35" s="17" t="s">
        <v>3480</v>
      </c>
      <c r="C35" s="17" t="s">
        <v>3481</v>
      </c>
      <c r="D35" s="17" t="s">
        <v>2795</v>
      </c>
      <c r="E35" s="17" t="s">
        <v>3399</v>
      </c>
      <c r="F35" s="17" t="s">
        <v>3482</v>
      </c>
      <c r="G35" s="189" t="s">
        <v>3553</v>
      </c>
      <c r="H35" s="190" t="s">
        <v>46</v>
      </c>
      <c r="I35" s="190" t="s">
        <v>46</v>
      </c>
      <c r="J35" s="191"/>
      <c r="K35" s="17" t="s">
        <v>3553</v>
      </c>
      <c r="L35" s="17" t="s">
        <v>3391</v>
      </c>
    </row>
    <row r="36" spans="1:12" x14ac:dyDescent="0.2">
      <c r="A36" s="43"/>
      <c r="B36" s="6"/>
      <c r="C36" s="6"/>
      <c r="D36" s="6"/>
      <c r="E36" s="6"/>
      <c r="F36" s="6"/>
      <c r="G36" s="6"/>
      <c r="H36" s="6"/>
      <c r="I36" s="6"/>
      <c r="J36" s="6"/>
      <c r="K36" s="6"/>
      <c r="L36" s="6"/>
    </row>
    <row r="37" spans="1:12" ht="15" x14ac:dyDescent="0.2">
      <c r="A37" s="43"/>
      <c r="B37" s="294" t="s">
        <v>3485</v>
      </c>
      <c r="C37" s="294"/>
      <c r="D37" s="294"/>
      <c r="E37" s="294"/>
      <c r="F37" s="294"/>
      <c r="G37" s="294"/>
      <c r="H37" s="294"/>
      <c r="I37" s="294"/>
      <c r="J37" s="294"/>
      <c r="K37" s="294"/>
      <c r="L37" s="6"/>
    </row>
    <row r="38" spans="1:12" x14ac:dyDescent="0.2">
      <c r="A38" s="43">
        <v>1</v>
      </c>
      <c r="B38" s="7" t="s">
        <v>2577</v>
      </c>
      <c r="C38" s="7" t="s">
        <v>3486</v>
      </c>
      <c r="D38" s="7" t="s">
        <v>3487</v>
      </c>
      <c r="E38" s="7" t="s">
        <v>3423</v>
      </c>
      <c r="F38" s="7" t="s">
        <v>3388</v>
      </c>
      <c r="G38" s="195" t="s">
        <v>3540</v>
      </c>
      <c r="H38" s="195" t="s">
        <v>3544</v>
      </c>
      <c r="I38" s="195" t="s">
        <v>46</v>
      </c>
      <c r="J38" s="198" t="s">
        <v>76</v>
      </c>
      <c r="K38" s="7" t="s">
        <v>46</v>
      </c>
      <c r="L38" s="7" t="s">
        <v>3426</v>
      </c>
    </row>
    <row r="39" spans="1:12" x14ac:dyDescent="0.2">
      <c r="A39" s="43"/>
      <c r="B39" s="6"/>
      <c r="C39" s="6"/>
      <c r="D39" s="6"/>
      <c r="E39" s="6"/>
      <c r="F39" s="6"/>
      <c r="G39" s="6"/>
      <c r="H39" s="6"/>
      <c r="I39" s="6"/>
      <c r="J39" s="6"/>
      <c r="K39" s="6"/>
      <c r="L39" s="6"/>
    </row>
    <row r="40" spans="1:12" ht="15" x14ac:dyDescent="0.2">
      <c r="A40" s="43"/>
      <c r="B40" s="294" t="s">
        <v>3495</v>
      </c>
      <c r="C40" s="294"/>
      <c r="D40" s="294"/>
      <c r="E40" s="294"/>
      <c r="F40" s="294"/>
      <c r="G40" s="294"/>
      <c r="H40" s="294"/>
      <c r="I40" s="294"/>
      <c r="J40" s="294"/>
      <c r="K40" s="294"/>
      <c r="L40" s="6"/>
    </row>
    <row r="41" spans="1:12" x14ac:dyDescent="0.2">
      <c r="A41" s="43">
        <v>1</v>
      </c>
      <c r="B41" s="7" t="s">
        <v>2577</v>
      </c>
      <c r="C41" s="7" t="s">
        <v>3496</v>
      </c>
      <c r="D41" s="7" t="s">
        <v>3487</v>
      </c>
      <c r="E41" s="7" t="s">
        <v>3423</v>
      </c>
      <c r="F41" s="7" t="s">
        <v>3388</v>
      </c>
      <c r="G41" s="195" t="s">
        <v>3540</v>
      </c>
      <c r="H41" s="195" t="s">
        <v>3544</v>
      </c>
      <c r="I41" s="195" t="s">
        <v>46</v>
      </c>
      <c r="J41" s="198" t="s">
        <v>76</v>
      </c>
      <c r="K41" s="7" t="s">
        <v>46</v>
      </c>
      <c r="L41" s="7" t="s">
        <v>3426</v>
      </c>
    </row>
    <row r="42" spans="1:12" x14ac:dyDescent="0.2">
      <c r="A42" s="43"/>
      <c r="B42" s="6"/>
      <c r="C42" s="6"/>
      <c r="D42" s="6"/>
      <c r="E42" s="6"/>
      <c r="F42" s="6"/>
      <c r="G42" s="6"/>
      <c r="H42" s="6"/>
      <c r="I42" s="6"/>
      <c r="J42" s="6"/>
      <c r="K42" s="6"/>
      <c r="L42" s="6"/>
    </row>
    <row r="43" spans="1:12" ht="15" x14ac:dyDescent="0.2">
      <c r="A43" s="43"/>
      <c r="B43" s="294" t="s">
        <v>3497</v>
      </c>
      <c r="C43" s="294"/>
      <c r="D43" s="294"/>
      <c r="E43" s="294"/>
      <c r="F43" s="294"/>
      <c r="G43" s="294"/>
      <c r="H43" s="294"/>
      <c r="I43" s="294"/>
      <c r="J43" s="294"/>
      <c r="K43" s="294"/>
      <c r="L43" s="6"/>
    </row>
    <row r="44" spans="1:12" x14ac:dyDescent="0.2">
      <c r="A44" s="43">
        <v>1</v>
      </c>
      <c r="B44" s="7" t="s">
        <v>508</v>
      </c>
      <c r="C44" s="7" t="s">
        <v>509</v>
      </c>
      <c r="D44" s="7" t="s">
        <v>3498</v>
      </c>
      <c r="E44" s="7" t="s">
        <v>3387</v>
      </c>
      <c r="F44" s="7" t="s">
        <v>492</v>
      </c>
      <c r="G44" s="195" t="s">
        <v>93</v>
      </c>
      <c r="H44" s="195" t="s">
        <v>53</v>
      </c>
      <c r="I44" s="195" t="s">
        <v>41</v>
      </c>
      <c r="J44" s="196"/>
      <c r="K44" s="7" t="s">
        <v>41</v>
      </c>
      <c r="L44" s="7" t="s">
        <v>3391</v>
      </c>
    </row>
    <row r="45" spans="1:12" x14ac:dyDescent="0.2">
      <c r="B45" s="142"/>
      <c r="C45" s="142"/>
      <c r="D45" s="142"/>
      <c r="E45" s="142"/>
      <c r="F45" s="142"/>
      <c r="G45" s="142"/>
      <c r="H45" s="142"/>
      <c r="I45" s="142"/>
      <c r="J45" s="201"/>
      <c r="K45" s="142"/>
      <c r="L45" s="142"/>
    </row>
    <row r="46" spans="1:12" ht="18" x14ac:dyDescent="0.25">
      <c r="B46" s="8" t="s">
        <v>4022</v>
      </c>
      <c r="C46" s="8"/>
      <c r="D46" s="6"/>
      <c r="E46" s="6"/>
      <c r="F46" s="6"/>
      <c r="G46" s="6"/>
      <c r="H46" s="6"/>
      <c r="I46" s="6"/>
      <c r="J46" s="6"/>
      <c r="K46" s="6"/>
      <c r="L46" s="6"/>
    </row>
    <row r="47" spans="1:12" ht="15" x14ac:dyDescent="0.2">
      <c r="B47" s="9" t="s">
        <v>3499</v>
      </c>
      <c r="C47" s="9"/>
      <c r="D47" s="6"/>
      <c r="E47" s="6"/>
      <c r="F47" s="6"/>
      <c r="G47" s="6"/>
      <c r="H47" s="6"/>
      <c r="I47" s="6"/>
      <c r="J47" s="6"/>
      <c r="K47" s="6"/>
      <c r="L47" s="6"/>
    </row>
    <row r="48" spans="1:12" ht="14.25" x14ac:dyDescent="0.2">
      <c r="B48" s="11"/>
      <c r="C48" s="12" t="s">
        <v>18</v>
      </c>
      <c r="D48" s="6"/>
      <c r="E48" s="6"/>
      <c r="F48" s="6"/>
      <c r="G48" s="6"/>
      <c r="H48" s="6"/>
      <c r="I48" s="6"/>
      <c r="J48" s="6"/>
      <c r="K48" s="6"/>
      <c r="L48" s="6"/>
    </row>
    <row r="49" spans="1:12" ht="15" x14ac:dyDescent="0.2">
      <c r="B49" s="13" t="s">
        <v>0</v>
      </c>
      <c r="C49" s="13" t="s">
        <v>19</v>
      </c>
      <c r="D49" s="13" t="s">
        <v>20</v>
      </c>
      <c r="E49" s="13" t="s">
        <v>3593</v>
      </c>
      <c r="F49" s="6"/>
      <c r="G49" s="6"/>
      <c r="H49" s="6"/>
      <c r="I49" s="6"/>
      <c r="J49" s="6"/>
      <c r="K49" s="6"/>
      <c r="L49" s="6"/>
    </row>
    <row r="50" spans="1:12" x14ac:dyDescent="0.2">
      <c r="A50" s="43">
        <v>1</v>
      </c>
      <c r="B50" s="18" t="s">
        <v>2577</v>
      </c>
      <c r="C50" s="18" t="s">
        <v>18</v>
      </c>
      <c r="D50" s="18" t="s">
        <v>303</v>
      </c>
      <c r="E50" s="18" t="s">
        <v>46</v>
      </c>
      <c r="F50" s="6"/>
      <c r="G50" s="6"/>
      <c r="H50" s="6"/>
      <c r="I50" s="6"/>
      <c r="J50" s="6"/>
      <c r="K50" s="6"/>
      <c r="L50" s="6"/>
    </row>
    <row r="51" spans="1:12" x14ac:dyDescent="0.2">
      <c r="A51" s="43">
        <v>2</v>
      </c>
      <c r="B51" s="18" t="s">
        <v>3549</v>
      </c>
      <c r="C51" s="18" t="s">
        <v>18</v>
      </c>
      <c r="D51" s="18" t="s">
        <v>306</v>
      </c>
      <c r="E51" s="18" t="s">
        <v>3551</v>
      </c>
      <c r="F51" s="6"/>
      <c r="G51" s="6"/>
      <c r="H51" s="6"/>
      <c r="I51" s="6"/>
      <c r="J51" s="6"/>
      <c r="K51" s="6"/>
      <c r="L51" s="6"/>
    </row>
    <row r="52" spans="1:12" x14ac:dyDescent="0.2">
      <c r="A52" s="43">
        <v>3</v>
      </c>
      <c r="B52" s="18" t="s">
        <v>3519</v>
      </c>
      <c r="C52" s="18" t="s">
        <v>18</v>
      </c>
      <c r="D52" s="18" t="s">
        <v>32</v>
      </c>
      <c r="E52" s="18" t="s">
        <v>3544</v>
      </c>
      <c r="F52" s="6"/>
      <c r="G52" s="6"/>
      <c r="H52" s="6"/>
      <c r="I52" s="6"/>
      <c r="J52" s="6"/>
      <c r="K52" s="6"/>
      <c r="L52" s="6"/>
    </row>
    <row r="53" spans="1:12" x14ac:dyDescent="0.2">
      <c r="B53" s="6"/>
      <c r="C53" s="6"/>
      <c r="D53" s="6"/>
      <c r="E53" s="6"/>
      <c r="F53" s="6"/>
      <c r="G53" s="6"/>
      <c r="H53" s="6"/>
      <c r="I53" s="6"/>
      <c r="J53" s="6"/>
      <c r="K53" s="6"/>
      <c r="L53" s="6"/>
    </row>
    <row r="54" spans="1:12" x14ac:dyDescent="0.2">
      <c r="B54" s="6"/>
      <c r="C54" s="6"/>
      <c r="D54" s="6"/>
      <c r="E54" s="6"/>
      <c r="F54" s="6"/>
      <c r="G54" s="6"/>
      <c r="H54" s="6"/>
      <c r="I54" s="6"/>
      <c r="J54" s="6"/>
      <c r="K54" s="6"/>
      <c r="L54" s="6"/>
    </row>
    <row r="55" spans="1:12" x14ac:dyDescent="0.2">
      <c r="B55" s="6"/>
      <c r="C55" s="6"/>
      <c r="D55" s="6"/>
      <c r="E55" s="6"/>
      <c r="F55" s="6"/>
      <c r="G55" s="6"/>
      <c r="H55" s="6"/>
      <c r="I55" s="6"/>
      <c r="J55" s="6"/>
      <c r="K55" s="6"/>
      <c r="L55" s="6"/>
    </row>
    <row r="56" spans="1:12" x14ac:dyDescent="0.2">
      <c r="B56" s="6"/>
      <c r="C56" s="6"/>
      <c r="D56" s="6"/>
      <c r="E56" s="6"/>
      <c r="F56" s="6"/>
      <c r="G56" s="6"/>
      <c r="H56" s="6"/>
      <c r="I56" s="6"/>
      <c r="J56" s="6"/>
      <c r="K56" s="6"/>
      <c r="L56" s="6"/>
    </row>
    <row r="57" spans="1:12" x14ac:dyDescent="0.2">
      <c r="B57" s="6"/>
      <c r="C57" s="6"/>
      <c r="D57" s="6"/>
      <c r="E57" s="6"/>
      <c r="F57" s="6"/>
      <c r="G57" s="6"/>
      <c r="H57" s="6"/>
      <c r="I57" s="6"/>
      <c r="J57" s="6"/>
      <c r="K57" s="6"/>
      <c r="L57" s="6"/>
    </row>
    <row r="58" spans="1:12" x14ac:dyDescent="0.2">
      <c r="B58" s="6"/>
      <c r="C58" s="6"/>
      <c r="D58" s="6"/>
      <c r="E58" s="6"/>
      <c r="F58" s="6"/>
      <c r="G58" s="6"/>
      <c r="H58" s="6"/>
      <c r="I58" s="6"/>
      <c r="J58" s="6"/>
      <c r="K58" s="6"/>
      <c r="L58" s="6"/>
    </row>
    <row r="59" spans="1:12" x14ac:dyDescent="0.2">
      <c r="B59" s="6"/>
      <c r="C59" s="6"/>
      <c r="D59" s="6"/>
      <c r="E59" s="6"/>
      <c r="F59" s="6"/>
      <c r="G59" s="6"/>
      <c r="H59" s="6"/>
      <c r="I59" s="6"/>
      <c r="J59" s="6"/>
      <c r="K59" s="6"/>
      <c r="L59" s="6"/>
    </row>
    <row r="60" spans="1:12" x14ac:dyDescent="0.2">
      <c r="B60" s="6"/>
      <c r="C60" s="6"/>
      <c r="D60" s="6"/>
      <c r="E60" s="6"/>
      <c r="F60" s="6"/>
      <c r="G60" s="6"/>
      <c r="H60" s="6"/>
      <c r="I60" s="6"/>
      <c r="J60" s="6"/>
      <c r="K60" s="6"/>
      <c r="L60" s="6"/>
    </row>
  </sheetData>
  <mergeCells count="22">
    <mergeCell ref="A1:L1"/>
    <mergeCell ref="A2:L2"/>
    <mergeCell ref="A3:L3"/>
    <mergeCell ref="A4:A5"/>
    <mergeCell ref="B21:K21"/>
    <mergeCell ref="B4:B5"/>
    <mergeCell ref="C4:C5"/>
    <mergeCell ref="D4:D5"/>
    <mergeCell ref="E4:E5"/>
    <mergeCell ref="F4:F5"/>
    <mergeCell ref="G4:J4"/>
    <mergeCell ref="K4:K5"/>
    <mergeCell ref="L4:L5"/>
    <mergeCell ref="B6:K6"/>
    <mergeCell ref="B9:K9"/>
    <mergeCell ref="B13:K13"/>
    <mergeCell ref="B43:K43"/>
    <mergeCell ref="B18:K18"/>
    <mergeCell ref="B27:K27"/>
    <mergeCell ref="B31:K31"/>
    <mergeCell ref="B37:K37"/>
    <mergeCell ref="B40:K40"/>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topLeftCell="A4" workbookViewId="0">
      <selection activeCell="E48" sqref="E48"/>
    </sheetView>
  </sheetViews>
  <sheetFormatPr defaultColWidth="8.7109375" defaultRowHeight="12.75" x14ac:dyDescent="0.2"/>
  <cols>
    <col min="2" max="2" width="26.28515625" customWidth="1"/>
    <col min="3" max="3" width="27.140625" customWidth="1"/>
    <col min="4" max="4" width="16.42578125" customWidth="1"/>
    <col min="5" max="5" width="17.28515625" customWidth="1"/>
    <col min="6" max="6" width="35.28515625" customWidth="1"/>
    <col min="12" max="12" width="18.140625" customWidth="1"/>
  </cols>
  <sheetData>
    <row r="1" spans="1:12" ht="30" x14ac:dyDescent="0.4">
      <c r="A1" s="340" t="s">
        <v>4053</v>
      </c>
      <c r="B1" s="340"/>
      <c r="C1" s="340"/>
      <c r="D1" s="340"/>
      <c r="E1" s="340"/>
      <c r="F1" s="340"/>
      <c r="G1" s="340"/>
      <c r="H1" s="340"/>
      <c r="I1" s="340"/>
      <c r="J1" s="340"/>
      <c r="K1" s="340"/>
      <c r="L1" s="341"/>
    </row>
    <row r="2" spans="1:12" ht="30" x14ac:dyDescent="0.4">
      <c r="A2" s="317" t="s">
        <v>3554</v>
      </c>
      <c r="B2" s="317"/>
      <c r="C2" s="317"/>
      <c r="D2" s="317"/>
      <c r="E2" s="317"/>
      <c r="F2" s="317"/>
      <c r="G2" s="317"/>
      <c r="H2" s="317"/>
      <c r="I2" s="317"/>
      <c r="J2" s="317"/>
      <c r="K2" s="317"/>
      <c r="L2" s="318"/>
    </row>
    <row r="3" spans="1:12" ht="30.75" thickBot="1" x14ac:dyDescent="0.45">
      <c r="A3" s="319" t="s">
        <v>3381</v>
      </c>
      <c r="B3" s="319"/>
      <c r="C3" s="319"/>
      <c r="D3" s="319"/>
      <c r="E3" s="319"/>
      <c r="F3" s="319"/>
      <c r="G3" s="319"/>
      <c r="H3" s="319"/>
      <c r="I3" s="319"/>
      <c r="J3" s="319"/>
      <c r="K3" s="319"/>
      <c r="L3" s="320"/>
    </row>
    <row r="4" spans="1:12" ht="15" x14ac:dyDescent="0.2">
      <c r="A4" s="297" t="s">
        <v>719</v>
      </c>
      <c r="B4" s="300" t="s">
        <v>0</v>
      </c>
      <c r="C4" s="302" t="s">
        <v>3382</v>
      </c>
      <c r="D4" s="302" t="s">
        <v>8</v>
      </c>
      <c r="E4" s="304" t="s">
        <v>1</v>
      </c>
      <c r="F4" s="305" t="s">
        <v>2819</v>
      </c>
      <c r="G4" s="342" t="s">
        <v>3554</v>
      </c>
      <c r="H4" s="343"/>
      <c r="I4" s="343"/>
      <c r="J4" s="344"/>
      <c r="K4" s="312" t="s">
        <v>3593</v>
      </c>
      <c r="L4" s="307" t="s">
        <v>5</v>
      </c>
    </row>
    <row r="5" spans="1:12" ht="15" customHeight="1" thickBot="1" x14ac:dyDescent="0.25">
      <c r="A5" s="298"/>
      <c r="B5" s="301"/>
      <c r="C5" s="303"/>
      <c r="D5" s="303"/>
      <c r="E5" s="303"/>
      <c r="F5" s="306"/>
      <c r="G5" s="3">
        <v>1</v>
      </c>
      <c r="H5" s="3">
        <v>2</v>
      </c>
      <c r="I5" s="3">
        <v>3</v>
      </c>
      <c r="J5" s="164">
        <v>4</v>
      </c>
      <c r="K5" s="313"/>
      <c r="L5" s="310"/>
    </row>
    <row r="6" spans="1:12" ht="15" x14ac:dyDescent="0.2">
      <c r="B6" s="299" t="s">
        <v>3396</v>
      </c>
      <c r="C6" s="299"/>
      <c r="D6" s="299"/>
      <c r="E6" s="299"/>
      <c r="F6" s="299"/>
      <c r="G6" s="299"/>
      <c r="H6" s="299"/>
      <c r="I6" s="299"/>
      <c r="J6" s="299"/>
      <c r="K6" s="299"/>
      <c r="L6" s="6"/>
    </row>
    <row r="7" spans="1:12" x14ac:dyDescent="0.2">
      <c r="A7" s="43">
        <v>1</v>
      </c>
      <c r="B7" s="15" t="s">
        <v>3397</v>
      </c>
      <c r="C7" s="15" t="s">
        <v>3398</v>
      </c>
      <c r="D7" s="15" t="s">
        <v>1608</v>
      </c>
      <c r="E7" s="15" t="s">
        <v>3399</v>
      </c>
      <c r="F7" s="15" t="s">
        <v>3388</v>
      </c>
      <c r="G7" s="187" t="s">
        <v>67</v>
      </c>
      <c r="H7" s="187" t="s">
        <v>3555</v>
      </c>
      <c r="I7" s="187" t="s">
        <v>3433</v>
      </c>
      <c r="J7" s="192" t="s">
        <v>3556</v>
      </c>
      <c r="K7" s="15" t="s">
        <v>3433</v>
      </c>
      <c r="L7" s="15" t="s">
        <v>3391</v>
      </c>
    </row>
    <row r="8" spans="1:12" x14ac:dyDescent="0.2">
      <c r="A8" s="43">
        <v>2</v>
      </c>
      <c r="B8" s="17" t="s">
        <v>2419</v>
      </c>
      <c r="C8" s="17" t="s">
        <v>2420</v>
      </c>
      <c r="D8" s="17" t="s">
        <v>352</v>
      </c>
      <c r="E8" s="17" t="s">
        <v>3387</v>
      </c>
      <c r="F8" s="17" t="s">
        <v>3531</v>
      </c>
      <c r="G8" s="189" t="s">
        <v>86</v>
      </c>
      <c r="H8" s="189" t="s">
        <v>3557</v>
      </c>
      <c r="I8" s="190" t="s">
        <v>3555</v>
      </c>
      <c r="J8" s="191"/>
      <c r="K8" s="17" t="s">
        <v>3557</v>
      </c>
      <c r="L8" s="17" t="s">
        <v>3558</v>
      </c>
    </row>
    <row r="9" spans="1:12" x14ac:dyDescent="0.2">
      <c r="A9" s="43"/>
      <c r="B9" s="6"/>
      <c r="C9" s="6"/>
      <c r="D9" s="6"/>
      <c r="E9" s="6"/>
      <c r="F9" s="6"/>
      <c r="G9" s="6"/>
      <c r="H9" s="6"/>
      <c r="I9" s="6"/>
      <c r="J9" s="6"/>
      <c r="K9" s="6"/>
      <c r="L9" s="6"/>
    </row>
    <row r="10" spans="1:12" ht="15" x14ac:dyDescent="0.2">
      <c r="A10" s="43"/>
      <c r="B10" s="294" t="s">
        <v>3414</v>
      </c>
      <c r="C10" s="294"/>
      <c r="D10" s="294"/>
      <c r="E10" s="294"/>
      <c r="F10" s="294"/>
      <c r="G10" s="294"/>
      <c r="H10" s="294"/>
      <c r="I10" s="294"/>
      <c r="J10" s="294"/>
      <c r="K10" s="294"/>
      <c r="L10" s="6"/>
    </row>
    <row r="11" spans="1:12" x14ac:dyDescent="0.2">
      <c r="A11" s="43">
        <v>1</v>
      </c>
      <c r="B11" s="15" t="s">
        <v>3421</v>
      </c>
      <c r="C11" s="15" t="s">
        <v>3422</v>
      </c>
      <c r="D11" s="15" t="s">
        <v>352</v>
      </c>
      <c r="E11" s="15" t="s">
        <v>3423</v>
      </c>
      <c r="F11" s="15" t="s">
        <v>3388</v>
      </c>
      <c r="G11" s="187" t="s">
        <v>3432</v>
      </c>
      <c r="H11" s="187" t="s">
        <v>3433</v>
      </c>
      <c r="I11" s="187" t="s">
        <v>55</v>
      </c>
      <c r="J11" s="188"/>
      <c r="K11" s="15">
        <v>77.5</v>
      </c>
      <c r="L11" s="15" t="s">
        <v>3426</v>
      </c>
    </row>
    <row r="12" spans="1:12" x14ac:dyDescent="0.2">
      <c r="A12" s="43">
        <v>2</v>
      </c>
      <c r="B12" s="17" t="s">
        <v>3415</v>
      </c>
      <c r="C12" s="17" t="s">
        <v>3416</v>
      </c>
      <c r="D12" s="17" t="s">
        <v>3417</v>
      </c>
      <c r="E12" s="17" t="s">
        <v>3387</v>
      </c>
      <c r="F12" s="17" t="s">
        <v>3542</v>
      </c>
      <c r="G12" s="189" t="s">
        <v>86</v>
      </c>
      <c r="H12" s="189" t="s">
        <v>51</v>
      </c>
      <c r="I12" s="189" t="s">
        <v>55</v>
      </c>
      <c r="J12" s="190" t="s">
        <v>43</v>
      </c>
      <c r="K12" s="17">
        <v>77.5</v>
      </c>
      <c r="L12" s="17" t="s">
        <v>3391</v>
      </c>
    </row>
    <row r="13" spans="1:12" x14ac:dyDescent="0.2">
      <c r="A13" s="43"/>
      <c r="B13" s="6"/>
      <c r="C13" s="6"/>
      <c r="D13" s="6"/>
      <c r="E13" s="6"/>
      <c r="F13" s="6"/>
      <c r="G13" s="6"/>
      <c r="H13" s="6"/>
      <c r="I13" s="6"/>
      <c r="J13" s="6"/>
      <c r="K13" s="6"/>
      <c r="L13" s="6"/>
    </row>
    <row r="14" spans="1:12" ht="15" x14ac:dyDescent="0.2">
      <c r="A14" s="43"/>
      <c r="B14" s="294" t="s">
        <v>3427</v>
      </c>
      <c r="C14" s="294"/>
      <c r="D14" s="294"/>
      <c r="E14" s="294"/>
      <c r="F14" s="294"/>
      <c r="G14" s="294"/>
      <c r="H14" s="294"/>
      <c r="I14" s="294"/>
      <c r="J14" s="294"/>
      <c r="K14" s="294"/>
      <c r="L14" s="6"/>
    </row>
    <row r="15" spans="1:12" x14ac:dyDescent="0.2">
      <c r="A15" s="43">
        <v>1</v>
      </c>
      <c r="B15" s="15" t="s">
        <v>3428</v>
      </c>
      <c r="C15" s="15" t="s">
        <v>3429</v>
      </c>
      <c r="D15" s="15" t="s">
        <v>3430</v>
      </c>
      <c r="E15" s="15" t="s">
        <v>3387</v>
      </c>
      <c r="F15" s="15" t="s">
        <v>3388</v>
      </c>
      <c r="G15" s="187" t="s">
        <v>81</v>
      </c>
      <c r="H15" s="192" t="s">
        <v>3559</v>
      </c>
      <c r="I15" s="187" t="s">
        <v>3559</v>
      </c>
      <c r="J15" s="192" t="s">
        <v>97</v>
      </c>
      <c r="K15" s="15" t="s">
        <v>3559</v>
      </c>
      <c r="L15" s="15" t="s">
        <v>3391</v>
      </c>
    </row>
    <row r="16" spans="1:12" x14ac:dyDescent="0.2">
      <c r="A16" s="43">
        <v>2</v>
      </c>
      <c r="B16" s="17" t="s">
        <v>3560</v>
      </c>
      <c r="C16" s="17" t="s">
        <v>3561</v>
      </c>
      <c r="D16" s="17" t="s">
        <v>1765</v>
      </c>
      <c r="E16" s="17" t="s">
        <v>3399</v>
      </c>
      <c r="F16" s="17" t="s">
        <v>3562</v>
      </c>
      <c r="G16" s="189" t="s">
        <v>46</v>
      </c>
      <c r="H16" s="189" t="s">
        <v>47</v>
      </c>
      <c r="I16" s="190" t="s">
        <v>3563</v>
      </c>
      <c r="J16" s="191"/>
      <c r="K16" s="17">
        <v>97.5</v>
      </c>
      <c r="L16" s="17" t="s">
        <v>3564</v>
      </c>
    </row>
    <row r="17" spans="1:12" x14ac:dyDescent="0.2">
      <c r="A17" s="43"/>
      <c r="B17" s="6"/>
      <c r="C17" s="6"/>
      <c r="D17" s="6"/>
      <c r="E17" s="6"/>
      <c r="F17" s="6"/>
      <c r="G17" s="6"/>
      <c r="H17" s="6"/>
      <c r="I17" s="6"/>
      <c r="J17" s="6"/>
      <c r="K17" s="6"/>
      <c r="L17" s="6"/>
    </row>
    <row r="18" spans="1:12" ht="15" x14ac:dyDescent="0.2">
      <c r="A18" s="43"/>
      <c r="B18" s="294" t="s">
        <v>3435</v>
      </c>
      <c r="C18" s="294"/>
      <c r="D18" s="294"/>
      <c r="E18" s="294"/>
      <c r="F18" s="294"/>
      <c r="G18" s="294"/>
      <c r="H18" s="294"/>
      <c r="I18" s="294"/>
      <c r="J18" s="294"/>
      <c r="K18" s="294"/>
      <c r="L18" s="6"/>
    </row>
    <row r="19" spans="1:12" x14ac:dyDescent="0.2">
      <c r="A19" s="43">
        <v>1</v>
      </c>
      <c r="B19" s="15" t="s">
        <v>3441</v>
      </c>
      <c r="C19" s="15" t="s">
        <v>3442</v>
      </c>
      <c r="D19" s="15" t="s">
        <v>3443</v>
      </c>
      <c r="E19" s="15" t="s">
        <v>3387</v>
      </c>
      <c r="F19" s="15" t="s">
        <v>3444</v>
      </c>
      <c r="G19" s="187" t="s">
        <v>76</v>
      </c>
      <c r="H19" s="187" t="s">
        <v>65</v>
      </c>
      <c r="I19" s="187" t="s">
        <v>3563</v>
      </c>
      <c r="J19" s="192" t="s">
        <v>3565</v>
      </c>
      <c r="K19" s="15" t="s">
        <v>3563</v>
      </c>
      <c r="L19" s="15" t="s">
        <v>3566</v>
      </c>
    </row>
    <row r="20" spans="1:12" x14ac:dyDescent="0.2">
      <c r="A20" s="43">
        <v>2</v>
      </c>
      <c r="B20" s="16" t="s">
        <v>3519</v>
      </c>
      <c r="C20" s="16" t="s">
        <v>3520</v>
      </c>
      <c r="D20" s="16" t="s">
        <v>228</v>
      </c>
      <c r="E20" s="16" t="s">
        <v>3399</v>
      </c>
      <c r="F20" s="16" t="s">
        <v>3477</v>
      </c>
      <c r="G20" s="193" t="s">
        <v>61</v>
      </c>
      <c r="H20" s="193" t="s">
        <v>65</v>
      </c>
      <c r="I20" s="193" t="s">
        <v>97</v>
      </c>
      <c r="J20" s="194"/>
      <c r="K20" s="16" t="s">
        <v>97</v>
      </c>
      <c r="L20" s="16" t="s">
        <v>3391</v>
      </c>
    </row>
    <row r="21" spans="1:12" x14ac:dyDescent="0.2">
      <c r="A21" s="43">
        <v>3</v>
      </c>
      <c r="B21" s="16" t="s">
        <v>3567</v>
      </c>
      <c r="C21" s="16" t="s">
        <v>3568</v>
      </c>
      <c r="D21" s="16" t="s">
        <v>566</v>
      </c>
      <c r="E21" s="16" t="s">
        <v>3387</v>
      </c>
      <c r="F21" s="16" t="s">
        <v>3569</v>
      </c>
      <c r="G21" s="193" t="s">
        <v>46</v>
      </c>
      <c r="H21" s="193" t="s">
        <v>76</v>
      </c>
      <c r="I21" s="193" t="s">
        <v>1335</v>
      </c>
      <c r="J21" s="197" t="s">
        <v>3565</v>
      </c>
      <c r="K21" s="16" t="s">
        <v>1335</v>
      </c>
      <c r="L21" s="16" t="s">
        <v>3570</v>
      </c>
    </row>
    <row r="22" spans="1:12" x14ac:dyDescent="0.2">
      <c r="A22" s="43">
        <v>4</v>
      </c>
      <c r="B22" s="16" t="s">
        <v>3571</v>
      </c>
      <c r="C22" s="16" t="s">
        <v>3572</v>
      </c>
      <c r="D22" s="16" t="s">
        <v>566</v>
      </c>
      <c r="E22" s="16" t="s">
        <v>3387</v>
      </c>
      <c r="F22" s="16" t="s">
        <v>3569</v>
      </c>
      <c r="G22" s="193" t="s">
        <v>42</v>
      </c>
      <c r="H22" s="197" t="s">
        <v>81</v>
      </c>
      <c r="I22" s="193" t="s">
        <v>81</v>
      </c>
      <c r="J22" s="194"/>
      <c r="K22" s="16" t="s">
        <v>81</v>
      </c>
      <c r="L22" s="16" t="s">
        <v>3391</v>
      </c>
    </row>
    <row r="23" spans="1:12" x14ac:dyDescent="0.2">
      <c r="A23" s="43">
        <v>5</v>
      </c>
      <c r="B23" s="16" t="s">
        <v>458</v>
      </c>
      <c r="C23" s="16" t="s">
        <v>459</v>
      </c>
      <c r="D23" s="16" t="s">
        <v>448</v>
      </c>
      <c r="E23" s="16" t="s">
        <v>3387</v>
      </c>
      <c r="F23" s="16" t="s">
        <v>3573</v>
      </c>
      <c r="G23" s="193" t="s">
        <v>51</v>
      </c>
      <c r="H23" s="193" t="s">
        <v>42</v>
      </c>
      <c r="I23" s="197" t="s">
        <v>3574</v>
      </c>
      <c r="J23" s="194"/>
      <c r="K23" s="16" t="s">
        <v>42</v>
      </c>
      <c r="L23" s="16" t="s">
        <v>3391</v>
      </c>
    </row>
    <row r="24" spans="1:12" x14ac:dyDescent="0.2">
      <c r="A24" s="43">
        <v>1</v>
      </c>
      <c r="B24" s="16" t="s">
        <v>3571</v>
      </c>
      <c r="C24" s="16" t="s">
        <v>3575</v>
      </c>
      <c r="D24" s="16" t="s">
        <v>566</v>
      </c>
      <c r="E24" s="16" t="s">
        <v>3387</v>
      </c>
      <c r="F24" s="16" t="s">
        <v>3569</v>
      </c>
      <c r="G24" s="193" t="s">
        <v>42</v>
      </c>
      <c r="H24" s="197" t="s">
        <v>81</v>
      </c>
      <c r="I24" s="193" t="s">
        <v>81</v>
      </c>
      <c r="J24" s="194"/>
      <c r="K24" s="16" t="s">
        <v>81</v>
      </c>
      <c r="L24" s="16" t="s">
        <v>3391</v>
      </c>
    </row>
    <row r="25" spans="1:12" x14ac:dyDescent="0.2">
      <c r="A25" s="43">
        <v>1</v>
      </c>
      <c r="B25" s="17" t="s">
        <v>3461</v>
      </c>
      <c r="C25" s="17" t="s">
        <v>3462</v>
      </c>
      <c r="D25" s="17" t="s">
        <v>627</v>
      </c>
      <c r="E25" s="17" t="s">
        <v>3387</v>
      </c>
      <c r="F25" s="17" t="s">
        <v>3463</v>
      </c>
      <c r="G25" s="189" t="s">
        <v>3576</v>
      </c>
      <c r="H25" s="189" t="s">
        <v>81</v>
      </c>
      <c r="I25" s="189" t="s">
        <v>61</v>
      </c>
      <c r="J25" s="191"/>
      <c r="K25" s="17" t="s">
        <v>61</v>
      </c>
      <c r="L25" s="17" t="s">
        <v>3465</v>
      </c>
    </row>
    <row r="26" spans="1:12" x14ac:dyDescent="0.2">
      <c r="A26" s="43"/>
      <c r="B26" s="6"/>
      <c r="C26" s="6"/>
      <c r="D26" s="6"/>
      <c r="E26" s="6"/>
      <c r="F26" s="6"/>
      <c r="G26" s="6"/>
      <c r="H26" s="6"/>
      <c r="I26" s="6"/>
      <c r="J26" s="6"/>
      <c r="K26" s="6"/>
      <c r="L26" s="6"/>
    </row>
    <row r="27" spans="1:12" ht="15" x14ac:dyDescent="0.2">
      <c r="A27" s="43"/>
      <c r="B27" s="294" t="s">
        <v>3466</v>
      </c>
      <c r="C27" s="294"/>
      <c r="D27" s="294"/>
      <c r="E27" s="294"/>
      <c r="F27" s="294"/>
      <c r="G27" s="294"/>
      <c r="H27" s="294"/>
      <c r="I27" s="294"/>
      <c r="J27" s="294"/>
      <c r="K27" s="294"/>
      <c r="L27" s="6"/>
    </row>
    <row r="28" spans="1:12" x14ac:dyDescent="0.2">
      <c r="A28" s="43">
        <v>1</v>
      </c>
      <c r="B28" s="15" t="s">
        <v>3521</v>
      </c>
      <c r="C28" s="15" t="s">
        <v>3522</v>
      </c>
      <c r="D28" s="15" t="s">
        <v>641</v>
      </c>
      <c r="E28" s="15" t="s">
        <v>3423</v>
      </c>
      <c r="F28" s="15" t="s">
        <v>3388</v>
      </c>
      <c r="G28" s="187" t="s">
        <v>42</v>
      </c>
      <c r="H28" s="192" t="s">
        <v>97</v>
      </c>
      <c r="I28" s="192" t="s">
        <v>97</v>
      </c>
      <c r="J28" s="188"/>
      <c r="K28" s="15" t="s">
        <v>42</v>
      </c>
      <c r="L28" s="15" t="s">
        <v>3391</v>
      </c>
    </row>
    <row r="29" spans="1:12" x14ac:dyDescent="0.2">
      <c r="A29" s="43">
        <v>1</v>
      </c>
      <c r="B29" s="16" t="s">
        <v>3467</v>
      </c>
      <c r="C29" s="16" t="s">
        <v>3468</v>
      </c>
      <c r="D29" s="16" t="s">
        <v>957</v>
      </c>
      <c r="E29" s="16" t="s">
        <v>3387</v>
      </c>
      <c r="F29" s="16" t="s">
        <v>3388</v>
      </c>
      <c r="G29" s="193" t="s">
        <v>53</v>
      </c>
      <c r="H29" s="193" t="s">
        <v>51</v>
      </c>
      <c r="I29" s="197" t="s">
        <v>41</v>
      </c>
      <c r="J29" s="194"/>
      <c r="K29" s="16" t="s">
        <v>51</v>
      </c>
      <c r="L29" s="16" t="s">
        <v>3391</v>
      </c>
    </row>
    <row r="30" spans="1:12" x14ac:dyDescent="0.2">
      <c r="A30" s="43">
        <v>1</v>
      </c>
      <c r="B30" s="16" t="s">
        <v>3470</v>
      </c>
      <c r="C30" s="16" t="s">
        <v>3471</v>
      </c>
      <c r="D30" s="16" t="s">
        <v>256</v>
      </c>
      <c r="E30" s="16" t="s">
        <v>3399</v>
      </c>
      <c r="F30" s="16" t="s">
        <v>3388</v>
      </c>
      <c r="G30" s="193" t="s">
        <v>41</v>
      </c>
      <c r="H30" s="193" t="s">
        <v>81</v>
      </c>
      <c r="I30" s="197" t="s">
        <v>46</v>
      </c>
      <c r="J30" s="194"/>
      <c r="K30" s="16" t="s">
        <v>81</v>
      </c>
      <c r="L30" s="16" t="s">
        <v>773</v>
      </c>
    </row>
    <row r="31" spans="1:12" x14ac:dyDescent="0.2">
      <c r="A31" s="43">
        <v>1</v>
      </c>
      <c r="B31" s="17" t="s">
        <v>2512</v>
      </c>
      <c r="C31" s="17" t="s">
        <v>3472</v>
      </c>
      <c r="D31" s="17" t="s">
        <v>2211</v>
      </c>
      <c r="E31" s="17" t="s">
        <v>3387</v>
      </c>
      <c r="F31" s="17" t="s">
        <v>3473</v>
      </c>
      <c r="G31" s="189" t="s">
        <v>59</v>
      </c>
      <c r="H31" s="189" t="s">
        <v>93</v>
      </c>
      <c r="I31" s="189" t="s">
        <v>86</v>
      </c>
      <c r="J31" s="191"/>
      <c r="K31" s="17" t="s">
        <v>86</v>
      </c>
      <c r="L31" s="17" t="s">
        <v>2078</v>
      </c>
    </row>
    <row r="32" spans="1:12" x14ac:dyDescent="0.2">
      <c r="A32" s="43"/>
      <c r="B32" s="6"/>
      <c r="C32" s="6"/>
      <c r="D32" s="6"/>
      <c r="E32" s="6"/>
      <c r="F32" s="6"/>
      <c r="G32" s="6"/>
      <c r="H32" s="6"/>
      <c r="I32" s="6"/>
      <c r="J32" s="6"/>
      <c r="K32" s="6"/>
      <c r="L32" s="6"/>
    </row>
    <row r="33" spans="1:12" ht="15" x14ac:dyDescent="0.2">
      <c r="A33" s="43"/>
      <c r="B33" s="294" t="s">
        <v>3474</v>
      </c>
      <c r="C33" s="294"/>
      <c r="D33" s="294"/>
      <c r="E33" s="294"/>
      <c r="F33" s="294"/>
      <c r="G33" s="294"/>
      <c r="H33" s="294"/>
      <c r="I33" s="294"/>
      <c r="J33" s="294"/>
      <c r="K33" s="294"/>
      <c r="L33" s="6"/>
    </row>
    <row r="34" spans="1:12" x14ac:dyDescent="0.2">
      <c r="A34" s="43">
        <v>1</v>
      </c>
      <c r="B34" s="15" t="s">
        <v>3549</v>
      </c>
      <c r="C34" s="15" t="s">
        <v>3550</v>
      </c>
      <c r="D34" s="15" t="s">
        <v>654</v>
      </c>
      <c r="E34" s="15" t="s">
        <v>3423</v>
      </c>
      <c r="F34" s="15" t="s">
        <v>3388</v>
      </c>
      <c r="G34" s="187" t="s">
        <v>97</v>
      </c>
      <c r="H34" s="187" t="s">
        <v>3577</v>
      </c>
      <c r="I34" s="187" t="s">
        <v>3578</v>
      </c>
      <c r="J34" s="188"/>
      <c r="K34" s="15" t="s">
        <v>3578</v>
      </c>
      <c r="L34" s="15" t="s">
        <v>3552</v>
      </c>
    </row>
    <row r="35" spans="1:12" x14ac:dyDescent="0.2">
      <c r="A35" s="43">
        <v>2</v>
      </c>
      <c r="B35" s="16" t="s">
        <v>468</v>
      </c>
      <c r="C35" s="16" t="s">
        <v>469</v>
      </c>
      <c r="D35" s="16" t="s">
        <v>1386</v>
      </c>
      <c r="E35" s="16" t="s">
        <v>3387</v>
      </c>
      <c r="F35" s="16" t="s">
        <v>3479</v>
      </c>
      <c r="G35" s="193" t="s">
        <v>51</v>
      </c>
      <c r="H35" s="193" t="s">
        <v>42</v>
      </c>
      <c r="I35" s="197" t="s">
        <v>46</v>
      </c>
      <c r="J35" s="194"/>
      <c r="K35" s="16" t="s">
        <v>42</v>
      </c>
      <c r="L35" s="16" t="s">
        <v>3391</v>
      </c>
    </row>
    <row r="36" spans="1:12" x14ac:dyDescent="0.2">
      <c r="A36" s="43">
        <v>1</v>
      </c>
      <c r="B36" s="16" t="s">
        <v>3480</v>
      </c>
      <c r="C36" s="16" t="s">
        <v>3481</v>
      </c>
      <c r="D36" s="16" t="s">
        <v>2795</v>
      </c>
      <c r="E36" s="16" t="s">
        <v>3399</v>
      </c>
      <c r="F36" s="16" t="s">
        <v>3482</v>
      </c>
      <c r="G36" s="193" t="s">
        <v>81</v>
      </c>
      <c r="H36" s="194"/>
      <c r="I36" s="194"/>
      <c r="J36" s="194"/>
      <c r="K36" s="16" t="s">
        <v>81</v>
      </c>
      <c r="L36" s="16" t="s">
        <v>3391</v>
      </c>
    </row>
    <row r="37" spans="1:12" x14ac:dyDescent="0.2">
      <c r="A37" s="43">
        <v>1</v>
      </c>
      <c r="B37" s="17" t="s">
        <v>497</v>
      </c>
      <c r="C37" s="17" t="s">
        <v>3483</v>
      </c>
      <c r="D37" s="17" t="s">
        <v>3484</v>
      </c>
      <c r="E37" s="17" t="s">
        <v>3387</v>
      </c>
      <c r="F37" s="17" t="s">
        <v>3388</v>
      </c>
      <c r="G37" s="189" t="s">
        <v>86</v>
      </c>
      <c r="H37" s="189" t="s">
        <v>53</v>
      </c>
      <c r="I37" s="189" t="s">
        <v>51</v>
      </c>
      <c r="J37" s="191"/>
      <c r="K37" s="17" t="s">
        <v>51</v>
      </c>
      <c r="L37" s="17" t="s">
        <v>773</v>
      </c>
    </row>
    <row r="38" spans="1:12" x14ac:dyDescent="0.2">
      <c r="A38" s="43"/>
      <c r="B38" s="6"/>
      <c r="C38" s="6"/>
      <c r="D38" s="6"/>
      <c r="E38" s="6"/>
      <c r="F38" s="6"/>
      <c r="G38" s="6"/>
      <c r="H38" s="6"/>
      <c r="I38" s="6"/>
      <c r="J38" s="6"/>
      <c r="K38" s="6"/>
      <c r="L38" s="6"/>
    </row>
    <row r="39" spans="1:12" ht="15" x14ac:dyDescent="0.2">
      <c r="A39" s="43"/>
      <c r="B39" s="294" t="s">
        <v>3485</v>
      </c>
      <c r="C39" s="294"/>
      <c r="D39" s="294"/>
      <c r="E39" s="294"/>
      <c r="F39" s="294"/>
      <c r="G39" s="294"/>
      <c r="H39" s="294"/>
      <c r="I39" s="294"/>
      <c r="J39" s="294"/>
      <c r="K39" s="294"/>
      <c r="L39" s="6"/>
    </row>
    <row r="40" spans="1:12" x14ac:dyDescent="0.2">
      <c r="A40" s="43">
        <v>1</v>
      </c>
      <c r="B40" s="15" t="s">
        <v>2577</v>
      </c>
      <c r="C40" s="15" t="s">
        <v>3486</v>
      </c>
      <c r="D40" s="15" t="s">
        <v>3487</v>
      </c>
      <c r="E40" s="15" t="s">
        <v>3423</v>
      </c>
      <c r="F40" s="15" t="s">
        <v>3388</v>
      </c>
      <c r="G40" s="187" t="s">
        <v>81</v>
      </c>
      <c r="H40" s="187" t="s">
        <v>3563</v>
      </c>
      <c r="I40" s="187" t="s">
        <v>3578</v>
      </c>
      <c r="J40" s="192" t="s">
        <v>71</v>
      </c>
      <c r="K40" s="15" t="s">
        <v>3578</v>
      </c>
      <c r="L40" s="15" t="s">
        <v>3426</v>
      </c>
    </row>
    <row r="41" spans="1:12" x14ac:dyDescent="0.2">
      <c r="A41" s="43">
        <v>1</v>
      </c>
      <c r="B41" s="17" t="s">
        <v>3490</v>
      </c>
      <c r="C41" s="17" t="s">
        <v>3491</v>
      </c>
      <c r="D41" s="17" t="s">
        <v>3492</v>
      </c>
      <c r="E41" s="17" t="s">
        <v>3387</v>
      </c>
      <c r="F41" s="17" t="s">
        <v>3460</v>
      </c>
      <c r="G41" s="189" t="s">
        <v>61</v>
      </c>
      <c r="H41" s="189" t="s">
        <v>97</v>
      </c>
      <c r="I41" s="189" t="s">
        <v>70</v>
      </c>
      <c r="J41" s="191"/>
      <c r="K41" s="17" t="s">
        <v>70</v>
      </c>
      <c r="L41" s="17" t="s">
        <v>3494</v>
      </c>
    </row>
    <row r="42" spans="1:12" x14ac:dyDescent="0.2">
      <c r="A42" s="43"/>
      <c r="B42" s="6"/>
      <c r="C42" s="6"/>
      <c r="D42" s="6"/>
      <c r="E42" s="6"/>
      <c r="F42" s="6"/>
      <c r="G42" s="6"/>
      <c r="H42" s="6"/>
      <c r="I42" s="6"/>
      <c r="J42" s="6"/>
      <c r="K42" s="6"/>
      <c r="L42" s="6"/>
    </row>
    <row r="43" spans="1:12" ht="15" x14ac:dyDescent="0.2">
      <c r="A43" s="43"/>
      <c r="B43" s="294" t="s">
        <v>3495</v>
      </c>
      <c r="C43" s="294"/>
      <c r="D43" s="294"/>
      <c r="E43" s="294"/>
      <c r="F43" s="294"/>
      <c r="G43" s="294"/>
      <c r="H43" s="294"/>
      <c r="I43" s="294"/>
      <c r="J43" s="294"/>
      <c r="K43" s="294"/>
      <c r="L43" s="6"/>
    </row>
    <row r="44" spans="1:12" x14ac:dyDescent="0.2">
      <c r="A44" s="43">
        <v>1</v>
      </c>
      <c r="B44" s="7" t="s">
        <v>2577</v>
      </c>
      <c r="C44" s="7" t="s">
        <v>3496</v>
      </c>
      <c r="D44" s="7" t="s">
        <v>3487</v>
      </c>
      <c r="E44" s="7" t="s">
        <v>3423</v>
      </c>
      <c r="F44" s="7" t="s">
        <v>3388</v>
      </c>
      <c r="G44" s="195" t="s">
        <v>81</v>
      </c>
      <c r="H44" s="195" t="s">
        <v>3563</v>
      </c>
      <c r="I44" s="195" t="s">
        <v>3578</v>
      </c>
      <c r="J44" s="196" t="s">
        <v>71</v>
      </c>
      <c r="K44" s="7" t="s">
        <v>3578</v>
      </c>
      <c r="L44" s="7" t="s">
        <v>3426</v>
      </c>
    </row>
    <row r="45" spans="1:12" x14ac:dyDescent="0.2">
      <c r="A45" s="43"/>
      <c r="B45" s="6"/>
      <c r="C45" s="6"/>
      <c r="D45" s="6"/>
      <c r="E45" s="6"/>
      <c r="F45" s="6"/>
      <c r="G45" s="6"/>
      <c r="H45" s="6"/>
      <c r="I45" s="6"/>
      <c r="J45" s="6"/>
      <c r="K45" s="6"/>
      <c r="L45" s="6"/>
    </row>
    <row r="46" spans="1:12" ht="15" x14ac:dyDescent="0.2">
      <c r="A46" s="43"/>
      <c r="B46" s="294" t="s">
        <v>3497</v>
      </c>
      <c r="C46" s="294"/>
      <c r="D46" s="294"/>
      <c r="E46" s="294"/>
      <c r="F46" s="294"/>
      <c r="G46" s="294"/>
      <c r="H46" s="294"/>
      <c r="I46" s="294"/>
      <c r="J46" s="294"/>
      <c r="K46" s="294"/>
      <c r="L46" s="6"/>
    </row>
    <row r="47" spans="1:12" x14ac:dyDescent="0.2">
      <c r="A47" s="43">
        <v>1</v>
      </c>
      <c r="B47" s="15" t="s">
        <v>1756</v>
      </c>
      <c r="C47" s="15" t="s">
        <v>2772</v>
      </c>
      <c r="D47" s="15" t="s">
        <v>1159</v>
      </c>
      <c r="E47" s="15" t="s">
        <v>3387</v>
      </c>
      <c r="F47" s="15" t="s">
        <v>3473</v>
      </c>
      <c r="G47" s="187" t="s">
        <v>65</v>
      </c>
      <c r="H47" s="192" t="s">
        <v>3578</v>
      </c>
      <c r="I47" s="192" t="s">
        <v>3578</v>
      </c>
      <c r="J47" s="188"/>
      <c r="K47" s="15">
        <v>102.5</v>
      </c>
      <c r="L47" s="15" t="s">
        <v>3391</v>
      </c>
    </row>
    <row r="48" spans="1:12" x14ac:dyDescent="0.2">
      <c r="A48" s="43">
        <v>2</v>
      </c>
      <c r="B48" s="16" t="s">
        <v>508</v>
      </c>
      <c r="C48" s="16" t="s">
        <v>509</v>
      </c>
      <c r="D48" s="16" t="s">
        <v>3579</v>
      </c>
      <c r="E48" s="16" t="s">
        <v>3387</v>
      </c>
      <c r="F48" s="16" t="s">
        <v>492</v>
      </c>
      <c r="G48" s="193" t="s">
        <v>51</v>
      </c>
      <c r="H48" s="193" t="s">
        <v>42</v>
      </c>
      <c r="I48" s="193" t="s">
        <v>46</v>
      </c>
      <c r="J48" s="194"/>
      <c r="K48" s="16" t="s">
        <v>46</v>
      </c>
      <c r="L48" s="16" t="s">
        <v>3391</v>
      </c>
    </row>
    <row r="49" spans="1:12" x14ac:dyDescent="0.2">
      <c r="A49" s="43">
        <v>1</v>
      </c>
      <c r="B49" s="17" t="s">
        <v>1756</v>
      </c>
      <c r="C49" s="17" t="s">
        <v>3580</v>
      </c>
      <c r="D49" s="17" t="s">
        <v>1159</v>
      </c>
      <c r="E49" s="17" t="s">
        <v>3387</v>
      </c>
      <c r="F49" s="17" t="s">
        <v>3473</v>
      </c>
      <c r="G49" s="189" t="s">
        <v>65</v>
      </c>
      <c r="H49" s="190" t="s">
        <v>3578</v>
      </c>
      <c r="I49" s="190" t="s">
        <v>3578</v>
      </c>
      <c r="J49" s="191"/>
      <c r="K49" s="17">
        <v>102.5</v>
      </c>
      <c r="L49" s="17" t="s">
        <v>3391</v>
      </c>
    </row>
    <row r="50" spans="1:12" x14ac:dyDescent="0.2">
      <c r="B50" s="6"/>
      <c r="C50" s="6"/>
      <c r="D50" s="6"/>
      <c r="E50" s="6"/>
      <c r="F50" s="6"/>
      <c r="G50" s="6"/>
      <c r="H50" s="6"/>
      <c r="I50" s="6"/>
      <c r="J50" s="6"/>
      <c r="K50" s="6"/>
      <c r="L50" s="6"/>
    </row>
    <row r="51" spans="1:12" x14ac:dyDescent="0.2">
      <c r="B51" s="6"/>
      <c r="C51" s="6"/>
      <c r="D51" s="6"/>
      <c r="E51" s="6"/>
      <c r="F51" s="6"/>
      <c r="G51" s="6"/>
      <c r="H51" s="6"/>
      <c r="I51" s="6"/>
      <c r="J51" s="6"/>
      <c r="K51" s="6"/>
      <c r="L51" s="6"/>
    </row>
    <row r="52" spans="1:12" ht="18" x14ac:dyDescent="0.25">
      <c r="B52" s="8" t="s">
        <v>4022</v>
      </c>
      <c r="C52" s="8"/>
      <c r="D52" s="6"/>
      <c r="E52" s="6"/>
      <c r="F52" s="6"/>
      <c r="G52" s="6"/>
      <c r="H52" s="6"/>
      <c r="I52" s="6"/>
      <c r="J52" s="6"/>
      <c r="K52" s="6"/>
      <c r="L52" s="6"/>
    </row>
    <row r="53" spans="1:12" ht="15" x14ac:dyDescent="0.2">
      <c r="B53" s="9" t="s">
        <v>3499</v>
      </c>
      <c r="C53" s="9"/>
      <c r="D53" s="6"/>
      <c r="E53" s="6"/>
      <c r="F53" s="6"/>
      <c r="G53" s="6"/>
      <c r="H53" s="6"/>
      <c r="I53" s="6"/>
      <c r="J53" s="6"/>
      <c r="K53" s="6"/>
      <c r="L53" s="6"/>
    </row>
    <row r="54" spans="1:12" ht="14.25" x14ac:dyDescent="0.2">
      <c r="B54" s="11"/>
      <c r="C54" s="12" t="s">
        <v>18</v>
      </c>
      <c r="D54" s="6"/>
      <c r="E54" s="6"/>
      <c r="F54" s="6"/>
      <c r="G54" s="6"/>
      <c r="H54" s="6"/>
      <c r="I54" s="6"/>
      <c r="J54" s="6"/>
      <c r="K54" s="6"/>
      <c r="L54" s="6"/>
    </row>
    <row r="55" spans="1:12" ht="15" x14ac:dyDescent="0.2">
      <c r="B55" s="13" t="s">
        <v>0</v>
      </c>
      <c r="C55" s="13" t="s">
        <v>19</v>
      </c>
      <c r="D55" s="13" t="s">
        <v>20</v>
      </c>
      <c r="E55" s="13" t="s">
        <v>3593</v>
      </c>
      <c r="F55" s="6"/>
      <c r="G55" s="6"/>
      <c r="H55" s="6"/>
      <c r="I55" s="6"/>
      <c r="J55" s="6"/>
      <c r="K55" s="6"/>
      <c r="L55" s="6"/>
    </row>
    <row r="56" spans="1:12" x14ac:dyDescent="0.2">
      <c r="A56" s="43">
        <v>1</v>
      </c>
      <c r="B56" s="18" t="s">
        <v>3549</v>
      </c>
      <c r="C56" s="18" t="s">
        <v>18</v>
      </c>
      <c r="D56" s="18" t="s">
        <v>306</v>
      </c>
      <c r="E56" s="18" t="s">
        <v>3578</v>
      </c>
      <c r="F56" s="6"/>
      <c r="G56" s="6"/>
      <c r="H56" s="6"/>
      <c r="I56" s="6"/>
      <c r="J56" s="6"/>
      <c r="K56" s="6"/>
      <c r="L56" s="6"/>
    </row>
    <row r="57" spans="1:12" x14ac:dyDescent="0.2">
      <c r="A57" s="43">
        <v>2</v>
      </c>
      <c r="B57" s="18" t="s">
        <v>2577</v>
      </c>
      <c r="C57" s="18" t="s">
        <v>18</v>
      </c>
      <c r="D57" s="18" t="s">
        <v>303</v>
      </c>
      <c r="E57" s="18" t="s">
        <v>3578</v>
      </c>
      <c r="F57" s="6"/>
      <c r="G57" s="6"/>
      <c r="H57" s="6"/>
      <c r="I57" s="6"/>
      <c r="J57" s="6"/>
      <c r="K57" s="6"/>
      <c r="L57" s="6"/>
    </row>
    <row r="58" spans="1:12" x14ac:dyDescent="0.2">
      <c r="A58" s="43">
        <v>3</v>
      </c>
      <c r="B58" s="18" t="s">
        <v>3441</v>
      </c>
      <c r="C58" s="18" t="s">
        <v>18</v>
      </c>
      <c r="D58" s="18" t="s">
        <v>32</v>
      </c>
      <c r="E58" s="18" t="s">
        <v>3563</v>
      </c>
      <c r="F58" s="6"/>
      <c r="G58" s="6"/>
      <c r="H58" s="6"/>
      <c r="I58" s="6"/>
      <c r="J58" s="6"/>
      <c r="K58" s="6"/>
      <c r="L58" s="6"/>
    </row>
    <row r="59" spans="1:12" x14ac:dyDescent="0.2">
      <c r="B59" s="6"/>
      <c r="C59" s="6"/>
      <c r="D59" s="6"/>
      <c r="E59" s="6"/>
      <c r="F59" s="6"/>
      <c r="G59" s="6"/>
      <c r="H59" s="6"/>
      <c r="I59" s="6"/>
      <c r="J59" s="6"/>
      <c r="K59" s="6"/>
      <c r="L59" s="6"/>
    </row>
    <row r="60" spans="1:12" x14ac:dyDescent="0.2">
      <c r="B60" s="6"/>
      <c r="C60" s="6"/>
      <c r="D60" s="6"/>
      <c r="E60" s="6"/>
      <c r="F60" s="6"/>
      <c r="G60" s="6"/>
      <c r="H60" s="6"/>
      <c r="I60" s="6"/>
      <c r="J60" s="6"/>
      <c r="K60" s="6"/>
      <c r="L60" s="6"/>
    </row>
    <row r="61" spans="1:12" x14ac:dyDescent="0.2">
      <c r="B61" s="6"/>
      <c r="C61" s="6"/>
      <c r="D61" s="6"/>
      <c r="E61" s="6"/>
      <c r="F61" s="6"/>
      <c r="G61" s="6"/>
      <c r="H61" s="6"/>
      <c r="I61" s="6"/>
      <c r="J61" s="6"/>
      <c r="K61" s="6"/>
      <c r="L61" s="6"/>
    </row>
    <row r="62" spans="1:12" x14ac:dyDescent="0.2">
      <c r="B62" s="6"/>
      <c r="C62" s="6"/>
      <c r="D62" s="6"/>
      <c r="E62" s="6"/>
      <c r="F62" s="6"/>
      <c r="G62" s="6"/>
      <c r="H62" s="6"/>
      <c r="I62" s="6"/>
      <c r="J62" s="6"/>
      <c r="K62" s="6"/>
      <c r="L62" s="6"/>
    </row>
    <row r="63" spans="1:12" x14ac:dyDescent="0.2">
      <c r="B63" s="6"/>
      <c r="C63" s="6"/>
      <c r="D63" s="6"/>
      <c r="E63" s="6"/>
      <c r="F63" s="6"/>
      <c r="G63" s="6"/>
      <c r="H63" s="6"/>
      <c r="I63" s="6"/>
      <c r="J63" s="6"/>
      <c r="K63" s="6"/>
      <c r="L63" s="6"/>
    </row>
    <row r="64" spans="1:12" x14ac:dyDescent="0.2">
      <c r="B64" s="6"/>
      <c r="C64" s="6"/>
      <c r="D64" s="6"/>
      <c r="E64" s="6"/>
      <c r="F64" s="6"/>
      <c r="G64" s="6"/>
      <c r="H64" s="6"/>
      <c r="I64" s="6"/>
      <c r="J64" s="6"/>
      <c r="K64" s="6"/>
      <c r="L64" s="6"/>
    </row>
    <row r="65" spans="2:12" x14ac:dyDescent="0.2">
      <c r="B65" s="6"/>
      <c r="C65" s="6"/>
      <c r="D65" s="6"/>
      <c r="E65" s="6"/>
      <c r="F65" s="6"/>
      <c r="G65" s="6"/>
      <c r="H65" s="6"/>
      <c r="I65" s="6"/>
      <c r="J65" s="6"/>
      <c r="K65" s="6"/>
      <c r="L65" s="6"/>
    </row>
    <row r="66" spans="2:12" x14ac:dyDescent="0.2">
      <c r="B66" s="6"/>
      <c r="C66" s="6"/>
      <c r="D66" s="6"/>
      <c r="E66" s="6"/>
      <c r="F66" s="6"/>
      <c r="G66" s="6"/>
      <c r="H66" s="6"/>
      <c r="I66" s="6"/>
      <c r="J66" s="6"/>
      <c r="K66" s="6"/>
      <c r="L66" s="6"/>
    </row>
    <row r="67" spans="2:12" x14ac:dyDescent="0.2">
      <c r="B67" s="6"/>
      <c r="C67" s="6"/>
      <c r="D67" s="6"/>
      <c r="E67" s="6"/>
      <c r="F67" s="6"/>
      <c r="G67" s="6"/>
      <c r="H67" s="6"/>
      <c r="I67" s="6"/>
      <c r="J67" s="6"/>
      <c r="K67" s="6"/>
      <c r="L67" s="6"/>
    </row>
  </sheetData>
  <mergeCells count="21">
    <mergeCell ref="A1:L1"/>
    <mergeCell ref="A2:L2"/>
    <mergeCell ref="A3:L3"/>
    <mergeCell ref="A4:A5"/>
    <mergeCell ref="B4:B5"/>
    <mergeCell ref="C4:C5"/>
    <mergeCell ref="D4:D5"/>
    <mergeCell ref="E4:E5"/>
    <mergeCell ref="F4:F5"/>
    <mergeCell ref="G4:J4"/>
    <mergeCell ref="K4:K5"/>
    <mergeCell ref="B33:K33"/>
    <mergeCell ref="B39:K39"/>
    <mergeCell ref="B43:K43"/>
    <mergeCell ref="B46:K46"/>
    <mergeCell ref="L4:L5"/>
    <mergeCell ref="B6:K6"/>
    <mergeCell ref="B10:K10"/>
    <mergeCell ref="B14:K14"/>
    <mergeCell ref="B18:K18"/>
    <mergeCell ref="B27:K27"/>
  </mergeCells>
  <pageMargins left="0.7" right="0.7" top="0.75" bottom="0.75" header="0.3" footer="0.3"/>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election activeCell="E27" sqref="E27"/>
    </sheetView>
  </sheetViews>
  <sheetFormatPr defaultColWidth="8.7109375" defaultRowHeight="12.75" x14ac:dyDescent="0.2"/>
  <cols>
    <col min="2" max="2" width="22.7109375" customWidth="1"/>
    <col min="3" max="3" width="28.7109375" customWidth="1"/>
    <col min="4" max="4" width="14.85546875" customWidth="1"/>
    <col min="5" max="5" width="16.42578125" customWidth="1"/>
    <col min="6" max="6" width="30.28515625" customWidth="1"/>
    <col min="12" max="12" width="12.85546875" customWidth="1"/>
  </cols>
  <sheetData>
    <row r="1" spans="1:12" ht="30" x14ac:dyDescent="0.4">
      <c r="A1" s="340" t="s">
        <v>4053</v>
      </c>
      <c r="B1" s="340"/>
      <c r="C1" s="340"/>
      <c r="D1" s="340"/>
      <c r="E1" s="340"/>
      <c r="F1" s="340"/>
      <c r="G1" s="340"/>
      <c r="H1" s="340"/>
      <c r="I1" s="340"/>
      <c r="J1" s="340"/>
      <c r="K1" s="340"/>
      <c r="L1" s="341"/>
    </row>
    <row r="2" spans="1:12" ht="30" x14ac:dyDescent="0.4">
      <c r="A2" s="317" t="s">
        <v>3581</v>
      </c>
      <c r="B2" s="317"/>
      <c r="C2" s="317"/>
      <c r="D2" s="317"/>
      <c r="E2" s="317"/>
      <c r="F2" s="317"/>
      <c r="G2" s="317"/>
      <c r="H2" s="317"/>
      <c r="I2" s="317"/>
      <c r="J2" s="317"/>
      <c r="K2" s="317"/>
      <c r="L2" s="318"/>
    </row>
    <row r="3" spans="1:12" ht="30.75" thickBot="1" x14ac:dyDescent="0.45">
      <c r="A3" s="319" t="s">
        <v>3381</v>
      </c>
      <c r="B3" s="319"/>
      <c r="C3" s="319"/>
      <c r="D3" s="319"/>
      <c r="E3" s="319"/>
      <c r="F3" s="319"/>
      <c r="G3" s="319"/>
      <c r="H3" s="319"/>
      <c r="I3" s="319"/>
      <c r="J3" s="319"/>
      <c r="K3" s="319"/>
      <c r="L3" s="320"/>
    </row>
    <row r="4" spans="1:12" ht="15" x14ac:dyDescent="0.2">
      <c r="A4" s="297" t="s">
        <v>719</v>
      </c>
      <c r="B4" s="300" t="s">
        <v>0</v>
      </c>
      <c r="C4" s="302" t="s">
        <v>3382</v>
      </c>
      <c r="D4" s="302" t="s">
        <v>8</v>
      </c>
      <c r="E4" s="304" t="s">
        <v>1</v>
      </c>
      <c r="F4" s="305" t="s">
        <v>2819</v>
      </c>
      <c r="G4" s="342" t="s">
        <v>3581</v>
      </c>
      <c r="H4" s="343"/>
      <c r="I4" s="343"/>
      <c r="J4" s="344"/>
      <c r="K4" s="312" t="s">
        <v>3593</v>
      </c>
      <c r="L4" s="307" t="s">
        <v>5</v>
      </c>
    </row>
    <row r="5" spans="1:12" ht="15" customHeight="1" thickBot="1" x14ac:dyDescent="0.25">
      <c r="A5" s="298"/>
      <c r="B5" s="301"/>
      <c r="C5" s="303"/>
      <c r="D5" s="303"/>
      <c r="E5" s="303"/>
      <c r="F5" s="306"/>
      <c r="G5" s="3">
        <v>1</v>
      </c>
      <c r="H5" s="3">
        <v>2</v>
      </c>
      <c r="I5" s="3">
        <v>3</v>
      </c>
      <c r="J5" s="164">
        <v>4</v>
      </c>
      <c r="K5" s="313"/>
      <c r="L5" s="310"/>
    </row>
    <row r="6" spans="1:12" ht="15" x14ac:dyDescent="0.2">
      <c r="B6" s="299" t="s">
        <v>3383</v>
      </c>
      <c r="C6" s="299"/>
      <c r="D6" s="299"/>
      <c r="E6" s="299"/>
      <c r="F6" s="299"/>
      <c r="G6" s="299"/>
      <c r="H6" s="299"/>
      <c r="I6" s="299"/>
      <c r="J6" s="299"/>
      <c r="K6" s="299"/>
      <c r="L6" s="6"/>
    </row>
    <row r="7" spans="1:12" x14ac:dyDescent="0.2">
      <c r="A7" s="43">
        <v>1</v>
      </c>
      <c r="B7" s="7" t="s">
        <v>3525</v>
      </c>
      <c r="C7" s="7" t="s">
        <v>3526</v>
      </c>
      <c r="D7" s="7" t="s">
        <v>1698</v>
      </c>
      <c r="E7" s="7" t="s">
        <v>3387</v>
      </c>
      <c r="F7" s="7" t="s">
        <v>3527</v>
      </c>
      <c r="G7" s="195" t="s">
        <v>3582</v>
      </c>
      <c r="H7" s="195" t="s">
        <v>3583</v>
      </c>
      <c r="I7" s="195" t="s">
        <v>3584</v>
      </c>
      <c r="J7" s="196"/>
      <c r="K7" s="7">
        <v>16.2</v>
      </c>
      <c r="L7" s="7" t="s">
        <v>3530</v>
      </c>
    </row>
    <row r="8" spans="1:12" x14ac:dyDescent="0.2">
      <c r="A8" s="43"/>
      <c r="B8" s="6"/>
      <c r="C8" s="6"/>
      <c r="D8" s="6"/>
      <c r="E8" s="6"/>
      <c r="F8" s="6"/>
      <c r="G8" s="6"/>
      <c r="H8" s="6"/>
      <c r="I8" s="6"/>
      <c r="J8" s="6"/>
      <c r="K8" s="6"/>
      <c r="L8" s="6"/>
    </row>
    <row r="9" spans="1:12" ht="15" x14ac:dyDescent="0.2">
      <c r="A9" s="43"/>
      <c r="B9" s="294" t="s">
        <v>3414</v>
      </c>
      <c r="C9" s="294"/>
      <c r="D9" s="294"/>
      <c r="E9" s="294"/>
      <c r="F9" s="294"/>
      <c r="G9" s="294"/>
      <c r="H9" s="294"/>
      <c r="I9" s="294"/>
      <c r="J9" s="294"/>
      <c r="K9" s="294"/>
      <c r="L9" s="6"/>
    </row>
    <row r="10" spans="1:12" x14ac:dyDescent="0.2">
      <c r="A10" s="43">
        <v>1</v>
      </c>
      <c r="B10" s="7" t="s">
        <v>3415</v>
      </c>
      <c r="C10" s="7" t="s">
        <v>3416</v>
      </c>
      <c r="D10" s="7" t="s">
        <v>3417</v>
      </c>
      <c r="E10" s="7" t="s">
        <v>3387</v>
      </c>
      <c r="F10" s="7" t="s">
        <v>3542</v>
      </c>
      <c r="G10" s="195" t="s">
        <v>3585</v>
      </c>
      <c r="H10" s="195" t="s">
        <v>3586</v>
      </c>
      <c r="I10" s="195" t="s">
        <v>3587</v>
      </c>
      <c r="J10" s="198" t="s">
        <v>2874</v>
      </c>
      <c r="K10" s="7">
        <v>23.7</v>
      </c>
      <c r="L10" s="7" t="s">
        <v>3391</v>
      </c>
    </row>
    <row r="11" spans="1:12" x14ac:dyDescent="0.2">
      <c r="A11" s="43"/>
      <c r="B11" s="6"/>
      <c r="C11" s="6"/>
      <c r="D11" s="6"/>
      <c r="E11" s="6"/>
      <c r="F11" s="6"/>
      <c r="G11" s="6"/>
      <c r="H11" s="6"/>
      <c r="I11" s="6"/>
      <c r="J11" s="6"/>
      <c r="K11" s="6"/>
      <c r="L11" s="6"/>
    </row>
    <row r="12" spans="1:12" ht="15" x14ac:dyDescent="0.2">
      <c r="A12" s="43"/>
      <c r="B12" s="294" t="s">
        <v>3427</v>
      </c>
      <c r="C12" s="294"/>
      <c r="D12" s="294"/>
      <c r="E12" s="294"/>
      <c r="F12" s="294"/>
      <c r="G12" s="294"/>
      <c r="H12" s="294"/>
      <c r="I12" s="294"/>
      <c r="J12" s="294"/>
      <c r="K12" s="294"/>
      <c r="L12" s="6"/>
    </row>
    <row r="13" spans="1:12" x14ac:dyDescent="0.2">
      <c r="A13" s="43">
        <v>1</v>
      </c>
      <c r="B13" s="7" t="s">
        <v>3428</v>
      </c>
      <c r="C13" s="7" t="s">
        <v>3429</v>
      </c>
      <c r="D13" s="7" t="s">
        <v>3430</v>
      </c>
      <c r="E13" s="7" t="s">
        <v>3387</v>
      </c>
      <c r="F13" s="7" t="s">
        <v>3388</v>
      </c>
      <c r="G13" s="195" t="s">
        <v>2874</v>
      </c>
      <c r="H13" s="195" t="s">
        <v>1589</v>
      </c>
      <c r="I13" s="198" t="s">
        <v>1590</v>
      </c>
      <c r="J13" s="196"/>
      <c r="K13" s="7" t="s">
        <v>1589</v>
      </c>
      <c r="L13" s="7" t="s">
        <v>3391</v>
      </c>
    </row>
    <row r="14" spans="1:12" x14ac:dyDescent="0.2">
      <c r="A14" s="43"/>
      <c r="B14" s="6"/>
      <c r="C14" s="6"/>
      <c r="D14" s="6"/>
      <c r="E14" s="6"/>
      <c r="F14" s="6"/>
      <c r="G14" s="6"/>
      <c r="H14" s="6"/>
      <c r="I14" s="6"/>
      <c r="J14" s="6"/>
      <c r="K14" s="6"/>
      <c r="L14" s="6"/>
    </row>
    <row r="15" spans="1:12" ht="15" x14ac:dyDescent="0.2">
      <c r="A15" s="43"/>
      <c r="B15" s="294" t="s">
        <v>3435</v>
      </c>
      <c r="C15" s="294"/>
      <c r="D15" s="294"/>
      <c r="E15" s="294"/>
      <c r="F15" s="294"/>
      <c r="G15" s="294"/>
      <c r="H15" s="294"/>
      <c r="I15" s="294"/>
      <c r="J15" s="294"/>
      <c r="K15" s="294"/>
      <c r="L15" s="6"/>
    </row>
    <row r="16" spans="1:12" x14ac:dyDescent="0.2">
      <c r="A16" s="43">
        <v>1</v>
      </c>
      <c r="B16" s="15" t="s">
        <v>3567</v>
      </c>
      <c r="C16" s="15" t="s">
        <v>3568</v>
      </c>
      <c r="D16" s="15" t="s">
        <v>566</v>
      </c>
      <c r="E16" s="15" t="s">
        <v>3387</v>
      </c>
      <c r="F16" s="15" t="s">
        <v>3569</v>
      </c>
      <c r="G16" s="187" t="s">
        <v>2874</v>
      </c>
      <c r="H16" s="187" t="s">
        <v>1589</v>
      </c>
      <c r="I16" s="187" t="s">
        <v>1590</v>
      </c>
      <c r="J16" s="192" t="s">
        <v>80</v>
      </c>
      <c r="K16" s="15">
        <v>32.5</v>
      </c>
      <c r="L16" s="15" t="s">
        <v>3570</v>
      </c>
    </row>
    <row r="17" spans="1:12" x14ac:dyDescent="0.2">
      <c r="A17" s="43">
        <v>2</v>
      </c>
      <c r="B17" s="16" t="s">
        <v>3571</v>
      </c>
      <c r="C17" s="16" t="s">
        <v>3572</v>
      </c>
      <c r="D17" s="16" t="s">
        <v>566</v>
      </c>
      <c r="E17" s="16" t="s">
        <v>3387</v>
      </c>
      <c r="F17" s="16" t="s">
        <v>3569</v>
      </c>
      <c r="G17" s="193" t="s">
        <v>2874</v>
      </c>
      <c r="H17" s="193" t="s">
        <v>1588</v>
      </c>
      <c r="I17" s="193" t="s">
        <v>3588</v>
      </c>
      <c r="J17" s="197" t="s">
        <v>1589</v>
      </c>
      <c r="K17" s="16">
        <v>28.7</v>
      </c>
      <c r="L17" s="16" t="s">
        <v>3391</v>
      </c>
    </row>
    <row r="18" spans="1:12" x14ac:dyDescent="0.2">
      <c r="A18" s="43">
        <v>1</v>
      </c>
      <c r="B18" s="16" t="s">
        <v>3571</v>
      </c>
      <c r="C18" s="16" t="s">
        <v>3575</v>
      </c>
      <c r="D18" s="16" t="s">
        <v>566</v>
      </c>
      <c r="E18" s="16" t="s">
        <v>3387</v>
      </c>
      <c r="F18" s="16" t="s">
        <v>3569</v>
      </c>
      <c r="G18" s="193" t="s">
        <v>2874</v>
      </c>
      <c r="H18" s="193" t="s">
        <v>1588</v>
      </c>
      <c r="I18" s="193" t="s">
        <v>3588</v>
      </c>
      <c r="J18" s="197" t="s">
        <v>1589</v>
      </c>
      <c r="K18" s="16">
        <v>28.7</v>
      </c>
      <c r="L18" s="16" t="s">
        <v>3391</v>
      </c>
    </row>
    <row r="19" spans="1:12" x14ac:dyDescent="0.2">
      <c r="A19" s="43">
        <v>2</v>
      </c>
      <c r="B19" s="17" t="s">
        <v>3545</v>
      </c>
      <c r="C19" s="17" t="s">
        <v>3546</v>
      </c>
      <c r="D19" s="17" t="s">
        <v>442</v>
      </c>
      <c r="E19" s="17" t="s">
        <v>3387</v>
      </c>
      <c r="F19" s="17" t="s">
        <v>3388</v>
      </c>
      <c r="G19" s="189" t="s">
        <v>3589</v>
      </c>
      <c r="H19" s="190" t="s">
        <v>3585</v>
      </c>
      <c r="I19" s="189" t="s">
        <v>3585</v>
      </c>
      <c r="J19" s="191"/>
      <c r="K19" s="17" t="s">
        <v>3585</v>
      </c>
      <c r="L19" s="17" t="s">
        <v>3391</v>
      </c>
    </row>
    <row r="20" spans="1:12" x14ac:dyDescent="0.2">
      <c r="A20" s="43"/>
      <c r="B20" s="6"/>
      <c r="C20" s="6"/>
      <c r="D20" s="6"/>
      <c r="E20" s="6"/>
      <c r="F20" s="6"/>
      <c r="G20" s="6"/>
      <c r="H20" s="6"/>
      <c r="I20" s="6"/>
      <c r="J20" s="6"/>
      <c r="K20" s="6"/>
      <c r="L20" s="6"/>
    </row>
    <row r="21" spans="1:12" ht="15" x14ac:dyDescent="0.2">
      <c r="A21" s="43"/>
      <c r="B21" s="294" t="s">
        <v>3474</v>
      </c>
      <c r="C21" s="294"/>
      <c r="D21" s="294"/>
      <c r="E21" s="294"/>
      <c r="F21" s="294"/>
      <c r="G21" s="294"/>
      <c r="H21" s="294"/>
      <c r="I21" s="294"/>
      <c r="J21" s="294"/>
      <c r="K21" s="294"/>
      <c r="L21" s="6"/>
    </row>
    <row r="22" spans="1:12" x14ac:dyDescent="0.2">
      <c r="A22" s="43">
        <v>1</v>
      </c>
      <c r="B22" s="15" t="s">
        <v>3480</v>
      </c>
      <c r="C22" s="15" t="s">
        <v>3523</v>
      </c>
      <c r="D22" s="15" t="s">
        <v>2795</v>
      </c>
      <c r="E22" s="15" t="s">
        <v>3399</v>
      </c>
      <c r="F22" s="15" t="s">
        <v>3482</v>
      </c>
      <c r="G22" s="187" t="s">
        <v>1588</v>
      </c>
      <c r="H22" s="187" t="s">
        <v>1590</v>
      </c>
      <c r="I22" s="187" t="s">
        <v>3590</v>
      </c>
      <c r="J22" s="188"/>
      <c r="K22" s="15" t="s">
        <v>3590</v>
      </c>
      <c r="L22" s="15" t="s">
        <v>3391</v>
      </c>
    </row>
    <row r="23" spans="1:12" x14ac:dyDescent="0.2">
      <c r="A23" s="43">
        <v>2</v>
      </c>
      <c r="B23" s="16" t="s">
        <v>468</v>
      </c>
      <c r="C23" s="16" t="s">
        <v>469</v>
      </c>
      <c r="D23" s="16" t="s">
        <v>1386</v>
      </c>
      <c r="E23" s="16" t="s">
        <v>3387</v>
      </c>
      <c r="F23" s="16" t="s">
        <v>3479</v>
      </c>
      <c r="G23" s="193" t="s">
        <v>3583</v>
      </c>
      <c r="H23" s="193" t="s">
        <v>3585</v>
      </c>
      <c r="I23" s="197" t="s">
        <v>2874</v>
      </c>
      <c r="J23" s="194"/>
      <c r="K23" s="16" t="s">
        <v>3585</v>
      </c>
      <c r="L23" s="16" t="s">
        <v>3391</v>
      </c>
    </row>
    <row r="24" spans="1:12" x14ac:dyDescent="0.2">
      <c r="A24" s="43">
        <v>1</v>
      </c>
      <c r="B24" s="17" t="s">
        <v>3480</v>
      </c>
      <c r="C24" s="17" t="s">
        <v>3481</v>
      </c>
      <c r="D24" s="17" t="s">
        <v>2795</v>
      </c>
      <c r="E24" s="17" t="s">
        <v>3399</v>
      </c>
      <c r="F24" s="17" t="s">
        <v>3482</v>
      </c>
      <c r="G24" s="189" t="s">
        <v>1588</v>
      </c>
      <c r="H24" s="189" t="s">
        <v>1590</v>
      </c>
      <c r="I24" s="189" t="s">
        <v>3590</v>
      </c>
      <c r="J24" s="191"/>
      <c r="K24" s="17" t="s">
        <v>3590</v>
      </c>
      <c r="L24" s="17" t="s">
        <v>3391</v>
      </c>
    </row>
    <row r="25" spans="1:12" x14ac:dyDescent="0.2">
      <c r="A25" s="43"/>
      <c r="B25" s="6"/>
      <c r="C25" s="6"/>
      <c r="D25" s="6"/>
      <c r="E25" s="6"/>
      <c r="F25" s="6"/>
      <c r="G25" s="6"/>
      <c r="H25" s="6"/>
      <c r="I25" s="6"/>
      <c r="J25" s="6"/>
      <c r="K25" s="6"/>
      <c r="L25" s="6"/>
    </row>
    <row r="26" spans="1:12" ht="15" x14ac:dyDescent="0.2">
      <c r="A26" s="43"/>
      <c r="B26" s="294" t="s">
        <v>3497</v>
      </c>
      <c r="C26" s="294"/>
      <c r="D26" s="294"/>
      <c r="E26" s="294"/>
      <c r="F26" s="294"/>
      <c r="G26" s="294"/>
      <c r="H26" s="294"/>
      <c r="I26" s="294"/>
      <c r="J26" s="294"/>
      <c r="K26" s="294"/>
      <c r="L26" s="6"/>
    </row>
    <row r="27" spans="1:12" x14ac:dyDescent="0.2">
      <c r="A27" s="43">
        <v>1</v>
      </c>
      <c r="B27" s="7" t="s">
        <v>508</v>
      </c>
      <c r="C27" s="7" t="s">
        <v>509</v>
      </c>
      <c r="D27" s="7" t="s">
        <v>3498</v>
      </c>
      <c r="E27" s="7" t="s">
        <v>3387</v>
      </c>
      <c r="F27" s="7" t="s">
        <v>492</v>
      </c>
      <c r="G27" s="195" t="s">
        <v>3583</v>
      </c>
      <c r="H27" s="195" t="s">
        <v>3585</v>
      </c>
      <c r="I27" s="198" t="s">
        <v>2874</v>
      </c>
      <c r="J27" s="196"/>
      <c r="K27" s="7" t="s">
        <v>3585</v>
      </c>
      <c r="L27" s="7" t="s">
        <v>3391</v>
      </c>
    </row>
    <row r="28" spans="1:12" x14ac:dyDescent="0.2">
      <c r="B28" s="6"/>
      <c r="C28" s="6"/>
      <c r="D28" s="6"/>
      <c r="E28" s="6"/>
      <c r="F28" s="6"/>
      <c r="G28" s="6"/>
      <c r="H28" s="6"/>
      <c r="I28" s="6"/>
      <c r="J28" s="6"/>
      <c r="K28" s="6"/>
      <c r="L28" s="6"/>
    </row>
    <row r="29" spans="1:12" ht="18" x14ac:dyDescent="0.25">
      <c r="B29" s="8" t="s">
        <v>4022</v>
      </c>
      <c r="C29" s="8"/>
      <c r="D29" s="6"/>
      <c r="E29" s="6"/>
      <c r="F29" s="6"/>
      <c r="G29" s="6"/>
      <c r="H29" s="6"/>
      <c r="I29" s="6"/>
      <c r="J29" s="6"/>
      <c r="K29" s="6"/>
      <c r="L29" s="6"/>
    </row>
    <row r="30" spans="1:12" ht="15" x14ac:dyDescent="0.2">
      <c r="B30" s="9" t="s">
        <v>3499</v>
      </c>
      <c r="C30" s="9"/>
      <c r="D30" s="6"/>
      <c r="E30" s="6"/>
      <c r="F30" s="6"/>
      <c r="G30" s="6"/>
      <c r="H30" s="6"/>
      <c r="I30" s="6"/>
      <c r="J30" s="6"/>
      <c r="K30" s="6"/>
      <c r="L30" s="6"/>
    </row>
    <row r="31" spans="1:12" ht="14.25" x14ac:dyDescent="0.2">
      <c r="B31" s="11"/>
      <c r="C31" s="12" t="s">
        <v>18</v>
      </c>
      <c r="D31" s="6"/>
      <c r="E31" s="6"/>
      <c r="F31" s="6"/>
      <c r="G31" s="6"/>
      <c r="H31" s="6"/>
      <c r="I31" s="6"/>
      <c r="J31" s="6"/>
      <c r="K31" s="6"/>
      <c r="L31" s="6"/>
    </row>
    <row r="32" spans="1:12" ht="15" x14ac:dyDescent="0.2">
      <c r="B32" s="13" t="s">
        <v>0</v>
      </c>
      <c r="C32" s="13" t="s">
        <v>19</v>
      </c>
      <c r="D32" s="13" t="s">
        <v>20</v>
      </c>
      <c r="E32" s="13" t="s">
        <v>3593</v>
      </c>
      <c r="F32" s="6"/>
      <c r="G32" s="6"/>
      <c r="H32" s="6"/>
      <c r="I32" s="6"/>
      <c r="J32" s="6"/>
      <c r="K32" s="6"/>
      <c r="L32" s="6"/>
    </row>
    <row r="33" spans="1:12" x14ac:dyDescent="0.2">
      <c r="A33" s="43">
        <v>1</v>
      </c>
      <c r="B33" s="18" t="s">
        <v>3480</v>
      </c>
      <c r="C33" s="18" t="s">
        <v>18</v>
      </c>
      <c r="D33" s="18" t="s">
        <v>306</v>
      </c>
      <c r="E33" s="18" t="s">
        <v>3590</v>
      </c>
      <c r="F33" s="6"/>
      <c r="G33" s="6"/>
      <c r="H33" s="6"/>
      <c r="I33" s="6"/>
      <c r="J33" s="6"/>
      <c r="K33" s="6"/>
      <c r="L33" s="6"/>
    </row>
    <row r="34" spans="1:12" x14ac:dyDescent="0.2">
      <c r="A34" s="43">
        <v>2</v>
      </c>
      <c r="B34" s="18" t="s">
        <v>3567</v>
      </c>
      <c r="C34" s="18" t="s">
        <v>18</v>
      </c>
      <c r="D34" s="18" t="s">
        <v>32</v>
      </c>
      <c r="E34" s="18" t="s">
        <v>1590</v>
      </c>
      <c r="F34" s="6"/>
      <c r="G34" s="6"/>
      <c r="H34" s="6"/>
      <c r="I34" s="6"/>
      <c r="J34" s="6"/>
      <c r="K34" s="6"/>
      <c r="L34" s="6"/>
    </row>
    <row r="35" spans="1:12" x14ac:dyDescent="0.2">
      <c r="A35" s="43">
        <v>3</v>
      </c>
      <c r="B35" s="18" t="s">
        <v>3428</v>
      </c>
      <c r="C35" s="18" t="s">
        <v>18</v>
      </c>
      <c r="D35" s="18" t="s">
        <v>3591</v>
      </c>
      <c r="E35" s="18" t="s">
        <v>1589</v>
      </c>
      <c r="F35" s="6"/>
      <c r="G35" s="6"/>
      <c r="H35" s="6"/>
      <c r="I35" s="6"/>
      <c r="J35" s="6"/>
      <c r="K35" s="6"/>
      <c r="L35" s="6"/>
    </row>
    <row r="36" spans="1:12" x14ac:dyDescent="0.2">
      <c r="B36" s="6"/>
      <c r="C36" s="6"/>
      <c r="D36" s="6"/>
      <c r="E36" s="6"/>
      <c r="F36" s="6"/>
      <c r="G36" s="6"/>
      <c r="H36" s="6"/>
      <c r="I36" s="6"/>
      <c r="J36" s="6"/>
      <c r="K36" s="6"/>
      <c r="L36" s="6"/>
    </row>
    <row r="37" spans="1:12" x14ac:dyDescent="0.2">
      <c r="B37" s="6"/>
      <c r="C37" s="6"/>
      <c r="D37" s="6"/>
      <c r="E37" s="6"/>
      <c r="F37" s="6"/>
      <c r="G37" s="6"/>
      <c r="H37" s="6"/>
      <c r="I37" s="6"/>
      <c r="J37" s="6"/>
      <c r="K37" s="6"/>
      <c r="L37" s="6"/>
    </row>
    <row r="38" spans="1:12" x14ac:dyDescent="0.2">
      <c r="B38" s="6"/>
      <c r="C38" s="6"/>
      <c r="D38" s="6"/>
      <c r="E38" s="6"/>
      <c r="F38" s="6"/>
      <c r="G38" s="6"/>
      <c r="H38" s="6"/>
      <c r="I38" s="6"/>
      <c r="J38" s="6"/>
      <c r="K38" s="6"/>
      <c r="L38" s="6"/>
    </row>
    <row r="39" spans="1:12" x14ac:dyDescent="0.2">
      <c r="B39" s="6"/>
      <c r="C39" s="6"/>
      <c r="D39" s="6"/>
      <c r="E39" s="6"/>
      <c r="F39" s="6"/>
      <c r="G39" s="6"/>
      <c r="H39" s="6"/>
      <c r="I39" s="6"/>
      <c r="J39" s="6"/>
      <c r="K39" s="6"/>
      <c r="L39" s="6"/>
    </row>
    <row r="40" spans="1:12" x14ac:dyDescent="0.2">
      <c r="B40" s="6"/>
      <c r="C40" s="6"/>
      <c r="D40" s="6"/>
      <c r="E40" s="6"/>
      <c r="F40" s="6"/>
      <c r="G40" s="6"/>
      <c r="H40" s="6"/>
      <c r="I40" s="6"/>
      <c r="J40" s="6"/>
      <c r="K40" s="6"/>
      <c r="L40" s="6"/>
    </row>
    <row r="41" spans="1:12" x14ac:dyDescent="0.2">
      <c r="B41" s="6"/>
      <c r="C41" s="6"/>
      <c r="D41" s="6"/>
      <c r="E41" s="6"/>
      <c r="F41" s="6"/>
      <c r="G41" s="6"/>
      <c r="H41" s="6"/>
      <c r="I41" s="6"/>
      <c r="J41" s="6"/>
      <c r="K41" s="6"/>
      <c r="L41" s="6"/>
    </row>
    <row r="42" spans="1:12" x14ac:dyDescent="0.2">
      <c r="B42" s="6"/>
      <c r="C42" s="6"/>
      <c r="D42" s="6"/>
      <c r="E42" s="6"/>
      <c r="F42" s="6"/>
      <c r="G42" s="6"/>
      <c r="H42" s="6"/>
      <c r="I42" s="6"/>
      <c r="J42" s="6"/>
      <c r="K42" s="6"/>
      <c r="L42" s="6"/>
    </row>
    <row r="43" spans="1:12" x14ac:dyDescent="0.2">
      <c r="B43" s="6"/>
      <c r="C43" s="6"/>
      <c r="D43" s="6"/>
      <c r="E43" s="6"/>
      <c r="F43" s="6"/>
      <c r="G43" s="6"/>
      <c r="H43" s="6"/>
      <c r="I43" s="6"/>
      <c r="J43" s="6"/>
      <c r="K43" s="6"/>
      <c r="L43" s="6"/>
    </row>
    <row r="44" spans="1:12" x14ac:dyDescent="0.2">
      <c r="B44" s="6"/>
      <c r="C44" s="6"/>
      <c r="D44" s="6"/>
      <c r="E44" s="6"/>
      <c r="F44" s="6"/>
      <c r="G44" s="6"/>
      <c r="H44" s="6"/>
      <c r="I44" s="6"/>
      <c r="J44" s="6"/>
      <c r="K44" s="6"/>
      <c r="L44" s="6"/>
    </row>
    <row r="45" spans="1:12" x14ac:dyDescent="0.2">
      <c r="B45" s="6"/>
      <c r="C45" s="6"/>
      <c r="D45" s="6"/>
      <c r="E45" s="6"/>
      <c r="F45" s="6"/>
      <c r="G45" s="6"/>
      <c r="H45" s="6"/>
      <c r="I45" s="6"/>
      <c r="J45" s="6"/>
      <c r="K45" s="6"/>
      <c r="L45" s="6"/>
    </row>
    <row r="46" spans="1:12" x14ac:dyDescent="0.2">
      <c r="B46" s="6"/>
      <c r="C46" s="6"/>
      <c r="D46" s="6"/>
      <c r="E46" s="6"/>
      <c r="F46" s="6"/>
      <c r="G46" s="6"/>
      <c r="H46" s="6"/>
      <c r="I46" s="6"/>
      <c r="J46" s="6"/>
      <c r="K46" s="6"/>
      <c r="L46" s="6"/>
    </row>
    <row r="47" spans="1:12" x14ac:dyDescent="0.2">
      <c r="B47" s="6"/>
      <c r="C47" s="6"/>
      <c r="D47" s="6"/>
      <c r="E47" s="6"/>
      <c r="F47" s="6"/>
      <c r="G47" s="6"/>
      <c r="H47" s="6"/>
      <c r="I47" s="6"/>
      <c r="J47" s="6"/>
      <c r="K47" s="6"/>
      <c r="L47" s="6"/>
    </row>
    <row r="48" spans="1:12" x14ac:dyDescent="0.2">
      <c r="B48" s="6"/>
      <c r="C48" s="6"/>
      <c r="D48" s="6"/>
      <c r="E48" s="6"/>
      <c r="F48" s="6"/>
      <c r="G48" s="6"/>
      <c r="H48" s="6"/>
      <c r="I48" s="6"/>
      <c r="J48" s="6"/>
      <c r="K48" s="6"/>
      <c r="L48" s="6"/>
    </row>
    <row r="49" spans="2:12" x14ac:dyDescent="0.2">
      <c r="B49" s="6"/>
      <c r="C49" s="6"/>
      <c r="D49" s="6"/>
      <c r="E49" s="6"/>
      <c r="F49" s="6"/>
      <c r="G49" s="6"/>
      <c r="H49" s="6"/>
      <c r="I49" s="6"/>
      <c r="J49" s="6"/>
      <c r="K49" s="6"/>
      <c r="L49" s="6"/>
    </row>
    <row r="50" spans="2:12" x14ac:dyDescent="0.2">
      <c r="B50" s="6"/>
      <c r="C50" s="6"/>
      <c r="D50" s="6"/>
      <c r="E50" s="6"/>
      <c r="F50" s="6"/>
      <c r="G50" s="6"/>
      <c r="H50" s="6"/>
      <c r="I50" s="6"/>
      <c r="J50" s="6"/>
      <c r="K50" s="6"/>
      <c r="L50" s="6"/>
    </row>
  </sheetData>
  <mergeCells count="18">
    <mergeCell ref="A1:L1"/>
    <mergeCell ref="A2:L2"/>
    <mergeCell ref="A3:L3"/>
    <mergeCell ref="A4:A5"/>
    <mergeCell ref="B4:B5"/>
    <mergeCell ref="C4:C5"/>
    <mergeCell ref="D4:D5"/>
    <mergeCell ref="E4:E5"/>
    <mergeCell ref="F4:F5"/>
    <mergeCell ref="G4:J4"/>
    <mergeCell ref="K4:K5"/>
    <mergeCell ref="B26:K26"/>
    <mergeCell ref="L4:L5"/>
    <mergeCell ref="B6:K6"/>
    <mergeCell ref="B9:K9"/>
    <mergeCell ref="B12:K12"/>
    <mergeCell ref="B15:K15"/>
    <mergeCell ref="B21:K2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J10" sqref="J10"/>
    </sheetView>
  </sheetViews>
  <sheetFormatPr defaultColWidth="8.7109375" defaultRowHeight="12.75" x14ac:dyDescent="0.2"/>
  <cols>
    <col min="2" max="2" width="21.85546875" customWidth="1"/>
    <col min="3" max="3" width="25.85546875" customWidth="1"/>
    <col min="4" max="4" width="12.28515625" customWidth="1"/>
    <col min="5" max="5" width="19.28515625" customWidth="1"/>
    <col min="6" max="6" width="29" customWidth="1"/>
    <col min="7" max="7" width="12.5703125" customWidth="1"/>
    <col min="8" max="8" width="20.5703125" customWidth="1"/>
  </cols>
  <sheetData>
    <row r="1" spans="1:8" ht="30" x14ac:dyDescent="0.4">
      <c r="A1" s="345" t="s">
        <v>4053</v>
      </c>
      <c r="B1" s="340"/>
      <c r="C1" s="340"/>
      <c r="D1" s="340"/>
      <c r="E1" s="340"/>
      <c r="F1" s="340"/>
      <c r="G1" s="340"/>
      <c r="H1" s="341"/>
    </row>
    <row r="2" spans="1:8" ht="30" x14ac:dyDescent="0.4">
      <c r="A2" s="335" t="s">
        <v>3592</v>
      </c>
      <c r="B2" s="317"/>
      <c r="C2" s="317"/>
      <c r="D2" s="317"/>
      <c r="E2" s="317"/>
      <c r="F2" s="317"/>
      <c r="G2" s="317"/>
      <c r="H2" s="318"/>
    </row>
    <row r="3" spans="1:8" ht="30.75" thickBot="1" x14ac:dyDescent="0.45">
      <c r="A3" s="336" t="s">
        <v>3381</v>
      </c>
      <c r="B3" s="319"/>
      <c r="C3" s="319"/>
      <c r="D3" s="319"/>
      <c r="E3" s="319"/>
      <c r="F3" s="319"/>
      <c r="G3" s="319"/>
      <c r="H3" s="320"/>
    </row>
    <row r="4" spans="1:8" ht="12.75" customHeight="1" x14ac:dyDescent="0.2">
      <c r="A4" s="297" t="s">
        <v>719</v>
      </c>
      <c r="B4" s="300" t="s">
        <v>0</v>
      </c>
      <c r="C4" s="302" t="s">
        <v>3382</v>
      </c>
      <c r="D4" s="302" t="s">
        <v>8</v>
      </c>
      <c r="E4" s="304" t="s">
        <v>1</v>
      </c>
      <c r="F4" s="305" t="s">
        <v>2819</v>
      </c>
      <c r="G4" s="304" t="s">
        <v>3593</v>
      </c>
      <c r="H4" s="307" t="s">
        <v>5</v>
      </c>
    </row>
    <row r="5" spans="1:8" ht="24.75" customHeight="1" thickBot="1" x14ac:dyDescent="0.25">
      <c r="A5" s="298"/>
      <c r="B5" s="301"/>
      <c r="C5" s="303"/>
      <c r="D5" s="303"/>
      <c r="E5" s="303"/>
      <c r="F5" s="306"/>
      <c r="G5" s="303"/>
      <c r="H5" s="310"/>
    </row>
    <row r="6" spans="1:8" ht="15" x14ac:dyDescent="0.2">
      <c r="B6" s="299" t="s">
        <v>3427</v>
      </c>
      <c r="C6" s="299"/>
      <c r="D6" s="299"/>
      <c r="E6" s="299"/>
      <c r="F6" s="299"/>
      <c r="G6" s="299"/>
      <c r="H6" s="6"/>
    </row>
    <row r="7" spans="1:8" x14ac:dyDescent="0.2">
      <c r="A7" s="43">
        <v>1</v>
      </c>
      <c r="B7" s="7" t="s">
        <v>3428</v>
      </c>
      <c r="C7" s="7" t="s">
        <v>3429</v>
      </c>
      <c r="D7" s="7" t="s">
        <v>3430</v>
      </c>
      <c r="E7" s="7" t="s">
        <v>3387</v>
      </c>
      <c r="F7" s="7" t="s">
        <v>3388</v>
      </c>
      <c r="G7" s="202" t="s">
        <v>3594</v>
      </c>
      <c r="H7" s="7" t="s">
        <v>3391</v>
      </c>
    </row>
    <row r="8" spans="1:8" x14ac:dyDescent="0.2">
      <c r="A8" s="43"/>
      <c r="B8" s="6"/>
      <c r="C8" s="6"/>
      <c r="D8" s="6"/>
      <c r="E8" s="6"/>
      <c r="F8" s="6"/>
      <c r="G8" s="6"/>
      <c r="H8" s="6"/>
    </row>
    <row r="9" spans="1:8" ht="15" x14ac:dyDescent="0.2">
      <c r="A9" s="43"/>
      <c r="B9" s="311" t="s">
        <v>3474</v>
      </c>
      <c r="C9" s="311"/>
      <c r="D9" s="311"/>
      <c r="E9" s="311"/>
      <c r="F9" s="311"/>
      <c r="G9" s="311"/>
      <c r="H9" s="6"/>
    </row>
    <row r="10" spans="1:8" x14ac:dyDescent="0.2">
      <c r="A10" s="43">
        <v>1</v>
      </c>
      <c r="B10" s="16" t="s">
        <v>3480</v>
      </c>
      <c r="C10" s="16" t="s">
        <v>3523</v>
      </c>
      <c r="D10" s="16" t="s">
        <v>2795</v>
      </c>
      <c r="E10" s="16" t="s">
        <v>3399</v>
      </c>
      <c r="F10" s="16" t="s">
        <v>3482</v>
      </c>
      <c r="G10" s="16" t="s">
        <v>3595</v>
      </c>
      <c r="H10" s="15" t="s">
        <v>3391</v>
      </c>
    </row>
    <row r="11" spans="1:8" x14ac:dyDescent="0.2">
      <c r="A11" s="43">
        <v>2</v>
      </c>
      <c r="B11" s="17" t="s">
        <v>3596</v>
      </c>
      <c r="C11" s="17" t="s">
        <v>3597</v>
      </c>
      <c r="D11" s="17" t="s">
        <v>986</v>
      </c>
      <c r="E11" s="17" t="s">
        <v>3423</v>
      </c>
      <c r="F11" s="17" t="s">
        <v>3388</v>
      </c>
      <c r="G11" s="17" t="s">
        <v>3598</v>
      </c>
      <c r="H11" s="17" t="s">
        <v>3391</v>
      </c>
    </row>
    <row r="12" spans="1:8" x14ac:dyDescent="0.2">
      <c r="B12" s="6"/>
      <c r="C12" s="6"/>
      <c r="D12" s="6"/>
      <c r="E12" s="6"/>
      <c r="F12" s="6"/>
      <c r="G12" s="6"/>
      <c r="H12" s="6"/>
    </row>
    <row r="13" spans="1:8" x14ac:dyDescent="0.2">
      <c r="B13" s="6"/>
      <c r="C13" s="6"/>
      <c r="D13" s="6"/>
      <c r="E13" s="6"/>
      <c r="F13" s="6"/>
      <c r="G13" s="6"/>
      <c r="H13" s="6"/>
    </row>
    <row r="14" spans="1:8" x14ac:dyDescent="0.2">
      <c r="B14" s="6"/>
      <c r="C14" s="6"/>
      <c r="D14" s="6"/>
      <c r="E14" s="6"/>
      <c r="F14" s="6"/>
      <c r="G14" s="6"/>
      <c r="H14" s="6"/>
    </row>
    <row r="15" spans="1:8" x14ac:dyDescent="0.2">
      <c r="B15" s="6"/>
      <c r="C15" s="6"/>
      <c r="D15" s="6"/>
      <c r="E15" s="6"/>
      <c r="F15" s="6"/>
      <c r="G15" s="6"/>
      <c r="H15" s="6"/>
    </row>
    <row r="16" spans="1:8" x14ac:dyDescent="0.2">
      <c r="B16" s="6"/>
      <c r="C16" s="6"/>
      <c r="D16" s="6"/>
      <c r="E16" s="6"/>
      <c r="F16" s="6"/>
      <c r="G16" s="6"/>
      <c r="H16" s="6"/>
    </row>
    <row r="17" spans="2:8" x14ac:dyDescent="0.2">
      <c r="B17" s="6"/>
      <c r="C17" s="6"/>
      <c r="D17" s="6"/>
      <c r="E17" s="6"/>
      <c r="F17" s="6"/>
      <c r="G17" s="6"/>
      <c r="H17" s="6"/>
    </row>
    <row r="18" spans="2:8" x14ac:dyDescent="0.2">
      <c r="B18" s="6"/>
      <c r="C18" s="6"/>
      <c r="D18" s="6"/>
      <c r="E18" s="6"/>
      <c r="F18" s="6"/>
      <c r="G18" s="6"/>
      <c r="H18" s="6"/>
    </row>
  </sheetData>
  <mergeCells count="13">
    <mergeCell ref="A1:H1"/>
    <mergeCell ref="A2:H2"/>
    <mergeCell ref="A3:H3"/>
    <mergeCell ref="A4:A5"/>
    <mergeCell ref="B6:G6"/>
    <mergeCell ref="H4:H5"/>
    <mergeCell ref="B9:G9"/>
    <mergeCell ref="B4:B5"/>
    <mergeCell ref="C4:C5"/>
    <mergeCell ref="D4:D5"/>
    <mergeCell ref="E4:E5"/>
    <mergeCell ref="F4:F5"/>
    <mergeCell ref="G4:G5"/>
  </mergeCells>
  <pageMargins left="0.7" right="0.7" top="0.75" bottom="0.75" header="0.3" footer="0.3"/>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G31" sqref="G31"/>
    </sheetView>
  </sheetViews>
  <sheetFormatPr defaultColWidth="8.7109375" defaultRowHeight="12.75" x14ac:dyDescent="0.2"/>
  <cols>
    <col min="1" max="1" width="7" style="43" bestFit="1" customWidth="1"/>
    <col min="2" max="2" width="21.42578125" style="6" bestFit="1" customWidth="1"/>
    <col min="3" max="3" width="22.140625" style="6" customWidth="1"/>
    <col min="4" max="4" width="10" style="18" customWidth="1"/>
    <col min="5" max="5" width="22.5703125" style="239" customWidth="1"/>
    <col min="6" max="6" width="37.42578125" style="239" customWidth="1"/>
    <col min="7" max="7" width="16.7109375" style="245" customWidth="1"/>
    <col min="8" max="8" width="17.85546875" style="258" customWidth="1"/>
  </cols>
  <sheetData>
    <row r="1" spans="1:8" ht="30" x14ac:dyDescent="0.4">
      <c r="A1" s="348" t="s">
        <v>4079</v>
      </c>
      <c r="B1" s="349"/>
      <c r="C1" s="349"/>
      <c r="D1" s="349"/>
      <c r="E1" s="349"/>
      <c r="F1" s="349"/>
      <c r="G1" s="349"/>
      <c r="H1" s="350"/>
    </row>
    <row r="2" spans="1:8" ht="30" x14ac:dyDescent="0.4">
      <c r="A2" s="351" t="s">
        <v>4117</v>
      </c>
      <c r="B2" s="352"/>
      <c r="C2" s="352"/>
      <c r="D2" s="352"/>
      <c r="E2" s="352"/>
      <c r="F2" s="352"/>
      <c r="G2" s="352"/>
      <c r="H2" s="353"/>
    </row>
    <row r="3" spans="1:8" ht="38.1" customHeight="1" thickBot="1" x14ac:dyDescent="0.45">
      <c r="A3" s="354" t="s">
        <v>4056</v>
      </c>
      <c r="B3" s="355"/>
      <c r="C3" s="355"/>
      <c r="D3" s="355"/>
      <c r="E3" s="355"/>
      <c r="F3" s="355"/>
      <c r="G3" s="352"/>
      <c r="H3" s="356"/>
    </row>
    <row r="4" spans="1:8" s="5" customFormat="1" ht="15" customHeight="1" x14ac:dyDescent="0.2">
      <c r="A4" s="300" t="s">
        <v>2842</v>
      </c>
      <c r="B4" s="312" t="s">
        <v>2820</v>
      </c>
      <c r="C4" s="357" t="s">
        <v>2843</v>
      </c>
      <c r="D4" s="357" t="s">
        <v>2844</v>
      </c>
      <c r="E4" s="304" t="s">
        <v>2822</v>
      </c>
      <c r="F4" s="305" t="s">
        <v>2841</v>
      </c>
      <c r="G4" s="248" t="s">
        <v>4232</v>
      </c>
      <c r="H4" s="346" t="s">
        <v>2826</v>
      </c>
    </row>
    <row r="5" spans="1:8" s="5" customFormat="1" ht="15.75" thickBot="1" x14ac:dyDescent="0.25">
      <c r="A5" s="301"/>
      <c r="B5" s="313"/>
      <c r="C5" s="358"/>
      <c r="D5" s="358"/>
      <c r="E5" s="303"/>
      <c r="F5" s="306"/>
      <c r="G5" s="249" t="s">
        <v>4233</v>
      </c>
      <c r="H5" s="347"/>
    </row>
    <row r="6" spans="1:8" ht="15" customHeight="1" x14ac:dyDescent="0.2">
      <c r="A6" s="299" t="s">
        <v>4080</v>
      </c>
      <c r="B6" s="299"/>
      <c r="C6" s="299"/>
      <c r="D6" s="299"/>
      <c r="E6" s="299"/>
      <c r="F6" s="299"/>
      <c r="G6" s="314"/>
      <c r="H6" s="299"/>
    </row>
    <row r="7" spans="1:8" x14ac:dyDescent="0.2">
      <c r="A7" s="43">
        <v>1</v>
      </c>
      <c r="B7" s="277" t="s">
        <v>3104</v>
      </c>
      <c r="C7" s="233"/>
      <c r="D7" s="274" t="s">
        <v>4090</v>
      </c>
      <c r="E7" s="233" t="s">
        <v>4231</v>
      </c>
      <c r="F7" s="274" t="s">
        <v>4237</v>
      </c>
      <c r="G7" s="88" t="s">
        <v>169</v>
      </c>
      <c r="H7" s="278" t="s">
        <v>3373</v>
      </c>
    </row>
    <row r="8" spans="1:8" x14ac:dyDescent="0.2">
      <c r="A8" s="43">
        <v>2</v>
      </c>
      <c r="B8" s="279" t="s">
        <v>4085</v>
      </c>
      <c r="C8" s="235"/>
      <c r="D8" s="275" t="s">
        <v>4091</v>
      </c>
      <c r="E8" s="235" t="s">
        <v>4231</v>
      </c>
      <c r="F8" s="275" t="s">
        <v>4235</v>
      </c>
      <c r="G8" s="89" t="s">
        <v>306</v>
      </c>
      <c r="H8" s="280" t="s">
        <v>3373</v>
      </c>
    </row>
    <row r="9" spans="1:8" x14ac:dyDescent="0.2">
      <c r="A9" s="43">
        <v>3</v>
      </c>
      <c r="B9" s="281" t="s">
        <v>4087</v>
      </c>
      <c r="C9" s="234"/>
      <c r="D9" s="276" t="s">
        <v>4086</v>
      </c>
      <c r="E9" s="234" t="s">
        <v>4231</v>
      </c>
      <c r="F9" s="276" t="s">
        <v>4236</v>
      </c>
      <c r="G9" s="90" t="s">
        <v>306</v>
      </c>
      <c r="H9" s="282" t="s">
        <v>3373</v>
      </c>
    </row>
    <row r="10" spans="1:8" x14ac:dyDescent="0.2">
      <c r="B10" s="239"/>
      <c r="C10" s="239"/>
      <c r="D10" s="239"/>
      <c r="G10" s="283"/>
      <c r="H10" s="284"/>
    </row>
    <row r="11" spans="1:8" ht="14.1" customHeight="1" x14ac:dyDescent="0.2">
      <c r="A11" s="314" t="s">
        <v>4081</v>
      </c>
      <c r="B11" s="314"/>
      <c r="C11" s="314"/>
      <c r="D11" s="314"/>
      <c r="E11" s="314"/>
      <c r="F11" s="314"/>
      <c r="G11" s="314"/>
      <c r="H11" s="314"/>
    </row>
    <row r="12" spans="1:8" x14ac:dyDescent="0.2">
      <c r="A12" s="43">
        <v>1</v>
      </c>
      <c r="B12" s="277" t="s">
        <v>4102</v>
      </c>
      <c r="C12" s="233"/>
      <c r="D12" s="274" t="s">
        <v>4111</v>
      </c>
      <c r="E12" s="233" t="s">
        <v>4231</v>
      </c>
      <c r="F12" s="274" t="s">
        <v>4235</v>
      </c>
      <c r="G12" s="88" t="s">
        <v>4118</v>
      </c>
      <c r="H12" s="278" t="s">
        <v>3373</v>
      </c>
    </row>
    <row r="13" spans="1:8" x14ac:dyDescent="0.2">
      <c r="A13" s="43">
        <v>2</v>
      </c>
      <c r="B13" s="279" t="s">
        <v>4101</v>
      </c>
      <c r="C13" s="235"/>
      <c r="D13" s="275" t="s">
        <v>4110</v>
      </c>
      <c r="E13" s="235" t="s">
        <v>4231</v>
      </c>
      <c r="F13" s="275" t="s">
        <v>4238</v>
      </c>
      <c r="G13" s="89" t="s">
        <v>4094</v>
      </c>
      <c r="H13" s="280" t="s">
        <v>3373</v>
      </c>
    </row>
    <row r="14" spans="1:8" x14ac:dyDescent="0.2">
      <c r="A14" s="43">
        <v>3</v>
      </c>
      <c r="B14" s="281" t="s">
        <v>4103</v>
      </c>
      <c r="C14" s="234"/>
      <c r="D14" s="276" t="s">
        <v>4112</v>
      </c>
      <c r="E14" s="234" t="s">
        <v>4231</v>
      </c>
      <c r="F14" s="276" t="s">
        <v>4239</v>
      </c>
      <c r="G14" s="90" t="s">
        <v>306</v>
      </c>
      <c r="H14" s="282" t="s">
        <v>3373</v>
      </c>
    </row>
    <row r="15" spans="1:8" x14ac:dyDescent="0.2">
      <c r="B15" s="239"/>
      <c r="C15" s="239"/>
      <c r="D15" s="239"/>
      <c r="G15" s="283"/>
      <c r="H15" s="284"/>
    </row>
    <row r="16" spans="1:8" ht="15" customHeight="1" x14ac:dyDescent="0.2">
      <c r="A16" s="314" t="s">
        <v>4082</v>
      </c>
      <c r="B16" s="314"/>
      <c r="C16" s="314"/>
      <c r="D16" s="314"/>
      <c r="E16" s="314"/>
      <c r="F16" s="314"/>
      <c r="G16" s="314"/>
      <c r="H16" s="314"/>
    </row>
    <row r="17" spans="1:8" x14ac:dyDescent="0.2">
      <c r="A17" s="43">
        <v>1</v>
      </c>
      <c r="B17" s="277" t="s">
        <v>4107</v>
      </c>
      <c r="C17" s="233"/>
      <c r="D17" s="274" t="s">
        <v>116</v>
      </c>
      <c r="E17" s="233" t="s">
        <v>4231</v>
      </c>
      <c r="F17" s="274" t="s">
        <v>4241</v>
      </c>
      <c r="G17" s="88" t="s">
        <v>4115</v>
      </c>
      <c r="H17" s="278" t="s">
        <v>3373</v>
      </c>
    </row>
    <row r="18" spans="1:8" x14ac:dyDescent="0.2">
      <c r="A18" s="43">
        <v>2</v>
      </c>
      <c r="B18" s="279" t="s">
        <v>4106</v>
      </c>
      <c r="C18" s="235"/>
      <c r="D18" s="275" t="s">
        <v>127</v>
      </c>
      <c r="E18" s="235" t="s">
        <v>4231</v>
      </c>
      <c r="F18" s="275" t="s">
        <v>4242</v>
      </c>
      <c r="G18" s="89" t="s">
        <v>4115</v>
      </c>
      <c r="H18" s="280" t="s">
        <v>3373</v>
      </c>
    </row>
    <row r="19" spans="1:8" x14ac:dyDescent="0.2">
      <c r="A19" s="43">
        <v>3</v>
      </c>
      <c r="B19" s="279" t="s">
        <v>4105</v>
      </c>
      <c r="C19" s="235"/>
      <c r="D19" s="275" t="s">
        <v>4114</v>
      </c>
      <c r="E19" s="235" t="s">
        <v>4231</v>
      </c>
      <c r="F19" s="275" t="s">
        <v>4240</v>
      </c>
      <c r="G19" s="89" t="s">
        <v>692</v>
      </c>
      <c r="H19" s="280" t="s">
        <v>3373</v>
      </c>
    </row>
    <row r="20" spans="1:8" x14ac:dyDescent="0.2">
      <c r="A20" s="43">
        <v>4</v>
      </c>
      <c r="B20" s="281" t="s">
        <v>4108</v>
      </c>
      <c r="C20" s="234"/>
      <c r="D20" s="276" t="s">
        <v>4116</v>
      </c>
      <c r="E20" s="234" t="s">
        <v>4231</v>
      </c>
      <c r="F20" s="276" t="s">
        <v>4235</v>
      </c>
      <c r="G20" s="90" t="s">
        <v>692</v>
      </c>
      <c r="H20" s="282" t="s">
        <v>3373</v>
      </c>
    </row>
    <row r="21" spans="1:8" x14ac:dyDescent="0.2">
      <c r="B21" s="239"/>
      <c r="C21" s="239"/>
      <c r="D21" s="239"/>
      <c r="G21" s="283"/>
      <c r="H21" s="284"/>
    </row>
    <row r="22" spans="1:8" x14ac:dyDescent="0.2">
      <c r="B22" s="239"/>
      <c r="C22" s="239"/>
      <c r="D22" s="239"/>
      <c r="G22" s="283"/>
      <c r="H22" s="284"/>
    </row>
    <row r="23" spans="1:8" x14ac:dyDescent="0.2">
      <c r="B23" s="239"/>
      <c r="C23" s="239"/>
      <c r="D23" s="239"/>
      <c r="G23" s="283"/>
      <c r="H23" s="284"/>
    </row>
    <row r="24" spans="1:8" x14ac:dyDescent="0.2">
      <c r="B24" s="239"/>
      <c r="C24" s="239"/>
      <c r="D24" s="239"/>
      <c r="G24" s="283"/>
      <c r="H24" s="284"/>
    </row>
    <row r="25" spans="1:8" x14ac:dyDescent="0.2">
      <c r="B25" s="239"/>
      <c r="C25" s="239"/>
      <c r="D25" s="239"/>
      <c r="G25" s="283"/>
      <c r="H25" s="284"/>
    </row>
    <row r="26" spans="1:8" x14ac:dyDescent="0.2">
      <c r="B26" s="239"/>
      <c r="C26" s="239"/>
      <c r="D26" s="239"/>
      <c r="G26" s="283"/>
      <c r="H26" s="284"/>
    </row>
    <row r="27" spans="1:8" x14ac:dyDescent="0.2">
      <c r="B27" s="239"/>
      <c r="C27" s="239"/>
      <c r="D27" s="239"/>
      <c r="G27" s="283"/>
      <c r="H27" s="284"/>
    </row>
    <row r="28" spans="1:8" x14ac:dyDescent="0.2">
      <c r="B28" s="239"/>
      <c r="C28" s="239"/>
      <c r="D28" s="239"/>
      <c r="G28" s="283"/>
      <c r="H28" s="284"/>
    </row>
    <row r="29" spans="1:8" x14ac:dyDescent="0.2">
      <c r="B29" s="239"/>
      <c r="C29" s="239"/>
      <c r="D29" s="239"/>
      <c r="G29" s="283"/>
      <c r="H29" s="284"/>
    </row>
    <row r="30" spans="1:8" x14ac:dyDescent="0.2">
      <c r="B30" s="239"/>
      <c r="C30" s="239"/>
      <c r="D30" s="239"/>
      <c r="G30" s="283"/>
      <c r="H30" s="284"/>
    </row>
    <row r="31" spans="1:8" x14ac:dyDescent="0.2">
      <c r="B31" s="239"/>
      <c r="C31" s="239"/>
      <c r="D31" s="239"/>
      <c r="G31" s="283"/>
      <c r="H31" s="284"/>
    </row>
  </sheetData>
  <mergeCells count="13">
    <mergeCell ref="A16:H16"/>
    <mergeCell ref="H4:H5"/>
    <mergeCell ref="A6:H6"/>
    <mergeCell ref="A11:H11"/>
    <mergeCell ref="A1:H1"/>
    <mergeCell ref="A2:H2"/>
    <mergeCell ref="A3:H3"/>
    <mergeCell ref="A4:A5"/>
    <mergeCell ref="B4:B5"/>
    <mergeCell ref="C4:C5"/>
    <mergeCell ref="D4:D5"/>
    <mergeCell ref="E4:E5"/>
    <mergeCell ref="F4:F5"/>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G17" sqref="G17:H18"/>
    </sheetView>
  </sheetViews>
  <sheetFormatPr defaultColWidth="8.7109375" defaultRowHeight="12.75" x14ac:dyDescent="0.2"/>
  <cols>
    <col min="1" max="1" width="7" style="43" bestFit="1" customWidth="1"/>
    <col min="2" max="2" width="21.42578125" style="6" bestFit="1" customWidth="1"/>
    <col min="3" max="3" width="22.28515625" style="6" customWidth="1"/>
    <col min="4" max="4" width="10" style="18" customWidth="1"/>
    <col min="5" max="5" width="22.5703125" style="18" customWidth="1"/>
    <col min="6" max="6" width="36" style="18" customWidth="1"/>
    <col min="7" max="7" width="9" style="245" customWidth="1"/>
    <col min="8" max="8" width="8.5703125" style="245" customWidth="1"/>
    <col min="9" max="9" width="14.28515625" style="258" customWidth="1"/>
  </cols>
  <sheetData>
    <row r="1" spans="1:9" ht="35.1" customHeight="1" x14ac:dyDescent="0.4">
      <c r="A1" s="348" t="s">
        <v>4079</v>
      </c>
      <c r="B1" s="349"/>
      <c r="C1" s="349"/>
      <c r="D1" s="349"/>
      <c r="E1" s="349"/>
      <c r="F1" s="349"/>
      <c r="G1" s="349"/>
      <c r="H1" s="349"/>
      <c r="I1" s="350"/>
    </row>
    <row r="2" spans="1:9" ht="30" x14ac:dyDescent="0.4">
      <c r="A2" s="351" t="s">
        <v>4092</v>
      </c>
      <c r="B2" s="352"/>
      <c r="C2" s="352"/>
      <c r="D2" s="352"/>
      <c r="E2" s="352"/>
      <c r="F2" s="352"/>
      <c r="G2" s="352"/>
      <c r="H2" s="352"/>
      <c r="I2" s="353"/>
    </row>
    <row r="3" spans="1:9" ht="30.75" thickBot="1" x14ac:dyDescent="0.45">
      <c r="A3" s="354" t="s">
        <v>4056</v>
      </c>
      <c r="B3" s="355"/>
      <c r="C3" s="355"/>
      <c r="D3" s="355"/>
      <c r="E3" s="355"/>
      <c r="F3" s="355"/>
      <c r="G3" s="355"/>
      <c r="H3" s="355"/>
      <c r="I3" s="356"/>
    </row>
    <row r="4" spans="1:9" s="5" customFormat="1" ht="15" customHeight="1" x14ac:dyDescent="0.2">
      <c r="A4" s="300" t="s">
        <v>2842</v>
      </c>
      <c r="B4" s="312" t="s">
        <v>2820</v>
      </c>
      <c r="C4" s="357" t="s">
        <v>2843</v>
      </c>
      <c r="D4" s="357" t="s">
        <v>2844</v>
      </c>
      <c r="E4" s="304" t="s">
        <v>2822</v>
      </c>
      <c r="F4" s="305" t="s">
        <v>2841</v>
      </c>
      <c r="G4" s="304" t="s">
        <v>4232</v>
      </c>
      <c r="H4" s="304"/>
      <c r="I4" s="346" t="s">
        <v>2826</v>
      </c>
    </row>
    <row r="5" spans="1:9" s="5" customFormat="1" ht="15.75" thickBot="1" x14ac:dyDescent="0.25">
      <c r="A5" s="301"/>
      <c r="B5" s="313"/>
      <c r="C5" s="358"/>
      <c r="D5" s="358"/>
      <c r="E5" s="303"/>
      <c r="F5" s="306"/>
      <c r="G5" s="2" t="s">
        <v>2847</v>
      </c>
      <c r="H5" s="2" t="s">
        <v>2846</v>
      </c>
      <c r="I5" s="347"/>
    </row>
    <row r="6" spans="1:9" ht="14.1" customHeight="1" x14ac:dyDescent="0.2">
      <c r="A6" s="299" t="s">
        <v>4080</v>
      </c>
      <c r="B6" s="299"/>
      <c r="C6" s="299"/>
      <c r="D6" s="299"/>
      <c r="E6" s="299"/>
      <c r="F6" s="299"/>
      <c r="G6" s="299"/>
      <c r="H6" s="299"/>
      <c r="I6" s="299"/>
    </row>
    <row r="7" spans="1:9" x14ac:dyDescent="0.2">
      <c r="A7" s="43">
        <v>1</v>
      </c>
      <c r="B7" s="277" t="s">
        <v>4083</v>
      </c>
      <c r="C7" s="274"/>
      <c r="D7" s="274" t="s">
        <v>4084</v>
      </c>
      <c r="E7" s="274" t="s">
        <v>4231</v>
      </c>
      <c r="F7" s="233" t="s">
        <v>4245</v>
      </c>
      <c r="G7" s="246" t="s">
        <v>32</v>
      </c>
      <c r="H7" s="246" t="s">
        <v>2886</v>
      </c>
      <c r="I7" s="76" t="s">
        <v>3373</v>
      </c>
    </row>
    <row r="8" spans="1:9" x14ac:dyDescent="0.2">
      <c r="A8" s="43">
        <v>2</v>
      </c>
      <c r="B8" s="279" t="s">
        <v>4085</v>
      </c>
      <c r="C8" s="275"/>
      <c r="D8" s="275" t="s">
        <v>4091</v>
      </c>
      <c r="E8" s="275" t="s">
        <v>4231</v>
      </c>
      <c r="F8" s="235" t="s">
        <v>4235</v>
      </c>
      <c r="G8" s="86" t="s">
        <v>32</v>
      </c>
      <c r="H8" s="86" t="s">
        <v>4095</v>
      </c>
      <c r="I8" s="77" t="s">
        <v>3373</v>
      </c>
    </row>
    <row r="9" spans="1:9" x14ac:dyDescent="0.2">
      <c r="A9" s="43">
        <v>3</v>
      </c>
      <c r="B9" s="279" t="s">
        <v>4087</v>
      </c>
      <c r="C9" s="275"/>
      <c r="D9" s="275" t="s">
        <v>4086</v>
      </c>
      <c r="E9" s="275" t="s">
        <v>4231</v>
      </c>
      <c r="F9" s="235" t="s">
        <v>4236</v>
      </c>
      <c r="G9" s="86" t="s">
        <v>32</v>
      </c>
      <c r="H9" s="86" t="s">
        <v>4095</v>
      </c>
      <c r="I9" s="77" t="s">
        <v>3373</v>
      </c>
    </row>
    <row r="10" spans="1:9" x14ac:dyDescent="0.2">
      <c r="A10" s="43">
        <v>4</v>
      </c>
      <c r="B10" s="281" t="s">
        <v>4088</v>
      </c>
      <c r="C10" s="276"/>
      <c r="D10" s="276" t="s">
        <v>4089</v>
      </c>
      <c r="E10" s="276" t="s">
        <v>4231</v>
      </c>
      <c r="F10" s="234" t="s">
        <v>4243</v>
      </c>
      <c r="G10" s="247" t="s">
        <v>32</v>
      </c>
      <c r="H10" s="247" t="s">
        <v>4096</v>
      </c>
      <c r="I10" s="78" t="s">
        <v>3373</v>
      </c>
    </row>
    <row r="11" spans="1:9" x14ac:dyDescent="0.2">
      <c r="B11" s="239"/>
      <c r="C11" s="239"/>
      <c r="D11" s="239"/>
      <c r="E11" s="239"/>
      <c r="F11" s="239"/>
      <c r="G11" s="283"/>
      <c r="H11" s="283"/>
      <c r="I11" s="284"/>
    </row>
    <row r="12" spans="1:9" ht="15" customHeight="1" x14ac:dyDescent="0.2">
      <c r="A12" s="314" t="s">
        <v>4081</v>
      </c>
      <c r="B12" s="314"/>
      <c r="C12" s="314"/>
      <c r="D12" s="314"/>
      <c r="E12" s="314"/>
      <c r="F12" s="314"/>
      <c r="G12" s="314"/>
      <c r="H12" s="314"/>
      <c r="I12" s="314"/>
    </row>
    <row r="13" spans="1:9" x14ac:dyDescent="0.2">
      <c r="A13" s="43">
        <v>1</v>
      </c>
      <c r="B13" s="277" t="s">
        <v>4100</v>
      </c>
      <c r="C13" s="274"/>
      <c r="D13" s="274" t="s">
        <v>4109</v>
      </c>
      <c r="E13" s="274" t="s">
        <v>4231</v>
      </c>
      <c r="F13" s="274" t="s">
        <v>4237</v>
      </c>
      <c r="G13" s="246" t="s">
        <v>4093</v>
      </c>
      <c r="H13" s="246" t="s">
        <v>4097</v>
      </c>
      <c r="I13" s="278" t="s">
        <v>3373</v>
      </c>
    </row>
    <row r="14" spans="1:9" x14ac:dyDescent="0.2">
      <c r="A14" s="43">
        <v>2</v>
      </c>
      <c r="B14" s="281" t="s">
        <v>4101</v>
      </c>
      <c r="C14" s="276"/>
      <c r="D14" s="276" t="s">
        <v>4110</v>
      </c>
      <c r="E14" s="276" t="s">
        <v>4231</v>
      </c>
      <c r="F14" s="276" t="s">
        <v>4238</v>
      </c>
      <c r="G14" s="247" t="s">
        <v>4093</v>
      </c>
      <c r="H14" s="247" t="s">
        <v>4098</v>
      </c>
      <c r="I14" s="282" t="s">
        <v>3373</v>
      </c>
    </row>
    <row r="15" spans="1:9" x14ac:dyDescent="0.2">
      <c r="B15" s="239"/>
      <c r="C15" s="239"/>
      <c r="D15" s="239"/>
      <c r="E15" s="239"/>
      <c r="F15" s="239"/>
      <c r="G15" s="283"/>
      <c r="H15" s="283"/>
      <c r="I15" s="284"/>
    </row>
    <row r="16" spans="1:9" ht="15" customHeight="1" x14ac:dyDescent="0.2">
      <c r="A16" s="314" t="s">
        <v>4082</v>
      </c>
      <c r="B16" s="314"/>
      <c r="C16" s="314"/>
      <c r="D16" s="314"/>
      <c r="E16" s="314"/>
      <c r="F16" s="314"/>
      <c r="G16" s="314"/>
      <c r="H16" s="314"/>
      <c r="I16" s="314"/>
    </row>
    <row r="17" spans="1:9" x14ac:dyDescent="0.2">
      <c r="A17" s="43">
        <v>1</v>
      </c>
      <c r="B17" s="277" t="s">
        <v>4104</v>
      </c>
      <c r="C17" s="274"/>
      <c r="D17" s="274" t="s">
        <v>4113</v>
      </c>
      <c r="E17" s="274" t="s">
        <v>4231</v>
      </c>
      <c r="F17" s="274" t="s">
        <v>4244</v>
      </c>
      <c r="G17" s="246" t="s">
        <v>4094</v>
      </c>
      <c r="H17" s="246" t="s">
        <v>4099</v>
      </c>
      <c r="I17" s="278" t="s">
        <v>3373</v>
      </c>
    </row>
    <row r="18" spans="1:9" x14ac:dyDescent="0.2">
      <c r="A18" s="43">
        <v>2</v>
      </c>
      <c r="B18" s="281" t="s">
        <v>4105</v>
      </c>
      <c r="C18" s="276"/>
      <c r="D18" s="276" t="s">
        <v>4114</v>
      </c>
      <c r="E18" s="276" t="s">
        <v>4231</v>
      </c>
      <c r="F18" s="276" t="s">
        <v>4240</v>
      </c>
      <c r="G18" s="247" t="s">
        <v>4094</v>
      </c>
      <c r="H18" s="247" t="s">
        <v>4099</v>
      </c>
      <c r="I18" s="282" t="s">
        <v>3373</v>
      </c>
    </row>
  </sheetData>
  <mergeCells count="14">
    <mergeCell ref="A1:I1"/>
    <mergeCell ref="A2:I2"/>
    <mergeCell ref="A3:I3"/>
    <mergeCell ref="A4:A5"/>
    <mergeCell ref="B4:B5"/>
    <mergeCell ref="C4:C5"/>
    <mergeCell ref="I4:I5"/>
    <mergeCell ref="A6:I6"/>
    <mergeCell ref="A12:I12"/>
    <mergeCell ref="A16:I16"/>
    <mergeCell ref="D4:D5"/>
    <mergeCell ref="E4:E5"/>
    <mergeCell ref="F4:F5"/>
    <mergeCell ref="G4:H4"/>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0"/>
  <sheetViews>
    <sheetView topLeftCell="C134" workbookViewId="0">
      <selection activeCell="F82" sqref="F82"/>
    </sheetView>
  </sheetViews>
  <sheetFormatPr defaultColWidth="8.7109375" defaultRowHeight="12.75" x14ac:dyDescent="0.2"/>
  <cols>
    <col min="2" max="2" width="25" style="6" customWidth="1"/>
    <col min="3" max="3" width="27.7109375" style="6" customWidth="1"/>
    <col min="4" max="4" width="10.5703125" style="6" bestFit="1" customWidth="1"/>
    <col min="5" max="5" width="8.42578125" style="6" bestFit="1" customWidth="1"/>
    <col min="6" max="6" width="21.140625" style="6" customWidth="1"/>
    <col min="7" max="7" width="34.42578125" style="6" customWidth="1"/>
    <col min="8" max="8" width="6.28515625" style="6" customWidth="1"/>
    <col min="9" max="9" width="5.5703125" style="6" customWidth="1"/>
    <col min="10" max="10" width="5.140625" style="6" customWidth="1"/>
    <col min="11" max="11" width="5.28515625" style="6" customWidth="1"/>
    <col min="12" max="12" width="7.85546875" style="6" customWidth="1"/>
    <col min="13" max="13" width="9.5703125" style="6" customWidth="1"/>
    <col min="14" max="14" width="7.85546875" style="6" bestFit="1" customWidth="1"/>
    <col min="15" max="15" width="10.5703125" style="6" customWidth="1"/>
    <col min="16" max="16" width="18.28515625" style="6" bestFit="1" customWidth="1"/>
    <col min="258" max="258" width="26" bestFit="1" customWidth="1"/>
    <col min="259" max="259" width="21.42578125" bestFit="1" customWidth="1"/>
    <col min="260" max="260" width="10.5703125" bestFit="1" customWidth="1"/>
    <col min="261" max="261" width="8.42578125" bestFit="1" customWidth="1"/>
    <col min="262" max="262" width="22.7109375" bestFit="1" customWidth="1"/>
    <col min="263" max="263" width="25" bestFit="1" customWidth="1"/>
    <col min="264" max="264" width="4.5703125" bestFit="1" customWidth="1"/>
    <col min="265" max="266" width="2.140625" bestFit="1" customWidth="1"/>
    <col min="267" max="269" width="4.5703125" bestFit="1" customWidth="1"/>
    <col min="270" max="270" width="7.85546875" bestFit="1" customWidth="1"/>
    <col min="271" max="271" width="9.5703125" bestFit="1" customWidth="1"/>
    <col min="272" max="272" width="18.28515625" bestFit="1" customWidth="1"/>
    <col min="514" max="514" width="26" bestFit="1" customWidth="1"/>
    <col min="515" max="515" width="21.42578125" bestFit="1" customWidth="1"/>
    <col min="516" max="516" width="10.5703125" bestFit="1" customWidth="1"/>
    <col min="517" max="517" width="8.42578125" bestFit="1" customWidth="1"/>
    <col min="518" max="518" width="22.7109375" bestFit="1" customWidth="1"/>
    <col min="519" max="519" width="25" bestFit="1" customWidth="1"/>
    <col min="520" max="520" width="4.5703125" bestFit="1" customWidth="1"/>
    <col min="521" max="522" width="2.140625" bestFit="1" customWidth="1"/>
    <col min="523" max="525" width="4.5703125" bestFit="1" customWidth="1"/>
    <col min="526" max="526" width="7.85546875" bestFit="1" customWidth="1"/>
    <col min="527" max="527" width="9.5703125" bestFit="1" customWidth="1"/>
    <col min="528" max="528" width="18.28515625" bestFit="1" customWidth="1"/>
    <col min="770" max="770" width="26" bestFit="1" customWidth="1"/>
    <col min="771" max="771" width="21.42578125" bestFit="1" customWidth="1"/>
    <col min="772" max="772" width="10.5703125" bestFit="1" customWidth="1"/>
    <col min="773" max="773" width="8.42578125" bestFit="1" customWidth="1"/>
    <col min="774" max="774" width="22.7109375" bestFit="1" customWidth="1"/>
    <col min="775" max="775" width="25" bestFit="1" customWidth="1"/>
    <col min="776" max="776" width="4.5703125" bestFit="1" customWidth="1"/>
    <col min="777" max="778" width="2.140625" bestFit="1" customWidth="1"/>
    <col min="779" max="781" width="4.5703125" bestFit="1" customWidth="1"/>
    <col min="782" max="782" width="7.85546875" bestFit="1" customWidth="1"/>
    <col min="783" max="783" width="9.5703125" bestFit="1" customWidth="1"/>
    <col min="784" max="784" width="18.28515625" bestFit="1" customWidth="1"/>
    <col min="1026" max="1026" width="26" bestFit="1" customWidth="1"/>
    <col min="1027" max="1027" width="21.42578125" bestFit="1" customWidth="1"/>
    <col min="1028" max="1028" width="10.5703125" bestFit="1" customWidth="1"/>
    <col min="1029" max="1029" width="8.42578125" bestFit="1" customWidth="1"/>
    <col min="1030" max="1030" width="22.7109375" bestFit="1" customWidth="1"/>
    <col min="1031" max="1031" width="25" bestFit="1" customWidth="1"/>
    <col min="1032" max="1032" width="4.5703125" bestFit="1" customWidth="1"/>
    <col min="1033" max="1034" width="2.140625" bestFit="1" customWidth="1"/>
    <col min="1035" max="1037" width="4.5703125" bestFit="1" customWidth="1"/>
    <col min="1038" max="1038" width="7.85546875" bestFit="1" customWidth="1"/>
    <col min="1039" max="1039" width="9.5703125" bestFit="1" customWidth="1"/>
    <col min="1040" max="1040" width="18.28515625" bestFit="1" customWidth="1"/>
    <col min="1282" max="1282" width="26" bestFit="1" customWidth="1"/>
    <col min="1283" max="1283" width="21.42578125" bestFit="1" customWidth="1"/>
    <col min="1284" max="1284" width="10.5703125" bestFit="1" customWidth="1"/>
    <col min="1285" max="1285" width="8.42578125" bestFit="1" customWidth="1"/>
    <col min="1286" max="1286" width="22.7109375" bestFit="1" customWidth="1"/>
    <col min="1287" max="1287" width="25" bestFit="1" customWidth="1"/>
    <col min="1288" max="1288" width="4.5703125" bestFit="1" customWidth="1"/>
    <col min="1289" max="1290" width="2.140625" bestFit="1" customWidth="1"/>
    <col min="1291" max="1293" width="4.5703125" bestFit="1" customWidth="1"/>
    <col min="1294" max="1294" width="7.85546875" bestFit="1" customWidth="1"/>
    <col min="1295" max="1295" width="9.5703125" bestFit="1" customWidth="1"/>
    <col min="1296" max="1296" width="18.28515625" bestFit="1" customWidth="1"/>
    <col min="1538" max="1538" width="26" bestFit="1" customWidth="1"/>
    <col min="1539" max="1539" width="21.42578125" bestFit="1" customWidth="1"/>
    <col min="1540" max="1540" width="10.5703125" bestFit="1" customWidth="1"/>
    <col min="1541" max="1541" width="8.42578125" bestFit="1" customWidth="1"/>
    <col min="1542" max="1542" width="22.7109375" bestFit="1" customWidth="1"/>
    <col min="1543" max="1543" width="25" bestFit="1" customWidth="1"/>
    <col min="1544" max="1544" width="4.5703125" bestFit="1" customWidth="1"/>
    <col min="1545" max="1546" width="2.140625" bestFit="1" customWidth="1"/>
    <col min="1547" max="1549" width="4.5703125" bestFit="1" customWidth="1"/>
    <col min="1550" max="1550" width="7.85546875" bestFit="1" customWidth="1"/>
    <col min="1551" max="1551" width="9.5703125" bestFit="1" customWidth="1"/>
    <col min="1552" max="1552" width="18.28515625" bestFit="1" customWidth="1"/>
    <col min="1794" max="1794" width="26" bestFit="1" customWidth="1"/>
    <col min="1795" max="1795" width="21.42578125" bestFit="1" customWidth="1"/>
    <col min="1796" max="1796" width="10.5703125" bestFit="1" customWidth="1"/>
    <col min="1797" max="1797" width="8.42578125" bestFit="1" customWidth="1"/>
    <col min="1798" max="1798" width="22.7109375" bestFit="1" customWidth="1"/>
    <col min="1799" max="1799" width="25" bestFit="1" customWidth="1"/>
    <col min="1800" max="1800" width="4.5703125" bestFit="1" customWidth="1"/>
    <col min="1801" max="1802" width="2.140625" bestFit="1" customWidth="1"/>
    <col min="1803" max="1805" width="4.5703125" bestFit="1" customWidth="1"/>
    <col min="1806" max="1806" width="7.85546875" bestFit="1" customWidth="1"/>
    <col min="1807" max="1807" width="9.5703125" bestFit="1" customWidth="1"/>
    <col min="1808" max="1808" width="18.28515625" bestFit="1" customWidth="1"/>
    <col min="2050" max="2050" width="26" bestFit="1" customWidth="1"/>
    <col min="2051" max="2051" width="21.42578125" bestFit="1" customWidth="1"/>
    <col min="2052" max="2052" width="10.5703125" bestFit="1" customWidth="1"/>
    <col min="2053" max="2053" width="8.42578125" bestFit="1" customWidth="1"/>
    <col min="2054" max="2054" width="22.7109375" bestFit="1" customWidth="1"/>
    <col min="2055" max="2055" width="25" bestFit="1" customWidth="1"/>
    <col min="2056" max="2056" width="4.5703125" bestFit="1" customWidth="1"/>
    <col min="2057" max="2058" width="2.140625" bestFit="1" customWidth="1"/>
    <col min="2059" max="2061" width="4.5703125" bestFit="1" customWidth="1"/>
    <col min="2062" max="2062" width="7.85546875" bestFit="1" customWidth="1"/>
    <col min="2063" max="2063" width="9.5703125" bestFit="1" customWidth="1"/>
    <col min="2064" max="2064" width="18.28515625" bestFit="1" customWidth="1"/>
    <col min="2306" max="2306" width="26" bestFit="1" customWidth="1"/>
    <col min="2307" max="2307" width="21.42578125" bestFit="1" customWidth="1"/>
    <col min="2308" max="2308" width="10.5703125" bestFit="1" customWidth="1"/>
    <col min="2309" max="2309" width="8.42578125" bestFit="1" customWidth="1"/>
    <col min="2310" max="2310" width="22.7109375" bestFit="1" customWidth="1"/>
    <col min="2311" max="2311" width="25" bestFit="1" customWidth="1"/>
    <col min="2312" max="2312" width="4.5703125" bestFit="1" customWidth="1"/>
    <col min="2313" max="2314" width="2.140625" bestFit="1" customWidth="1"/>
    <col min="2315" max="2317" width="4.5703125" bestFit="1" customWidth="1"/>
    <col min="2318" max="2318" width="7.85546875" bestFit="1" customWidth="1"/>
    <col min="2319" max="2319" width="9.5703125" bestFit="1" customWidth="1"/>
    <col min="2320" max="2320" width="18.28515625" bestFit="1" customWidth="1"/>
    <col min="2562" max="2562" width="26" bestFit="1" customWidth="1"/>
    <col min="2563" max="2563" width="21.42578125" bestFit="1" customWidth="1"/>
    <col min="2564" max="2564" width="10.5703125" bestFit="1" customWidth="1"/>
    <col min="2565" max="2565" width="8.42578125" bestFit="1" customWidth="1"/>
    <col min="2566" max="2566" width="22.7109375" bestFit="1" customWidth="1"/>
    <col min="2567" max="2567" width="25" bestFit="1" customWidth="1"/>
    <col min="2568" max="2568" width="4.5703125" bestFit="1" customWidth="1"/>
    <col min="2569" max="2570" width="2.140625" bestFit="1" customWidth="1"/>
    <col min="2571" max="2573" width="4.5703125" bestFit="1" customWidth="1"/>
    <col min="2574" max="2574" width="7.85546875" bestFit="1" customWidth="1"/>
    <col min="2575" max="2575" width="9.5703125" bestFit="1" customWidth="1"/>
    <col min="2576" max="2576" width="18.28515625" bestFit="1" customWidth="1"/>
    <col min="2818" max="2818" width="26" bestFit="1" customWidth="1"/>
    <col min="2819" max="2819" width="21.42578125" bestFit="1" customWidth="1"/>
    <col min="2820" max="2820" width="10.5703125" bestFit="1" customWidth="1"/>
    <col min="2821" max="2821" width="8.42578125" bestFit="1" customWidth="1"/>
    <col min="2822" max="2822" width="22.7109375" bestFit="1" customWidth="1"/>
    <col min="2823" max="2823" width="25" bestFit="1" customWidth="1"/>
    <col min="2824" max="2824" width="4.5703125" bestFit="1" customWidth="1"/>
    <col min="2825" max="2826" width="2.140625" bestFit="1" customWidth="1"/>
    <col min="2827" max="2829" width="4.5703125" bestFit="1" customWidth="1"/>
    <col min="2830" max="2830" width="7.85546875" bestFit="1" customWidth="1"/>
    <col min="2831" max="2831" width="9.5703125" bestFit="1" customWidth="1"/>
    <col min="2832" max="2832" width="18.28515625" bestFit="1" customWidth="1"/>
    <col min="3074" max="3074" width="26" bestFit="1" customWidth="1"/>
    <col min="3075" max="3075" width="21.42578125" bestFit="1" customWidth="1"/>
    <col min="3076" max="3076" width="10.5703125" bestFit="1" customWidth="1"/>
    <col min="3077" max="3077" width="8.42578125" bestFit="1" customWidth="1"/>
    <col min="3078" max="3078" width="22.7109375" bestFit="1" customWidth="1"/>
    <col min="3079" max="3079" width="25" bestFit="1" customWidth="1"/>
    <col min="3080" max="3080" width="4.5703125" bestFit="1" customWidth="1"/>
    <col min="3081" max="3082" width="2.140625" bestFit="1" customWidth="1"/>
    <col min="3083" max="3085" width="4.5703125" bestFit="1" customWidth="1"/>
    <col min="3086" max="3086" width="7.85546875" bestFit="1" customWidth="1"/>
    <col min="3087" max="3087" width="9.5703125" bestFit="1" customWidth="1"/>
    <col min="3088" max="3088" width="18.28515625" bestFit="1" customWidth="1"/>
    <col min="3330" max="3330" width="26" bestFit="1" customWidth="1"/>
    <col min="3331" max="3331" width="21.42578125" bestFit="1" customWidth="1"/>
    <col min="3332" max="3332" width="10.5703125" bestFit="1" customWidth="1"/>
    <col min="3333" max="3333" width="8.42578125" bestFit="1" customWidth="1"/>
    <col min="3334" max="3334" width="22.7109375" bestFit="1" customWidth="1"/>
    <col min="3335" max="3335" width="25" bestFit="1" customWidth="1"/>
    <col min="3336" max="3336" width="4.5703125" bestFit="1" customWidth="1"/>
    <col min="3337" max="3338" width="2.140625" bestFit="1" customWidth="1"/>
    <col min="3339" max="3341" width="4.5703125" bestFit="1" customWidth="1"/>
    <col min="3342" max="3342" width="7.85546875" bestFit="1" customWidth="1"/>
    <col min="3343" max="3343" width="9.5703125" bestFit="1" customWidth="1"/>
    <col min="3344" max="3344" width="18.28515625" bestFit="1" customWidth="1"/>
    <col min="3586" max="3586" width="26" bestFit="1" customWidth="1"/>
    <col min="3587" max="3587" width="21.42578125" bestFit="1" customWidth="1"/>
    <col min="3588" max="3588" width="10.5703125" bestFit="1" customWidth="1"/>
    <col min="3589" max="3589" width="8.42578125" bestFit="1" customWidth="1"/>
    <col min="3590" max="3590" width="22.7109375" bestFit="1" customWidth="1"/>
    <col min="3591" max="3591" width="25" bestFit="1" customWidth="1"/>
    <col min="3592" max="3592" width="4.5703125" bestFit="1" customWidth="1"/>
    <col min="3593" max="3594" width="2.140625" bestFit="1" customWidth="1"/>
    <col min="3595" max="3597" width="4.5703125" bestFit="1" customWidth="1"/>
    <col min="3598" max="3598" width="7.85546875" bestFit="1" customWidth="1"/>
    <col min="3599" max="3599" width="9.5703125" bestFit="1" customWidth="1"/>
    <col min="3600" max="3600" width="18.28515625" bestFit="1" customWidth="1"/>
    <col min="3842" max="3842" width="26" bestFit="1" customWidth="1"/>
    <col min="3843" max="3843" width="21.42578125" bestFit="1" customWidth="1"/>
    <col min="3844" max="3844" width="10.5703125" bestFit="1" customWidth="1"/>
    <col min="3845" max="3845" width="8.42578125" bestFit="1" customWidth="1"/>
    <col min="3846" max="3846" width="22.7109375" bestFit="1" customWidth="1"/>
    <col min="3847" max="3847" width="25" bestFit="1" customWidth="1"/>
    <col min="3848" max="3848" width="4.5703125" bestFit="1" customWidth="1"/>
    <col min="3849" max="3850" width="2.140625" bestFit="1" customWidth="1"/>
    <col min="3851" max="3853" width="4.5703125" bestFit="1" customWidth="1"/>
    <col min="3854" max="3854" width="7.85546875" bestFit="1" customWidth="1"/>
    <col min="3855" max="3855" width="9.5703125" bestFit="1" customWidth="1"/>
    <col min="3856" max="3856" width="18.28515625" bestFit="1" customWidth="1"/>
    <col min="4098" max="4098" width="26" bestFit="1" customWidth="1"/>
    <col min="4099" max="4099" width="21.42578125" bestFit="1" customWidth="1"/>
    <col min="4100" max="4100" width="10.5703125" bestFit="1" customWidth="1"/>
    <col min="4101" max="4101" width="8.42578125" bestFit="1" customWidth="1"/>
    <col min="4102" max="4102" width="22.7109375" bestFit="1" customWidth="1"/>
    <col min="4103" max="4103" width="25" bestFit="1" customWidth="1"/>
    <col min="4104" max="4104" width="4.5703125" bestFit="1" customWidth="1"/>
    <col min="4105" max="4106" width="2.140625" bestFit="1" customWidth="1"/>
    <col min="4107" max="4109" width="4.5703125" bestFit="1" customWidth="1"/>
    <col min="4110" max="4110" width="7.85546875" bestFit="1" customWidth="1"/>
    <col min="4111" max="4111" width="9.5703125" bestFit="1" customWidth="1"/>
    <col min="4112" max="4112" width="18.28515625" bestFit="1" customWidth="1"/>
    <col min="4354" max="4354" width="26" bestFit="1" customWidth="1"/>
    <col min="4355" max="4355" width="21.42578125" bestFit="1" customWidth="1"/>
    <col min="4356" max="4356" width="10.5703125" bestFit="1" customWidth="1"/>
    <col min="4357" max="4357" width="8.42578125" bestFit="1" customWidth="1"/>
    <col min="4358" max="4358" width="22.7109375" bestFit="1" customWidth="1"/>
    <col min="4359" max="4359" width="25" bestFit="1" customWidth="1"/>
    <col min="4360" max="4360" width="4.5703125" bestFit="1" customWidth="1"/>
    <col min="4361" max="4362" width="2.140625" bestFit="1" customWidth="1"/>
    <col min="4363" max="4365" width="4.5703125" bestFit="1" customWidth="1"/>
    <col min="4366" max="4366" width="7.85546875" bestFit="1" customWidth="1"/>
    <col min="4367" max="4367" width="9.5703125" bestFit="1" customWidth="1"/>
    <col min="4368" max="4368" width="18.28515625" bestFit="1" customWidth="1"/>
    <col min="4610" max="4610" width="26" bestFit="1" customWidth="1"/>
    <col min="4611" max="4611" width="21.42578125" bestFit="1" customWidth="1"/>
    <col min="4612" max="4612" width="10.5703125" bestFit="1" customWidth="1"/>
    <col min="4613" max="4613" width="8.42578125" bestFit="1" customWidth="1"/>
    <col min="4614" max="4614" width="22.7109375" bestFit="1" customWidth="1"/>
    <col min="4615" max="4615" width="25" bestFit="1" customWidth="1"/>
    <col min="4616" max="4616" width="4.5703125" bestFit="1" customWidth="1"/>
    <col min="4617" max="4618" width="2.140625" bestFit="1" customWidth="1"/>
    <col min="4619" max="4621" width="4.5703125" bestFit="1" customWidth="1"/>
    <col min="4622" max="4622" width="7.85546875" bestFit="1" customWidth="1"/>
    <col min="4623" max="4623" width="9.5703125" bestFit="1" customWidth="1"/>
    <col min="4624" max="4624" width="18.28515625" bestFit="1" customWidth="1"/>
    <col min="4866" max="4866" width="26" bestFit="1" customWidth="1"/>
    <col min="4867" max="4867" width="21.42578125" bestFit="1" customWidth="1"/>
    <col min="4868" max="4868" width="10.5703125" bestFit="1" customWidth="1"/>
    <col min="4869" max="4869" width="8.42578125" bestFit="1" customWidth="1"/>
    <col min="4870" max="4870" width="22.7109375" bestFit="1" customWidth="1"/>
    <col min="4871" max="4871" width="25" bestFit="1" customWidth="1"/>
    <col min="4872" max="4872" width="4.5703125" bestFit="1" customWidth="1"/>
    <col min="4873" max="4874" width="2.140625" bestFit="1" customWidth="1"/>
    <col min="4875" max="4877" width="4.5703125" bestFit="1" customWidth="1"/>
    <col min="4878" max="4878" width="7.85546875" bestFit="1" customWidth="1"/>
    <col min="4879" max="4879" width="9.5703125" bestFit="1" customWidth="1"/>
    <col min="4880" max="4880" width="18.28515625" bestFit="1" customWidth="1"/>
    <col min="5122" max="5122" width="26" bestFit="1" customWidth="1"/>
    <col min="5123" max="5123" width="21.42578125" bestFit="1" customWidth="1"/>
    <col min="5124" max="5124" width="10.5703125" bestFit="1" customWidth="1"/>
    <col min="5125" max="5125" width="8.42578125" bestFit="1" customWidth="1"/>
    <col min="5126" max="5126" width="22.7109375" bestFit="1" customWidth="1"/>
    <col min="5127" max="5127" width="25" bestFit="1" customWidth="1"/>
    <col min="5128" max="5128" width="4.5703125" bestFit="1" customWidth="1"/>
    <col min="5129" max="5130" width="2.140625" bestFit="1" customWidth="1"/>
    <col min="5131" max="5133" width="4.5703125" bestFit="1" customWidth="1"/>
    <col min="5134" max="5134" width="7.85546875" bestFit="1" customWidth="1"/>
    <col min="5135" max="5135" width="9.5703125" bestFit="1" customWidth="1"/>
    <col min="5136" max="5136" width="18.28515625" bestFit="1" customWidth="1"/>
    <col min="5378" max="5378" width="26" bestFit="1" customWidth="1"/>
    <col min="5379" max="5379" width="21.42578125" bestFit="1" customWidth="1"/>
    <col min="5380" max="5380" width="10.5703125" bestFit="1" customWidth="1"/>
    <col min="5381" max="5381" width="8.42578125" bestFit="1" customWidth="1"/>
    <col min="5382" max="5382" width="22.7109375" bestFit="1" customWidth="1"/>
    <col min="5383" max="5383" width="25" bestFit="1" customWidth="1"/>
    <col min="5384" max="5384" width="4.5703125" bestFit="1" customWidth="1"/>
    <col min="5385" max="5386" width="2.140625" bestFit="1" customWidth="1"/>
    <col min="5387" max="5389" width="4.5703125" bestFit="1" customWidth="1"/>
    <col min="5390" max="5390" width="7.85546875" bestFit="1" customWidth="1"/>
    <col min="5391" max="5391" width="9.5703125" bestFit="1" customWidth="1"/>
    <col min="5392" max="5392" width="18.28515625" bestFit="1" customWidth="1"/>
    <col min="5634" max="5634" width="26" bestFit="1" customWidth="1"/>
    <col min="5635" max="5635" width="21.42578125" bestFit="1" customWidth="1"/>
    <col min="5636" max="5636" width="10.5703125" bestFit="1" customWidth="1"/>
    <col min="5637" max="5637" width="8.42578125" bestFit="1" customWidth="1"/>
    <col min="5638" max="5638" width="22.7109375" bestFit="1" customWidth="1"/>
    <col min="5639" max="5639" width="25" bestFit="1" customWidth="1"/>
    <col min="5640" max="5640" width="4.5703125" bestFit="1" customWidth="1"/>
    <col min="5641" max="5642" width="2.140625" bestFit="1" customWidth="1"/>
    <col min="5643" max="5645" width="4.5703125" bestFit="1" customWidth="1"/>
    <col min="5646" max="5646" width="7.85546875" bestFit="1" customWidth="1"/>
    <col min="5647" max="5647" width="9.5703125" bestFit="1" customWidth="1"/>
    <col min="5648" max="5648" width="18.28515625" bestFit="1" customWidth="1"/>
    <col min="5890" max="5890" width="26" bestFit="1" customWidth="1"/>
    <col min="5891" max="5891" width="21.42578125" bestFit="1" customWidth="1"/>
    <col min="5892" max="5892" width="10.5703125" bestFit="1" customWidth="1"/>
    <col min="5893" max="5893" width="8.42578125" bestFit="1" customWidth="1"/>
    <col min="5894" max="5894" width="22.7109375" bestFit="1" customWidth="1"/>
    <col min="5895" max="5895" width="25" bestFit="1" customWidth="1"/>
    <col min="5896" max="5896" width="4.5703125" bestFit="1" customWidth="1"/>
    <col min="5897" max="5898" width="2.140625" bestFit="1" customWidth="1"/>
    <col min="5899" max="5901" width="4.5703125" bestFit="1" customWidth="1"/>
    <col min="5902" max="5902" width="7.85546875" bestFit="1" customWidth="1"/>
    <col min="5903" max="5903" width="9.5703125" bestFit="1" customWidth="1"/>
    <col min="5904" max="5904" width="18.28515625" bestFit="1" customWidth="1"/>
    <col min="6146" max="6146" width="26" bestFit="1" customWidth="1"/>
    <col min="6147" max="6147" width="21.42578125" bestFit="1" customWidth="1"/>
    <col min="6148" max="6148" width="10.5703125" bestFit="1" customWidth="1"/>
    <col min="6149" max="6149" width="8.42578125" bestFit="1" customWidth="1"/>
    <col min="6150" max="6150" width="22.7109375" bestFit="1" customWidth="1"/>
    <col min="6151" max="6151" width="25" bestFit="1" customWidth="1"/>
    <col min="6152" max="6152" width="4.5703125" bestFit="1" customWidth="1"/>
    <col min="6153" max="6154" width="2.140625" bestFit="1" customWidth="1"/>
    <col min="6155" max="6157" width="4.5703125" bestFit="1" customWidth="1"/>
    <col min="6158" max="6158" width="7.85546875" bestFit="1" customWidth="1"/>
    <col min="6159" max="6159" width="9.5703125" bestFit="1" customWidth="1"/>
    <col min="6160" max="6160" width="18.28515625" bestFit="1" customWidth="1"/>
    <col min="6402" max="6402" width="26" bestFit="1" customWidth="1"/>
    <col min="6403" max="6403" width="21.42578125" bestFit="1" customWidth="1"/>
    <col min="6404" max="6404" width="10.5703125" bestFit="1" customWidth="1"/>
    <col min="6405" max="6405" width="8.42578125" bestFit="1" customWidth="1"/>
    <col min="6406" max="6406" width="22.7109375" bestFit="1" customWidth="1"/>
    <col min="6407" max="6407" width="25" bestFit="1" customWidth="1"/>
    <col min="6408" max="6408" width="4.5703125" bestFit="1" customWidth="1"/>
    <col min="6409" max="6410" width="2.140625" bestFit="1" customWidth="1"/>
    <col min="6411" max="6413" width="4.5703125" bestFit="1" customWidth="1"/>
    <col min="6414" max="6414" width="7.85546875" bestFit="1" customWidth="1"/>
    <col min="6415" max="6415" width="9.5703125" bestFit="1" customWidth="1"/>
    <col min="6416" max="6416" width="18.28515625" bestFit="1" customWidth="1"/>
    <col min="6658" max="6658" width="26" bestFit="1" customWidth="1"/>
    <col min="6659" max="6659" width="21.42578125" bestFit="1" customWidth="1"/>
    <col min="6660" max="6660" width="10.5703125" bestFit="1" customWidth="1"/>
    <col min="6661" max="6661" width="8.42578125" bestFit="1" customWidth="1"/>
    <col min="6662" max="6662" width="22.7109375" bestFit="1" customWidth="1"/>
    <col min="6663" max="6663" width="25" bestFit="1" customWidth="1"/>
    <col min="6664" max="6664" width="4.5703125" bestFit="1" customWidth="1"/>
    <col min="6665" max="6666" width="2.140625" bestFit="1" customWidth="1"/>
    <col min="6667" max="6669" width="4.5703125" bestFit="1" customWidth="1"/>
    <col min="6670" max="6670" width="7.85546875" bestFit="1" customWidth="1"/>
    <col min="6671" max="6671" width="9.5703125" bestFit="1" customWidth="1"/>
    <col min="6672" max="6672" width="18.28515625" bestFit="1" customWidth="1"/>
    <col min="6914" max="6914" width="26" bestFit="1" customWidth="1"/>
    <col min="6915" max="6915" width="21.42578125" bestFit="1" customWidth="1"/>
    <col min="6916" max="6916" width="10.5703125" bestFit="1" customWidth="1"/>
    <col min="6917" max="6917" width="8.42578125" bestFit="1" customWidth="1"/>
    <col min="6918" max="6918" width="22.7109375" bestFit="1" customWidth="1"/>
    <col min="6919" max="6919" width="25" bestFit="1" customWidth="1"/>
    <col min="6920" max="6920" width="4.5703125" bestFit="1" customWidth="1"/>
    <col min="6921" max="6922" width="2.140625" bestFit="1" customWidth="1"/>
    <col min="6923" max="6925" width="4.5703125" bestFit="1" customWidth="1"/>
    <col min="6926" max="6926" width="7.85546875" bestFit="1" customWidth="1"/>
    <col min="6927" max="6927" width="9.5703125" bestFit="1" customWidth="1"/>
    <col min="6928" max="6928" width="18.28515625" bestFit="1" customWidth="1"/>
    <col min="7170" max="7170" width="26" bestFit="1" customWidth="1"/>
    <col min="7171" max="7171" width="21.42578125" bestFit="1" customWidth="1"/>
    <col min="7172" max="7172" width="10.5703125" bestFit="1" customWidth="1"/>
    <col min="7173" max="7173" width="8.42578125" bestFit="1" customWidth="1"/>
    <col min="7174" max="7174" width="22.7109375" bestFit="1" customWidth="1"/>
    <col min="7175" max="7175" width="25" bestFit="1" customWidth="1"/>
    <col min="7176" max="7176" width="4.5703125" bestFit="1" customWidth="1"/>
    <col min="7177" max="7178" width="2.140625" bestFit="1" customWidth="1"/>
    <col min="7179" max="7181" width="4.5703125" bestFit="1" customWidth="1"/>
    <col min="7182" max="7182" width="7.85546875" bestFit="1" customWidth="1"/>
    <col min="7183" max="7183" width="9.5703125" bestFit="1" customWidth="1"/>
    <col min="7184" max="7184" width="18.28515625" bestFit="1" customWidth="1"/>
    <col min="7426" max="7426" width="26" bestFit="1" customWidth="1"/>
    <col min="7427" max="7427" width="21.42578125" bestFit="1" customWidth="1"/>
    <col min="7428" max="7428" width="10.5703125" bestFit="1" customWidth="1"/>
    <col min="7429" max="7429" width="8.42578125" bestFit="1" customWidth="1"/>
    <col min="7430" max="7430" width="22.7109375" bestFit="1" customWidth="1"/>
    <col min="7431" max="7431" width="25" bestFit="1" customWidth="1"/>
    <col min="7432" max="7432" width="4.5703125" bestFit="1" customWidth="1"/>
    <col min="7433" max="7434" width="2.140625" bestFit="1" customWidth="1"/>
    <col min="7435" max="7437" width="4.5703125" bestFit="1" customWidth="1"/>
    <col min="7438" max="7438" width="7.85546875" bestFit="1" customWidth="1"/>
    <col min="7439" max="7439" width="9.5703125" bestFit="1" customWidth="1"/>
    <col min="7440" max="7440" width="18.28515625" bestFit="1" customWidth="1"/>
    <col min="7682" max="7682" width="26" bestFit="1" customWidth="1"/>
    <col min="7683" max="7683" width="21.42578125" bestFit="1" customWidth="1"/>
    <col min="7684" max="7684" width="10.5703125" bestFit="1" customWidth="1"/>
    <col min="7685" max="7685" width="8.42578125" bestFit="1" customWidth="1"/>
    <col min="7686" max="7686" width="22.7109375" bestFit="1" customWidth="1"/>
    <col min="7687" max="7687" width="25" bestFit="1" customWidth="1"/>
    <col min="7688" max="7688" width="4.5703125" bestFit="1" customWidth="1"/>
    <col min="7689" max="7690" width="2.140625" bestFit="1" customWidth="1"/>
    <col min="7691" max="7693" width="4.5703125" bestFit="1" customWidth="1"/>
    <col min="7694" max="7694" width="7.85546875" bestFit="1" customWidth="1"/>
    <col min="7695" max="7695" width="9.5703125" bestFit="1" customWidth="1"/>
    <col min="7696" max="7696" width="18.28515625" bestFit="1" customWidth="1"/>
    <col min="7938" max="7938" width="26" bestFit="1" customWidth="1"/>
    <col min="7939" max="7939" width="21.42578125" bestFit="1" customWidth="1"/>
    <col min="7940" max="7940" width="10.5703125" bestFit="1" customWidth="1"/>
    <col min="7941" max="7941" width="8.42578125" bestFit="1" customWidth="1"/>
    <col min="7942" max="7942" width="22.7109375" bestFit="1" customWidth="1"/>
    <col min="7943" max="7943" width="25" bestFit="1" customWidth="1"/>
    <col min="7944" max="7944" width="4.5703125" bestFit="1" customWidth="1"/>
    <col min="7945" max="7946" width="2.140625" bestFit="1" customWidth="1"/>
    <col min="7947" max="7949" width="4.5703125" bestFit="1" customWidth="1"/>
    <col min="7950" max="7950" width="7.85546875" bestFit="1" customWidth="1"/>
    <col min="7951" max="7951" width="9.5703125" bestFit="1" customWidth="1"/>
    <col min="7952" max="7952" width="18.28515625" bestFit="1" customWidth="1"/>
    <col min="8194" max="8194" width="26" bestFit="1" customWidth="1"/>
    <col min="8195" max="8195" width="21.42578125" bestFit="1" customWidth="1"/>
    <col min="8196" max="8196" width="10.5703125" bestFit="1" customWidth="1"/>
    <col min="8197" max="8197" width="8.42578125" bestFit="1" customWidth="1"/>
    <col min="8198" max="8198" width="22.7109375" bestFit="1" customWidth="1"/>
    <col min="8199" max="8199" width="25" bestFit="1" customWidth="1"/>
    <col min="8200" max="8200" width="4.5703125" bestFit="1" customWidth="1"/>
    <col min="8201" max="8202" width="2.140625" bestFit="1" customWidth="1"/>
    <col min="8203" max="8205" width="4.5703125" bestFit="1" customWidth="1"/>
    <col min="8206" max="8206" width="7.85546875" bestFit="1" customWidth="1"/>
    <col min="8207" max="8207" width="9.5703125" bestFit="1" customWidth="1"/>
    <col min="8208" max="8208" width="18.28515625" bestFit="1" customWidth="1"/>
    <col min="8450" max="8450" width="26" bestFit="1" customWidth="1"/>
    <col min="8451" max="8451" width="21.42578125" bestFit="1" customWidth="1"/>
    <col min="8452" max="8452" width="10.5703125" bestFit="1" customWidth="1"/>
    <col min="8453" max="8453" width="8.42578125" bestFit="1" customWidth="1"/>
    <col min="8454" max="8454" width="22.7109375" bestFit="1" customWidth="1"/>
    <col min="8455" max="8455" width="25" bestFit="1" customWidth="1"/>
    <col min="8456" max="8456" width="4.5703125" bestFit="1" customWidth="1"/>
    <col min="8457" max="8458" width="2.140625" bestFit="1" customWidth="1"/>
    <col min="8459" max="8461" width="4.5703125" bestFit="1" customWidth="1"/>
    <col min="8462" max="8462" width="7.85546875" bestFit="1" customWidth="1"/>
    <col min="8463" max="8463" width="9.5703125" bestFit="1" customWidth="1"/>
    <col min="8464" max="8464" width="18.28515625" bestFit="1" customWidth="1"/>
    <col min="8706" max="8706" width="26" bestFit="1" customWidth="1"/>
    <col min="8707" max="8707" width="21.42578125" bestFit="1" customWidth="1"/>
    <col min="8708" max="8708" width="10.5703125" bestFit="1" customWidth="1"/>
    <col min="8709" max="8709" width="8.42578125" bestFit="1" customWidth="1"/>
    <col min="8710" max="8710" width="22.7109375" bestFit="1" customWidth="1"/>
    <col min="8711" max="8711" width="25" bestFit="1" customWidth="1"/>
    <col min="8712" max="8712" width="4.5703125" bestFit="1" customWidth="1"/>
    <col min="8713" max="8714" width="2.140625" bestFit="1" customWidth="1"/>
    <col min="8715" max="8717" width="4.5703125" bestFit="1" customWidth="1"/>
    <col min="8718" max="8718" width="7.85546875" bestFit="1" customWidth="1"/>
    <col min="8719" max="8719" width="9.5703125" bestFit="1" customWidth="1"/>
    <col min="8720" max="8720" width="18.28515625" bestFit="1" customWidth="1"/>
    <col min="8962" max="8962" width="26" bestFit="1" customWidth="1"/>
    <col min="8963" max="8963" width="21.42578125" bestFit="1" customWidth="1"/>
    <col min="8964" max="8964" width="10.5703125" bestFit="1" customWidth="1"/>
    <col min="8965" max="8965" width="8.42578125" bestFit="1" customWidth="1"/>
    <col min="8966" max="8966" width="22.7109375" bestFit="1" customWidth="1"/>
    <col min="8967" max="8967" width="25" bestFit="1" customWidth="1"/>
    <col min="8968" max="8968" width="4.5703125" bestFit="1" customWidth="1"/>
    <col min="8969" max="8970" width="2.140625" bestFit="1" customWidth="1"/>
    <col min="8971" max="8973" width="4.5703125" bestFit="1" customWidth="1"/>
    <col min="8974" max="8974" width="7.85546875" bestFit="1" customWidth="1"/>
    <col min="8975" max="8975" width="9.5703125" bestFit="1" customWidth="1"/>
    <col min="8976" max="8976" width="18.28515625" bestFit="1" customWidth="1"/>
    <col min="9218" max="9218" width="26" bestFit="1" customWidth="1"/>
    <col min="9219" max="9219" width="21.42578125" bestFit="1" customWidth="1"/>
    <col min="9220" max="9220" width="10.5703125" bestFit="1" customWidth="1"/>
    <col min="9221" max="9221" width="8.42578125" bestFit="1" customWidth="1"/>
    <col min="9222" max="9222" width="22.7109375" bestFit="1" customWidth="1"/>
    <col min="9223" max="9223" width="25" bestFit="1" customWidth="1"/>
    <col min="9224" max="9224" width="4.5703125" bestFit="1" customWidth="1"/>
    <col min="9225" max="9226" width="2.140625" bestFit="1" customWidth="1"/>
    <col min="9227" max="9229" width="4.5703125" bestFit="1" customWidth="1"/>
    <col min="9230" max="9230" width="7.85546875" bestFit="1" customWidth="1"/>
    <col min="9231" max="9231" width="9.5703125" bestFit="1" customWidth="1"/>
    <col min="9232" max="9232" width="18.28515625" bestFit="1" customWidth="1"/>
    <col min="9474" max="9474" width="26" bestFit="1" customWidth="1"/>
    <col min="9475" max="9475" width="21.42578125" bestFit="1" customWidth="1"/>
    <col min="9476" max="9476" width="10.5703125" bestFit="1" customWidth="1"/>
    <col min="9477" max="9477" width="8.42578125" bestFit="1" customWidth="1"/>
    <col min="9478" max="9478" width="22.7109375" bestFit="1" customWidth="1"/>
    <col min="9479" max="9479" width="25" bestFit="1" customWidth="1"/>
    <col min="9480" max="9480" width="4.5703125" bestFit="1" customWidth="1"/>
    <col min="9481" max="9482" width="2.140625" bestFit="1" customWidth="1"/>
    <col min="9483" max="9485" width="4.5703125" bestFit="1" customWidth="1"/>
    <col min="9486" max="9486" width="7.85546875" bestFit="1" customWidth="1"/>
    <col min="9487" max="9487" width="9.5703125" bestFit="1" customWidth="1"/>
    <col min="9488" max="9488" width="18.28515625" bestFit="1" customWidth="1"/>
    <col min="9730" max="9730" width="26" bestFit="1" customWidth="1"/>
    <col min="9731" max="9731" width="21.42578125" bestFit="1" customWidth="1"/>
    <col min="9732" max="9732" width="10.5703125" bestFit="1" customWidth="1"/>
    <col min="9733" max="9733" width="8.42578125" bestFit="1" customWidth="1"/>
    <col min="9734" max="9734" width="22.7109375" bestFit="1" customWidth="1"/>
    <col min="9735" max="9735" width="25" bestFit="1" customWidth="1"/>
    <col min="9736" max="9736" width="4.5703125" bestFit="1" customWidth="1"/>
    <col min="9737" max="9738" width="2.140625" bestFit="1" customWidth="1"/>
    <col min="9739" max="9741" width="4.5703125" bestFit="1" customWidth="1"/>
    <col min="9742" max="9742" width="7.85546875" bestFit="1" customWidth="1"/>
    <col min="9743" max="9743" width="9.5703125" bestFit="1" customWidth="1"/>
    <col min="9744" max="9744" width="18.28515625" bestFit="1" customWidth="1"/>
    <col min="9986" max="9986" width="26" bestFit="1" customWidth="1"/>
    <col min="9987" max="9987" width="21.42578125" bestFit="1" customWidth="1"/>
    <col min="9988" max="9988" width="10.5703125" bestFit="1" customWidth="1"/>
    <col min="9989" max="9989" width="8.42578125" bestFit="1" customWidth="1"/>
    <col min="9990" max="9990" width="22.7109375" bestFit="1" customWidth="1"/>
    <col min="9991" max="9991" width="25" bestFit="1" customWidth="1"/>
    <col min="9992" max="9992" width="4.5703125" bestFit="1" customWidth="1"/>
    <col min="9993" max="9994" width="2.140625" bestFit="1" customWidth="1"/>
    <col min="9995" max="9997" width="4.5703125" bestFit="1" customWidth="1"/>
    <col min="9998" max="9998" width="7.85546875" bestFit="1" customWidth="1"/>
    <col min="9999" max="9999" width="9.5703125" bestFit="1" customWidth="1"/>
    <col min="10000" max="10000" width="18.28515625" bestFit="1" customWidth="1"/>
    <col min="10242" max="10242" width="26" bestFit="1" customWidth="1"/>
    <col min="10243" max="10243" width="21.42578125" bestFit="1" customWidth="1"/>
    <col min="10244" max="10244" width="10.5703125" bestFit="1" customWidth="1"/>
    <col min="10245" max="10245" width="8.42578125" bestFit="1" customWidth="1"/>
    <col min="10246" max="10246" width="22.7109375" bestFit="1" customWidth="1"/>
    <col min="10247" max="10247" width="25" bestFit="1" customWidth="1"/>
    <col min="10248" max="10248" width="4.5703125" bestFit="1" customWidth="1"/>
    <col min="10249" max="10250" width="2.140625" bestFit="1" customWidth="1"/>
    <col min="10251" max="10253" width="4.5703125" bestFit="1" customWidth="1"/>
    <col min="10254" max="10254" width="7.85546875" bestFit="1" customWidth="1"/>
    <col min="10255" max="10255" width="9.5703125" bestFit="1" customWidth="1"/>
    <col min="10256" max="10256" width="18.28515625" bestFit="1" customWidth="1"/>
    <col min="10498" max="10498" width="26" bestFit="1" customWidth="1"/>
    <col min="10499" max="10499" width="21.42578125" bestFit="1" customWidth="1"/>
    <col min="10500" max="10500" width="10.5703125" bestFit="1" customWidth="1"/>
    <col min="10501" max="10501" width="8.42578125" bestFit="1" customWidth="1"/>
    <col min="10502" max="10502" width="22.7109375" bestFit="1" customWidth="1"/>
    <col min="10503" max="10503" width="25" bestFit="1" customWidth="1"/>
    <col min="10504" max="10504" width="4.5703125" bestFit="1" customWidth="1"/>
    <col min="10505" max="10506" width="2.140625" bestFit="1" customWidth="1"/>
    <col min="10507" max="10509" width="4.5703125" bestFit="1" customWidth="1"/>
    <col min="10510" max="10510" width="7.85546875" bestFit="1" customWidth="1"/>
    <col min="10511" max="10511" width="9.5703125" bestFit="1" customWidth="1"/>
    <col min="10512" max="10512" width="18.28515625" bestFit="1" customWidth="1"/>
    <col min="10754" max="10754" width="26" bestFit="1" customWidth="1"/>
    <col min="10755" max="10755" width="21.42578125" bestFit="1" customWidth="1"/>
    <col min="10756" max="10756" width="10.5703125" bestFit="1" customWidth="1"/>
    <col min="10757" max="10757" width="8.42578125" bestFit="1" customWidth="1"/>
    <col min="10758" max="10758" width="22.7109375" bestFit="1" customWidth="1"/>
    <col min="10759" max="10759" width="25" bestFit="1" customWidth="1"/>
    <col min="10760" max="10760" width="4.5703125" bestFit="1" customWidth="1"/>
    <col min="10761" max="10762" width="2.140625" bestFit="1" customWidth="1"/>
    <col min="10763" max="10765" width="4.5703125" bestFit="1" customWidth="1"/>
    <col min="10766" max="10766" width="7.85546875" bestFit="1" customWidth="1"/>
    <col min="10767" max="10767" width="9.5703125" bestFit="1" customWidth="1"/>
    <col min="10768" max="10768" width="18.28515625" bestFit="1" customWidth="1"/>
    <col min="11010" max="11010" width="26" bestFit="1" customWidth="1"/>
    <col min="11011" max="11011" width="21.42578125" bestFit="1" customWidth="1"/>
    <col min="11012" max="11012" width="10.5703125" bestFit="1" customWidth="1"/>
    <col min="11013" max="11013" width="8.42578125" bestFit="1" customWidth="1"/>
    <col min="11014" max="11014" width="22.7109375" bestFit="1" customWidth="1"/>
    <col min="11015" max="11015" width="25" bestFit="1" customWidth="1"/>
    <col min="11016" max="11016" width="4.5703125" bestFit="1" customWidth="1"/>
    <col min="11017" max="11018" width="2.140625" bestFit="1" customWidth="1"/>
    <col min="11019" max="11021" width="4.5703125" bestFit="1" customWidth="1"/>
    <col min="11022" max="11022" width="7.85546875" bestFit="1" customWidth="1"/>
    <col min="11023" max="11023" width="9.5703125" bestFit="1" customWidth="1"/>
    <col min="11024" max="11024" width="18.28515625" bestFit="1" customWidth="1"/>
    <col min="11266" max="11266" width="26" bestFit="1" customWidth="1"/>
    <col min="11267" max="11267" width="21.42578125" bestFit="1" customWidth="1"/>
    <col min="11268" max="11268" width="10.5703125" bestFit="1" customWidth="1"/>
    <col min="11269" max="11269" width="8.42578125" bestFit="1" customWidth="1"/>
    <col min="11270" max="11270" width="22.7109375" bestFit="1" customWidth="1"/>
    <col min="11271" max="11271" width="25" bestFit="1" customWidth="1"/>
    <col min="11272" max="11272" width="4.5703125" bestFit="1" customWidth="1"/>
    <col min="11273" max="11274" width="2.140625" bestFit="1" customWidth="1"/>
    <col min="11275" max="11277" width="4.5703125" bestFit="1" customWidth="1"/>
    <col min="11278" max="11278" width="7.85546875" bestFit="1" customWidth="1"/>
    <col min="11279" max="11279" width="9.5703125" bestFit="1" customWidth="1"/>
    <col min="11280" max="11280" width="18.28515625" bestFit="1" customWidth="1"/>
    <col min="11522" max="11522" width="26" bestFit="1" customWidth="1"/>
    <col min="11523" max="11523" width="21.42578125" bestFit="1" customWidth="1"/>
    <col min="11524" max="11524" width="10.5703125" bestFit="1" customWidth="1"/>
    <col min="11525" max="11525" width="8.42578125" bestFit="1" customWidth="1"/>
    <col min="11526" max="11526" width="22.7109375" bestFit="1" customWidth="1"/>
    <col min="11527" max="11527" width="25" bestFit="1" customWidth="1"/>
    <col min="11528" max="11528" width="4.5703125" bestFit="1" customWidth="1"/>
    <col min="11529" max="11530" width="2.140625" bestFit="1" customWidth="1"/>
    <col min="11531" max="11533" width="4.5703125" bestFit="1" customWidth="1"/>
    <col min="11534" max="11534" width="7.85546875" bestFit="1" customWidth="1"/>
    <col min="11535" max="11535" width="9.5703125" bestFit="1" customWidth="1"/>
    <col min="11536" max="11536" width="18.28515625" bestFit="1" customWidth="1"/>
    <col min="11778" max="11778" width="26" bestFit="1" customWidth="1"/>
    <col min="11779" max="11779" width="21.42578125" bestFit="1" customWidth="1"/>
    <col min="11780" max="11780" width="10.5703125" bestFit="1" customWidth="1"/>
    <col min="11781" max="11781" width="8.42578125" bestFit="1" customWidth="1"/>
    <col min="11782" max="11782" width="22.7109375" bestFit="1" customWidth="1"/>
    <col min="11783" max="11783" width="25" bestFit="1" customWidth="1"/>
    <col min="11784" max="11784" width="4.5703125" bestFit="1" customWidth="1"/>
    <col min="11785" max="11786" width="2.140625" bestFit="1" customWidth="1"/>
    <col min="11787" max="11789" width="4.5703125" bestFit="1" customWidth="1"/>
    <col min="11790" max="11790" width="7.85546875" bestFit="1" customWidth="1"/>
    <col min="11791" max="11791" width="9.5703125" bestFit="1" customWidth="1"/>
    <col min="11792" max="11792" width="18.28515625" bestFit="1" customWidth="1"/>
    <col min="12034" max="12034" width="26" bestFit="1" customWidth="1"/>
    <col min="12035" max="12035" width="21.42578125" bestFit="1" customWidth="1"/>
    <col min="12036" max="12036" width="10.5703125" bestFit="1" customWidth="1"/>
    <col min="12037" max="12037" width="8.42578125" bestFit="1" customWidth="1"/>
    <col min="12038" max="12038" width="22.7109375" bestFit="1" customWidth="1"/>
    <col min="12039" max="12039" width="25" bestFit="1" customWidth="1"/>
    <col min="12040" max="12040" width="4.5703125" bestFit="1" customWidth="1"/>
    <col min="12041" max="12042" width="2.140625" bestFit="1" customWidth="1"/>
    <col min="12043" max="12045" width="4.5703125" bestFit="1" customWidth="1"/>
    <col min="12046" max="12046" width="7.85546875" bestFit="1" customWidth="1"/>
    <col min="12047" max="12047" width="9.5703125" bestFit="1" customWidth="1"/>
    <col min="12048" max="12048" width="18.28515625" bestFit="1" customWidth="1"/>
    <col min="12290" max="12290" width="26" bestFit="1" customWidth="1"/>
    <col min="12291" max="12291" width="21.42578125" bestFit="1" customWidth="1"/>
    <col min="12292" max="12292" width="10.5703125" bestFit="1" customWidth="1"/>
    <col min="12293" max="12293" width="8.42578125" bestFit="1" customWidth="1"/>
    <col min="12294" max="12294" width="22.7109375" bestFit="1" customWidth="1"/>
    <col min="12295" max="12295" width="25" bestFit="1" customWidth="1"/>
    <col min="12296" max="12296" width="4.5703125" bestFit="1" customWidth="1"/>
    <col min="12297" max="12298" width="2.140625" bestFit="1" customWidth="1"/>
    <col min="12299" max="12301" width="4.5703125" bestFit="1" customWidth="1"/>
    <col min="12302" max="12302" width="7.85546875" bestFit="1" customWidth="1"/>
    <col min="12303" max="12303" width="9.5703125" bestFit="1" customWidth="1"/>
    <col min="12304" max="12304" width="18.28515625" bestFit="1" customWidth="1"/>
    <col min="12546" max="12546" width="26" bestFit="1" customWidth="1"/>
    <col min="12547" max="12547" width="21.42578125" bestFit="1" customWidth="1"/>
    <col min="12548" max="12548" width="10.5703125" bestFit="1" customWidth="1"/>
    <col min="12549" max="12549" width="8.42578125" bestFit="1" customWidth="1"/>
    <col min="12550" max="12550" width="22.7109375" bestFit="1" customWidth="1"/>
    <col min="12551" max="12551" width="25" bestFit="1" customWidth="1"/>
    <col min="12552" max="12552" width="4.5703125" bestFit="1" customWidth="1"/>
    <col min="12553" max="12554" width="2.140625" bestFit="1" customWidth="1"/>
    <col min="12555" max="12557" width="4.5703125" bestFit="1" customWidth="1"/>
    <col min="12558" max="12558" width="7.85546875" bestFit="1" customWidth="1"/>
    <col min="12559" max="12559" width="9.5703125" bestFit="1" customWidth="1"/>
    <col min="12560" max="12560" width="18.28515625" bestFit="1" customWidth="1"/>
    <col min="12802" max="12802" width="26" bestFit="1" customWidth="1"/>
    <col min="12803" max="12803" width="21.42578125" bestFit="1" customWidth="1"/>
    <col min="12804" max="12804" width="10.5703125" bestFit="1" customWidth="1"/>
    <col min="12805" max="12805" width="8.42578125" bestFit="1" customWidth="1"/>
    <col min="12806" max="12806" width="22.7109375" bestFit="1" customWidth="1"/>
    <col min="12807" max="12807" width="25" bestFit="1" customWidth="1"/>
    <col min="12808" max="12808" width="4.5703125" bestFit="1" customWidth="1"/>
    <col min="12809" max="12810" width="2.140625" bestFit="1" customWidth="1"/>
    <col min="12811" max="12813" width="4.5703125" bestFit="1" customWidth="1"/>
    <col min="12814" max="12814" width="7.85546875" bestFit="1" customWidth="1"/>
    <col min="12815" max="12815" width="9.5703125" bestFit="1" customWidth="1"/>
    <col min="12816" max="12816" width="18.28515625" bestFit="1" customWidth="1"/>
    <col min="13058" max="13058" width="26" bestFit="1" customWidth="1"/>
    <col min="13059" max="13059" width="21.42578125" bestFit="1" customWidth="1"/>
    <col min="13060" max="13060" width="10.5703125" bestFit="1" customWidth="1"/>
    <col min="13061" max="13061" width="8.42578125" bestFit="1" customWidth="1"/>
    <col min="13062" max="13062" width="22.7109375" bestFit="1" customWidth="1"/>
    <col min="13063" max="13063" width="25" bestFit="1" customWidth="1"/>
    <col min="13064" max="13064" width="4.5703125" bestFit="1" customWidth="1"/>
    <col min="13065" max="13066" width="2.140625" bestFit="1" customWidth="1"/>
    <col min="13067" max="13069" width="4.5703125" bestFit="1" customWidth="1"/>
    <col min="13070" max="13070" width="7.85546875" bestFit="1" customWidth="1"/>
    <col min="13071" max="13071" width="9.5703125" bestFit="1" customWidth="1"/>
    <col min="13072" max="13072" width="18.28515625" bestFit="1" customWidth="1"/>
    <col min="13314" max="13314" width="26" bestFit="1" customWidth="1"/>
    <col min="13315" max="13315" width="21.42578125" bestFit="1" customWidth="1"/>
    <col min="13316" max="13316" width="10.5703125" bestFit="1" customWidth="1"/>
    <col min="13317" max="13317" width="8.42578125" bestFit="1" customWidth="1"/>
    <col min="13318" max="13318" width="22.7109375" bestFit="1" customWidth="1"/>
    <col min="13319" max="13319" width="25" bestFit="1" customWidth="1"/>
    <col min="13320" max="13320" width="4.5703125" bestFit="1" customWidth="1"/>
    <col min="13321" max="13322" width="2.140625" bestFit="1" customWidth="1"/>
    <col min="13323" max="13325" width="4.5703125" bestFit="1" customWidth="1"/>
    <col min="13326" max="13326" width="7.85546875" bestFit="1" customWidth="1"/>
    <col min="13327" max="13327" width="9.5703125" bestFit="1" customWidth="1"/>
    <col min="13328" max="13328" width="18.28515625" bestFit="1" customWidth="1"/>
    <col min="13570" max="13570" width="26" bestFit="1" customWidth="1"/>
    <col min="13571" max="13571" width="21.42578125" bestFit="1" customWidth="1"/>
    <col min="13572" max="13572" width="10.5703125" bestFit="1" customWidth="1"/>
    <col min="13573" max="13573" width="8.42578125" bestFit="1" customWidth="1"/>
    <col min="13574" max="13574" width="22.7109375" bestFit="1" customWidth="1"/>
    <col min="13575" max="13575" width="25" bestFit="1" customWidth="1"/>
    <col min="13576" max="13576" width="4.5703125" bestFit="1" customWidth="1"/>
    <col min="13577" max="13578" width="2.140625" bestFit="1" customWidth="1"/>
    <col min="13579" max="13581" width="4.5703125" bestFit="1" customWidth="1"/>
    <col min="13582" max="13582" width="7.85546875" bestFit="1" customWidth="1"/>
    <col min="13583" max="13583" width="9.5703125" bestFit="1" customWidth="1"/>
    <col min="13584" max="13584" width="18.28515625" bestFit="1" customWidth="1"/>
    <col min="13826" max="13826" width="26" bestFit="1" customWidth="1"/>
    <col min="13827" max="13827" width="21.42578125" bestFit="1" customWidth="1"/>
    <col min="13828" max="13828" width="10.5703125" bestFit="1" customWidth="1"/>
    <col min="13829" max="13829" width="8.42578125" bestFit="1" customWidth="1"/>
    <col min="13830" max="13830" width="22.7109375" bestFit="1" customWidth="1"/>
    <col min="13831" max="13831" width="25" bestFit="1" customWidth="1"/>
    <col min="13832" max="13832" width="4.5703125" bestFit="1" customWidth="1"/>
    <col min="13833" max="13834" width="2.140625" bestFit="1" customWidth="1"/>
    <col min="13835" max="13837" width="4.5703125" bestFit="1" customWidth="1"/>
    <col min="13838" max="13838" width="7.85546875" bestFit="1" customWidth="1"/>
    <col min="13839" max="13839" width="9.5703125" bestFit="1" customWidth="1"/>
    <col min="13840" max="13840" width="18.28515625" bestFit="1" customWidth="1"/>
    <col min="14082" max="14082" width="26" bestFit="1" customWidth="1"/>
    <col min="14083" max="14083" width="21.42578125" bestFit="1" customWidth="1"/>
    <col min="14084" max="14084" width="10.5703125" bestFit="1" customWidth="1"/>
    <col min="14085" max="14085" width="8.42578125" bestFit="1" customWidth="1"/>
    <col min="14086" max="14086" width="22.7109375" bestFit="1" customWidth="1"/>
    <col min="14087" max="14087" width="25" bestFit="1" customWidth="1"/>
    <col min="14088" max="14088" width="4.5703125" bestFit="1" customWidth="1"/>
    <col min="14089" max="14090" width="2.140625" bestFit="1" customWidth="1"/>
    <col min="14091" max="14093" width="4.5703125" bestFit="1" customWidth="1"/>
    <col min="14094" max="14094" width="7.85546875" bestFit="1" customWidth="1"/>
    <col min="14095" max="14095" width="9.5703125" bestFit="1" customWidth="1"/>
    <col min="14096" max="14096" width="18.28515625" bestFit="1" customWidth="1"/>
    <col min="14338" max="14338" width="26" bestFit="1" customWidth="1"/>
    <col min="14339" max="14339" width="21.42578125" bestFit="1" customWidth="1"/>
    <col min="14340" max="14340" width="10.5703125" bestFit="1" customWidth="1"/>
    <col min="14341" max="14341" width="8.42578125" bestFit="1" customWidth="1"/>
    <col min="14342" max="14342" width="22.7109375" bestFit="1" customWidth="1"/>
    <col min="14343" max="14343" width="25" bestFit="1" customWidth="1"/>
    <col min="14344" max="14344" width="4.5703125" bestFit="1" customWidth="1"/>
    <col min="14345" max="14346" width="2.140625" bestFit="1" customWidth="1"/>
    <col min="14347" max="14349" width="4.5703125" bestFit="1" customWidth="1"/>
    <col min="14350" max="14350" width="7.85546875" bestFit="1" customWidth="1"/>
    <col min="14351" max="14351" width="9.5703125" bestFit="1" customWidth="1"/>
    <col min="14352" max="14352" width="18.28515625" bestFit="1" customWidth="1"/>
    <col min="14594" max="14594" width="26" bestFit="1" customWidth="1"/>
    <col min="14595" max="14595" width="21.42578125" bestFit="1" customWidth="1"/>
    <col min="14596" max="14596" width="10.5703125" bestFit="1" customWidth="1"/>
    <col min="14597" max="14597" width="8.42578125" bestFit="1" customWidth="1"/>
    <col min="14598" max="14598" width="22.7109375" bestFit="1" customWidth="1"/>
    <col min="14599" max="14599" width="25" bestFit="1" customWidth="1"/>
    <col min="14600" max="14600" width="4.5703125" bestFit="1" customWidth="1"/>
    <col min="14601" max="14602" width="2.140625" bestFit="1" customWidth="1"/>
    <col min="14603" max="14605" width="4.5703125" bestFit="1" customWidth="1"/>
    <col min="14606" max="14606" width="7.85546875" bestFit="1" customWidth="1"/>
    <col min="14607" max="14607" width="9.5703125" bestFit="1" customWidth="1"/>
    <col min="14608" max="14608" width="18.28515625" bestFit="1" customWidth="1"/>
    <col min="14850" max="14850" width="26" bestFit="1" customWidth="1"/>
    <col min="14851" max="14851" width="21.42578125" bestFit="1" customWidth="1"/>
    <col min="14852" max="14852" width="10.5703125" bestFit="1" customWidth="1"/>
    <col min="14853" max="14853" width="8.42578125" bestFit="1" customWidth="1"/>
    <col min="14854" max="14854" width="22.7109375" bestFit="1" customWidth="1"/>
    <col min="14855" max="14855" width="25" bestFit="1" customWidth="1"/>
    <col min="14856" max="14856" width="4.5703125" bestFit="1" customWidth="1"/>
    <col min="14857" max="14858" width="2.140625" bestFit="1" customWidth="1"/>
    <col min="14859" max="14861" width="4.5703125" bestFit="1" customWidth="1"/>
    <col min="14862" max="14862" width="7.85546875" bestFit="1" customWidth="1"/>
    <col min="14863" max="14863" width="9.5703125" bestFit="1" customWidth="1"/>
    <col min="14864" max="14864" width="18.28515625" bestFit="1" customWidth="1"/>
    <col min="15106" max="15106" width="26" bestFit="1" customWidth="1"/>
    <col min="15107" max="15107" width="21.42578125" bestFit="1" customWidth="1"/>
    <col min="15108" max="15108" width="10.5703125" bestFit="1" customWidth="1"/>
    <col min="15109" max="15109" width="8.42578125" bestFit="1" customWidth="1"/>
    <col min="15110" max="15110" width="22.7109375" bestFit="1" customWidth="1"/>
    <col min="15111" max="15111" width="25" bestFit="1" customWidth="1"/>
    <col min="15112" max="15112" width="4.5703125" bestFit="1" customWidth="1"/>
    <col min="15113" max="15114" width="2.140625" bestFit="1" customWidth="1"/>
    <col min="15115" max="15117" width="4.5703125" bestFit="1" customWidth="1"/>
    <col min="15118" max="15118" width="7.85546875" bestFit="1" customWidth="1"/>
    <col min="15119" max="15119" width="9.5703125" bestFit="1" customWidth="1"/>
    <col min="15120" max="15120" width="18.28515625" bestFit="1" customWidth="1"/>
    <col min="15362" max="15362" width="26" bestFit="1" customWidth="1"/>
    <col min="15363" max="15363" width="21.42578125" bestFit="1" customWidth="1"/>
    <col min="15364" max="15364" width="10.5703125" bestFit="1" customWidth="1"/>
    <col min="15365" max="15365" width="8.42578125" bestFit="1" customWidth="1"/>
    <col min="15366" max="15366" width="22.7109375" bestFit="1" customWidth="1"/>
    <col min="15367" max="15367" width="25" bestFit="1" customWidth="1"/>
    <col min="15368" max="15368" width="4.5703125" bestFit="1" customWidth="1"/>
    <col min="15369" max="15370" width="2.140625" bestFit="1" customWidth="1"/>
    <col min="15371" max="15373" width="4.5703125" bestFit="1" customWidth="1"/>
    <col min="15374" max="15374" width="7.85546875" bestFit="1" customWidth="1"/>
    <col min="15375" max="15375" width="9.5703125" bestFit="1" customWidth="1"/>
    <col min="15376" max="15376" width="18.28515625" bestFit="1" customWidth="1"/>
    <col min="15618" max="15618" width="26" bestFit="1" customWidth="1"/>
    <col min="15619" max="15619" width="21.42578125" bestFit="1" customWidth="1"/>
    <col min="15620" max="15620" width="10.5703125" bestFit="1" customWidth="1"/>
    <col min="15621" max="15621" width="8.42578125" bestFit="1" customWidth="1"/>
    <col min="15622" max="15622" width="22.7109375" bestFit="1" customWidth="1"/>
    <col min="15623" max="15623" width="25" bestFit="1" customWidth="1"/>
    <col min="15624" max="15624" width="4.5703125" bestFit="1" customWidth="1"/>
    <col min="15625" max="15626" width="2.140625" bestFit="1" customWidth="1"/>
    <col min="15627" max="15629" width="4.5703125" bestFit="1" customWidth="1"/>
    <col min="15630" max="15630" width="7.85546875" bestFit="1" customWidth="1"/>
    <col min="15631" max="15631" width="9.5703125" bestFit="1" customWidth="1"/>
    <col min="15632" max="15632" width="18.28515625" bestFit="1" customWidth="1"/>
    <col min="15874" max="15874" width="26" bestFit="1" customWidth="1"/>
    <col min="15875" max="15875" width="21.42578125" bestFit="1" customWidth="1"/>
    <col min="15876" max="15876" width="10.5703125" bestFit="1" customWidth="1"/>
    <col min="15877" max="15877" width="8.42578125" bestFit="1" customWidth="1"/>
    <col min="15878" max="15878" width="22.7109375" bestFit="1" customWidth="1"/>
    <col min="15879" max="15879" width="25" bestFit="1" customWidth="1"/>
    <col min="15880" max="15880" width="4.5703125" bestFit="1" customWidth="1"/>
    <col min="15881" max="15882" width="2.140625" bestFit="1" customWidth="1"/>
    <col min="15883" max="15885" width="4.5703125" bestFit="1" customWidth="1"/>
    <col min="15886" max="15886" width="7.85546875" bestFit="1" customWidth="1"/>
    <col min="15887" max="15887" width="9.5703125" bestFit="1" customWidth="1"/>
    <col min="15888" max="15888" width="18.28515625" bestFit="1" customWidth="1"/>
    <col min="16130" max="16130" width="26" bestFit="1" customWidth="1"/>
    <col min="16131" max="16131" width="21.42578125" bestFit="1" customWidth="1"/>
    <col min="16132" max="16132" width="10.5703125" bestFit="1" customWidth="1"/>
    <col min="16133" max="16133" width="8.42578125" bestFit="1" customWidth="1"/>
    <col min="16134" max="16134" width="22.7109375" bestFit="1" customWidth="1"/>
    <col min="16135" max="16135" width="25" bestFit="1" customWidth="1"/>
    <col min="16136" max="16136" width="4.5703125" bestFit="1" customWidth="1"/>
    <col min="16137" max="16138" width="2.140625" bestFit="1" customWidth="1"/>
    <col min="16139" max="16141" width="4.5703125" bestFit="1" customWidth="1"/>
    <col min="16142" max="16142" width="7.85546875" bestFit="1" customWidth="1"/>
    <col min="16143" max="16143" width="9.5703125" bestFit="1" customWidth="1"/>
    <col min="16144" max="16144" width="18.28515625" bestFit="1" customWidth="1"/>
  </cols>
  <sheetData>
    <row r="1" spans="1:16" ht="30" x14ac:dyDescent="0.4">
      <c r="A1" s="348" t="s">
        <v>4054</v>
      </c>
      <c r="B1" s="349"/>
      <c r="C1" s="349"/>
      <c r="D1" s="349"/>
      <c r="E1" s="349"/>
      <c r="F1" s="349"/>
      <c r="G1" s="349"/>
      <c r="H1" s="349"/>
      <c r="I1" s="349"/>
      <c r="J1" s="349"/>
      <c r="K1" s="349"/>
      <c r="L1" s="349"/>
      <c r="M1" s="349"/>
      <c r="N1" s="349"/>
      <c r="O1" s="349"/>
      <c r="P1" s="350"/>
    </row>
    <row r="2" spans="1:16" ht="30" x14ac:dyDescent="0.4">
      <c r="A2" s="351" t="s">
        <v>4055</v>
      </c>
      <c r="B2" s="352"/>
      <c r="C2" s="352"/>
      <c r="D2" s="352"/>
      <c r="E2" s="352"/>
      <c r="F2" s="352"/>
      <c r="G2" s="352"/>
      <c r="H2" s="352"/>
      <c r="I2" s="352"/>
      <c r="J2" s="352"/>
      <c r="K2" s="352"/>
      <c r="L2" s="352"/>
      <c r="M2" s="352"/>
      <c r="N2" s="352"/>
      <c r="O2" s="352"/>
      <c r="P2" s="353"/>
    </row>
    <row r="3" spans="1:16" ht="30.75" thickBot="1" x14ac:dyDescent="0.45">
      <c r="A3" s="354" t="s">
        <v>4056</v>
      </c>
      <c r="B3" s="355"/>
      <c r="C3" s="355"/>
      <c r="D3" s="355"/>
      <c r="E3" s="355"/>
      <c r="F3" s="355"/>
      <c r="G3" s="355"/>
      <c r="H3" s="355"/>
      <c r="I3" s="355"/>
      <c r="J3" s="355"/>
      <c r="K3" s="355"/>
      <c r="L3" s="355"/>
      <c r="M3" s="355"/>
      <c r="N3" s="355"/>
      <c r="O3" s="355"/>
      <c r="P3" s="356"/>
    </row>
    <row r="4" spans="1:16" s="5" customFormat="1" ht="15" customHeight="1" x14ac:dyDescent="0.2">
      <c r="A4" s="300" t="s">
        <v>2842</v>
      </c>
      <c r="B4" s="312" t="s">
        <v>2820</v>
      </c>
      <c r="C4" s="357" t="s">
        <v>2843</v>
      </c>
      <c r="D4" s="357" t="s">
        <v>2844</v>
      </c>
      <c r="E4" s="304" t="s">
        <v>2821</v>
      </c>
      <c r="F4" s="304" t="s">
        <v>2822</v>
      </c>
      <c r="G4" s="305" t="s">
        <v>2841</v>
      </c>
      <c r="H4" s="304" t="s">
        <v>3013</v>
      </c>
      <c r="I4" s="304"/>
      <c r="J4" s="304"/>
      <c r="K4" s="304"/>
      <c r="L4" s="304" t="s">
        <v>2849</v>
      </c>
      <c r="M4" s="304"/>
      <c r="N4" s="304" t="s">
        <v>2824</v>
      </c>
      <c r="O4" s="304" t="s">
        <v>2825</v>
      </c>
      <c r="P4" s="307" t="s">
        <v>2826</v>
      </c>
    </row>
    <row r="5" spans="1:16" s="5" customFormat="1" ht="15.75" thickBot="1" x14ac:dyDescent="0.25">
      <c r="A5" s="301"/>
      <c r="B5" s="313"/>
      <c r="C5" s="358"/>
      <c r="D5" s="358"/>
      <c r="E5" s="303"/>
      <c r="F5" s="303"/>
      <c r="G5" s="306"/>
      <c r="H5" s="2">
        <v>1</v>
      </c>
      <c r="I5" s="2">
        <v>2</v>
      </c>
      <c r="J5" s="2">
        <v>3</v>
      </c>
      <c r="K5" s="2" t="s">
        <v>2827</v>
      </c>
      <c r="L5" s="2" t="s">
        <v>2847</v>
      </c>
      <c r="M5" s="2" t="s">
        <v>2846</v>
      </c>
      <c r="N5" s="303"/>
      <c r="O5" s="303"/>
      <c r="P5" s="310"/>
    </row>
    <row r="6" spans="1:16" ht="15" x14ac:dyDescent="0.2">
      <c r="B6" s="299" t="s">
        <v>2828</v>
      </c>
      <c r="C6" s="299"/>
      <c r="D6" s="299"/>
      <c r="E6" s="299"/>
      <c r="F6" s="299"/>
      <c r="G6" s="299"/>
      <c r="H6" s="299"/>
      <c r="I6" s="299"/>
      <c r="J6" s="299"/>
      <c r="K6" s="299"/>
      <c r="L6" s="299"/>
      <c r="M6" s="299"/>
      <c r="N6" s="299"/>
      <c r="O6" s="299"/>
    </row>
    <row r="7" spans="1:16" x14ac:dyDescent="0.2">
      <c r="A7" s="43">
        <v>1</v>
      </c>
      <c r="B7" s="7" t="s">
        <v>3014</v>
      </c>
      <c r="C7" s="7" t="s">
        <v>3015</v>
      </c>
      <c r="D7" s="7" t="s">
        <v>1304</v>
      </c>
      <c r="E7" s="7" t="str">
        <f>"1,1325"</f>
        <v>1,1325</v>
      </c>
      <c r="F7" s="7" t="s">
        <v>2853</v>
      </c>
      <c r="G7" s="7" t="s">
        <v>2862</v>
      </c>
      <c r="H7" s="34" t="s">
        <v>67</v>
      </c>
      <c r="I7" s="20"/>
      <c r="J7" s="20"/>
      <c r="K7" s="20"/>
      <c r="L7" s="19" t="s">
        <v>1589</v>
      </c>
      <c r="M7" s="19" t="s">
        <v>3016</v>
      </c>
      <c r="N7" s="19">
        <v>107.5</v>
      </c>
      <c r="O7" s="19" t="str">
        <f>"5067,9377"</f>
        <v>5067,9377</v>
      </c>
      <c r="P7" s="7" t="s">
        <v>3017</v>
      </c>
    </row>
    <row r="9" spans="1:16" ht="13.5" thickBot="1" x14ac:dyDescent="0.25"/>
    <row r="10" spans="1:16" ht="30" x14ac:dyDescent="0.4">
      <c r="A10" s="348" t="s">
        <v>4054</v>
      </c>
      <c r="B10" s="349"/>
      <c r="C10" s="349"/>
      <c r="D10" s="349"/>
      <c r="E10" s="349"/>
      <c r="F10" s="349"/>
      <c r="G10" s="349"/>
      <c r="H10" s="349"/>
      <c r="I10" s="349"/>
      <c r="J10" s="349"/>
      <c r="K10" s="349"/>
      <c r="L10" s="349"/>
      <c r="M10" s="349"/>
      <c r="N10" s="349"/>
      <c r="O10" s="349"/>
      <c r="P10" s="350"/>
    </row>
    <row r="11" spans="1:16" ht="30" x14ac:dyDescent="0.4">
      <c r="A11" s="351" t="s">
        <v>4057</v>
      </c>
      <c r="B11" s="352"/>
      <c r="C11" s="352"/>
      <c r="D11" s="352"/>
      <c r="E11" s="352"/>
      <c r="F11" s="352"/>
      <c r="G11" s="352"/>
      <c r="H11" s="352"/>
      <c r="I11" s="352"/>
      <c r="J11" s="352"/>
      <c r="K11" s="352"/>
      <c r="L11" s="352"/>
      <c r="M11" s="352"/>
      <c r="N11" s="352"/>
      <c r="O11" s="352"/>
      <c r="P11" s="353"/>
    </row>
    <row r="12" spans="1:16" ht="30.75" thickBot="1" x14ac:dyDescent="0.45">
      <c r="A12" s="354" t="s">
        <v>4056</v>
      </c>
      <c r="B12" s="355"/>
      <c r="C12" s="355"/>
      <c r="D12" s="355"/>
      <c r="E12" s="355"/>
      <c r="F12" s="355"/>
      <c r="G12" s="355"/>
      <c r="H12" s="355"/>
      <c r="I12" s="355"/>
      <c r="J12" s="355"/>
      <c r="K12" s="355"/>
      <c r="L12" s="355"/>
      <c r="M12" s="355"/>
      <c r="N12" s="355"/>
      <c r="O12" s="355"/>
      <c r="P12" s="356"/>
    </row>
    <row r="13" spans="1:16" ht="15" x14ac:dyDescent="0.2">
      <c r="A13" s="300" t="s">
        <v>2842</v>
      </c>
      <c r="B13" s="312" t="s">
        <v>2820</v>
      </c>
      <c r="C13" s="357" t="s">
        <v>2843</v>
      </c>
      <c r="D13" s="357" t="s">
        <v>2844</v>
      </c>
      <c r="E13" s="304" t="s">
        <v>2821</v>
      </c>
      <c r="F13" s="304" t="s">
        <v>2822</v>
      </c>
      <c r="G13" s="305" t="s">
        <v>2841</v>
      </c>
      <c r="H13" s="304" t="s">
        <v>3013</v>
      </c>
      <c r="I13" s="304"/>
      <c r="J13" s="304"/>
      <c r="K13" s="304"/>
      <c r="L13" s="304" t="s">
        <v>2849</v>
      </c>
      <c r="M13" s="304"/>
      <c r="N13" s="304" t="s">
        <v>2824</v>
      </c>
      <c r="O13" s="304" t="s">
        <v>2825</v>
      </c>
      <c r="P13" s="307" t="s">
        <v>2826</v>
      </c>
    </row>
    <row r="14" spans="1:16" ht="15" thickBot="1" x14ac:dyDescent="0.25">
      <c r="A14" s="301"/>
      <c r="B14" s="313"/>
      <c r="C14" s="358"/>
      <c r="D14" s="358"/>
      <c r="E14" s="303"/>
      <c r="F14" s="303"/>
      <c r="G14" s="306"/>
      <c r="H14" s="2">
        <v>1</v>
      </c>
      <c r="I14" s="2">
        <v>2</v>
      </c>
      <c r="J14" s="2">
        <v>3</v>
      </c>
      <c r="K14" s="2" t="s">
        <v>2827</v>
      </c>
      <c r="L14" s="2" t="s">
        <v>2847</v>
      </c>
      <c r="M14" s="2" t="s">
        <v>2846</v>
      </c>
      <c r="N14" s="303"/>
      <c r="O14" s="303"/>
      <c r="P14" s="310"/>
    </row>
    <row r="15" spans="1:16" ht="15" x14ac:dyDescent="0.2">
      <c r="B15" s="299" t="s">
        <v>3022</v>
      </c>
      <c r="C15" s="299"/>
      <c r="D15" s="299"/>
      <c r="E15" s="299"/>
      <c r="F15" s="299"/>
      <c r="G15" s="299"/>
      <c r="H15" s="299"/>
      <c r="I15" s="299"/>
      <c r="J15" s="299"/>
      <c r="K15" s="299"/>
      <c r="L15" s="299"/>
      <c r="M15" s="299"/>
      <c r="N15" s="299"/>
      <c r="O15" s="299"/>
    </row>
    <row r="16" spans="1:16" x14ac:dyDescent="0.2">
      <c r="A16" s="43">
        <v>1</v>
      </c>
      <c r="B16" s="7" t="s">
        <v>3023</v>
      </c>
      <c r="C16" s="7" t="s">
        <v>3024</v>
      </c>
      <c r="D16" s="7" t="s">
        <v>3025</v>
      </c>
      <c r="E16" s="7" t="str">
        <f>"1,2964"</f>
        <v>1,2964</v>
      </c>
      <c r="F16" s="7" t="s">
        <v>2831</v>
      </c>
      <c r="G16" s="7" t="s">
        <v>2832</v>
      </c>
      <c r="H16" s="34" t="s">
        <v>52</v>
      </c>
      <c r="I16" s="20"/>
      <c r="J16" s="20"/>
      <c r="K16" s="20"/>
      <c r="L16" s="19" t="s">
        <v>2874</v>
      </c>
      <c r="M16" s="19" t="s">
        <v>2857</v>
      </c>
      <c r="N16" s="19">
        <v>79</v>
      </c>
      <c r="O16" s="19" t="str">
        <f>"3856,7899"</f>
        <v>3856,7899</v>
      </c>
      <c r="P16" s="7" t="s">
        <v>2833</v>
      </c>
    </row>
    <row r="18" spans="1:16" ht="15" x14ac:dyDescent="0.2">
      <c r="B18" s="294" t="s">
        <v>2828</v>
      </c>
      <c r="C18" s="294"/>
      <c r="D18" s="294"/>
      <c r="E18" s="294"/>
      <c r="F18" s="294"/>
      <c r="G18" s="294"/>
      <c r="H18" s="294"/>
      <c r="I18" s="294"/>
      <c r="J18" s="294"/>
      <c r="K18" s="294"/>
      <c r="L18" s="294"/>
      <c r="M18" s="294"/>
      <c r="N18" s="294"/>
      <c r="O18" s="294"/>
    </row>
    <row r="19" spans="1:16" x14ac:dyDescent="0.2">
      <c r="A19" s="43">
        <v>1</v>
      </c>
      <c r="B19" s="7" t="s">
        <v>3026</v>
      </c>
      <c r="C19" s="7" t="s">
        <v>3027</v>
      </c>
      <c r="D19" s="7" t="s">
        <v>1704</v>
      </c>
      <c r="E19" s="7" t="str">
        <f>"1,1310"</f>
        <v>1,1310</v>
      </c>
      <c r="F19" s="7" t="s">
        <v>2901</v>
      </c>
      <c r="G19" s="7" t="s">
        <v>3028</v>
      </c>
      <c r="H19" s="34" t="s">
        <v>86</v>
      </c>
      <c r="I19" s="20"/>
      <c r="J19" s="20"/>
      <c r="K19" s="20"/>
      <c r="L19" s="19" t="s">
        <v>1589</v>
      </c>
      <c r="M19" s="19" t="s">
        <v>2955</v>
      </c>
      <c r="N19" s="19">
        <v>113</v>
      </c>
      <c r="O19" s="19" t="str">
        <f>"5191,2902"</f>
        <v>5191,2902</v>
      </c>
      <c r="P19" s="7" t="s">
        <v>3029</v>
      </c>
    </row>
    <row r="21" spans="1:16" ht="13.5" thickBot="1" x14ac:dyDescent="0.25"/>
    <row r="22" spans="1:16" ht="30" x14ac:dyDescent="0.4">
      <c r="A22" s="348" t="s">
        <v>4054</v>
      </c>
      <c r="B22" s="349"/>
      <c r="C22" s="349"/>
      <c r="D22" s="349"/>
      <c r="E22" s="349"/>
      <c r="F22" s="349"/>
      <c r="G22" s="349"/>
      <c r="H22" s="349"/>
      <c r="I22" s="349"/>
      <c r="J22" s="349"/>
      <c r="K22" s="349"/>
      <c r="L22" s="349"/>
      <c r="M22" s="349"/>
      <c r="N22" s="349"/>
      <c r="O22" s="349"/>
      <c r="P22" s="350"/>
    </row>
    <row r="23" spans="1:16" ht="30" x14ac:dyDescent="0.4">
      <c r="A23" s="351" t="s">
        <v>4058</v>
      </c>
      <c r="B23" s="352"/>
      <c r="C23" s="352"/>
      <c r="D23" s="352"/>
      <c r="E23" s="352"/>
      <c r="F23" s="352"/>
      <c r="G23" s="352"/>
      <c r="H23" s="352"/>
      <c r="I23" s="352"/>
      <c r="J23" s="352"/>
      <c r="K23" s="352"/>
      <c r="L23" s="352"/>
      <c r="M23" s="352"/>
      <c r="N23" s="352"/>
      <c r="O23" s="352"/>
      <c r="P23" s="353"/>
    </row>
    <row r="24" spans="1:16" ht="30.75" thickBot="1" x14ac:dyDescent="0.45">
      <c r="A24" s="354" t="s">
        <v>4056</v>
      </c>
      <c r="B24" s="355"/>
      <c r="C24" s="355"/>
      <c r="D24" s="355"/>
      <c r="E24" s="355"/>
      <c r="F24" s="355"/>
      <c r="G24" s="355"/>
      <c r="H24" s="355"/>
      <c r="I24" s="355"/>
      <c r="J24" s="355"/>
      <c r="K24" s="355"/>
      <c r="L24" s="355"/>
      <c r="M24" s="355"/>
      <c r="N24" s="355"/>
      <c r="O24" s="355"/>
      <c r="P24" s="356"/>
    </row>
    <row r="25" spans="1:16" ht="15" x14ac:dyDescent="0.2">
      <c r="A25" s="300" t="s">
        <v>2842</v>
      </c>
      <c r="B25" s="312" t="s">
        <v>2820</v>
      </c>
      <c r="C25" s="357" t="s">
        <v>2843</v>
      </c>
      <c r="D25" s="357" t="s">
        <v>2844</v>
      </c>
      <c r="E25" s="304" t="s">
        <v>2821</v>
      </c>
      <c r="F25" s="304" t="s">
        <v>2822</v>
      </c>
      <c r="G25" s="305" t="s">
        <v>2841</v>
      </c>
      <c r="H25" s="304" t="s">
        <v>3013</v>
      </c>
      <c r="I25" s="304"/>
      <c r="J25" s="304"/>
      <c r="K25" s="304"/>
      <c r="L25" s="304" t="s">
        <v>2849</v>
      </c>
      <c r="M25" s="304"/>
      <c r="N25" s="359" t="s">
        <v>2824</v>
      </c>
      <c r="O25" s="304" t="s">
        <v>2825</v>
      </c>
      <c r="P25" s="307" t="s">
        <v>2826</v>
      </c>
    </row>
    <row r="26" spans="1:16" ht="15" thickBot="1" x14ac:dyDescent="0.25">
      <c r="A26" s="301"/>
      <c r="B26" s="313"/>
      <c r="C26" s="358"/>
      <c r="D26" s="358"/>
      <c r="E26" s="303"/>
      <c r="F26" s="303"/>
      <c r="G26" s="306"/>
      <c r="H26" s="2">
        <v>1</v>
      </c>
      <c r="I26" s="2">
        <v>2</v>
      </c>
      <c r="J26" s="2">
        <v>3</v>
      </c>
      <c r="K26" s="2" t="s">
        <v>2827</v>
      </c>
      <c r="L26" s="2" t="s">
        <v>2847</v>
      </c>
      <c r="M26" s="2" t="s">
        <v>2846</v>
      </c>
      <c r="N26" s="360"/>
      <c r="O26" s="303"/>
      <c r="P26" s="310"/>
    </row>
    <row r="27" spans="1:16" ht="15" x14ac:dyDescent="0.2">
      <c r="A27" s="43"/>
      <c r="B27" s="299" t="s">
        <v>2850</v>
      </c>
      <c r="C27" s="299"/>
      <c r="D27" s="299"/>
      <c r="E27" s="299"/>
      <c r="F27" s="299"/>
      <c r="G27" s="299"/>
      <c r="H27" s="299"/>
      <c r="I27" s="299"/>
      <c r="J27" s="299"/>
      <c r="K27" s="299"/>
      <c r="L27" s="299"/>
      <c r="M27" s="299"/>
      <c r="N27" s="299"/>
      <c r="O27" s="299"/>
    </row>
    <row r="28" spans="1:16" x14ac:dyDescent="0.2">
      <c r="A28" s="43">
        <v>1</v>
      </c>
      <c r="B28" s="7" t="s">
        <v>3030</v>
      </c>
      <c r="C28" s="7" t="s">
        <v>2680</v>
      </c>
      <c r="D28" s="7" t="s">
        <v>3031</v>
      </c>
      <c r="E28" s="7" t="str">
        <f>"1,0028"</f>
        <v>1,0028</v>
      </c>
      <c r="F28" s="7" t="s">
        <v>2853</v>
      </c>
      <c r="G28" s="7" t="s">
        <v>3032</v>
      </c>
      <c r="H28" s="34" t="s">
        <v>43</v>
      </c>
      <c r="I28" s="34" t="s">
        <v>85</v>
      </c>
      <c r="J28" s="34" t="s">
        <v>46</v>
      </c>
      <c r="K28" s="20"/>
      <c r="L28" s="19" t="s">
        <v>51</v>
      </c>
      <c r="M28" s="19" t="s">
        <v>3085</v>
      </c>
      <c r="N28" s="28">
        <v>103</v>
      </c>
      <c r="O28" s="19" t="str">
        <f>"5470,7753"</f>
        <v>5470,7753</v>
      </c>
      <c r="P28" s="7" t="s">
        <v>3092</v>
      </c>
    </row>
    <row r="29" spans="1:16" x14ac:dyDescent="0.2">
      <c r="A29" s="43"/>
      <c r="H29" s="27"/>
      <c r="I29" s="27"/>
      <c r="J29" s="27"/>
      <c r="K29" s="27"/>
      <c r="L29" s="27"/>
      <c r="M29" s="27"/>
      <c r="N29" s="32"/>
      <c r="O29" s="27"/>
    </row>
    <row r="30" spans="1:16" ht="15" x14ac:dyDescent="0.2">
      <c r="A30" s="43"/>
      <c r="B30" s="294" t="s">
        <v>2828</v>
      </c>
      <c r="C30" s="294"/>
      <c r="D30" s="294"/>
      <c r="E30" s="294"/>
      <c r="F30" s="294"/>
      <c r="G30" s="294"/>
      <c r="H30" s="294"/>
      <c r="I30" s="294"/>
      <c r="J30" s="294"/>
      <c r="K30" s="294"/>
      <c r="L30" s="294"/>
      <c r="M30" s="294"/>
      <c r="N30" s="294"/>
      <c r="O30" s="294"/>
    </row>
    <row r="31" spans="1:16" x14ac:dyDescent="0.2">
      <c r="A31" s="43">
        <v>1</v>
      </c>
      <c r="B31" s="7" t="s">
        <v>3033</v>
      </c>
      <c r="C31" s="7" t="s">
        <v>3034</v>
      </c>
      <c r="D31" s="7" t="s">
        <v>1304</v>
      </c>
      <c r="E31" s="7" t="str">
        <f>"0,8689"</f>
        <v>0,8689</v>
      </c>
      <c r="F31" s="7" t="s">
        <v>2853</v>
      </c>
      <c r="G31" s="7" t="s">
        <v>3096</v>
      </c>
      <c r="H31" s="34" t="s">
        <v>46</v>
      </c>
      <c r="I31" s="20"/>
      <c r="J31" s="20"/>
      <c r="K31" s="20"/>
      <c r="L31" s="19" t="s">
        <v>86</v>
      </c>
      <c r="M31" s="19" t="s">
        <v>3086</v>
      </c>
      <c r="N31" s="28">
        <v>110</v>
      </c>
      <c r="O31" s="19" t="str">
        <f>"4952,7300"</f>
        <v>4952,7300</v>
      </c>
      <c r="P31" s="7" t="s">
        <v>2855</v>
      </c>
    </row>
    <row r="32" spans="1:16" x14ac:dyDescent="0.2">
      <c r="A32" s="43"/>
      <c r="H32" s="27"/>
      <c r="I32" s="27"/>
      <c r="J32" s="27"/>
      <c r="K32" s="27"/>
      <c r="L32" s="27"/>
      <c r="M32" s="27"/>
      <c r="N32" s="32"/>
      <c r="O32" s="27"/>
    </row>
    <row r="33" spans="1:16" ht="15" x14ac:dyDescent="0.2">
      <c r="A33" s="43"/>
      <c r="B33" s="294" t="s">
        <v>2850</v>
      </c>
      <c r="C33" s="294"/>
      <c r="D33" s="294"/>
      <c r="E33" s="294"/>
      <c r="F33" s="294"/>
      <c r="G33" s="294"/>
      <c r="H33" s="294"/>
      <c r="I33" s="294"/>
      <c r="J33" s="294"/>
      <c r="K33" s="294"/>
      <c r="L33" s="294"/>
      <c r="M33" s="294"/>
      <c r="N33" s="294"/>
      <c r="O33" s="294"/>
    </row>
    <row r="34" spans="1:16" x14ac:dyDescent="0.2">
      <c r="A34" s="43">
        <v>1</v>
      </c>
      <c r="B34" s="7" t="s">
        <v>3035</v>
      </c>
      <c r="C34" s="7" t="s">
        <v>3036</v>
      </c>
      <c r="D34" s="7" t="s">
        <v>3037</v>
      </c>
      <c r="E34" s="7" t="str">
        <f>"0,7578"</f>
        <v>0,7578</v>
      </c>
      <c r="F34" s="7" t="s">
        <v>2853</v>
      </c>
      <c r="G34" s="7" t="s">
        <v>3038</v>
      </c>
      <c r="H34" s="34" t="s">
        <v>104</v>
      </c>
      <c r="I34" s="20"/>
      <c r="J34" s="20"/>
      <c r="K34" s="20"/>
      <c r="L34" s="19" t="s">
        <v>51</v>
      </c>
      <c r="M34" s="19" t="s">
        <v>3021</v>
      </c>
      <c r="N34" s="28">
        <v>156</v>
      </c>
      <c r="O34" s="19" t="str">
        <f>"6373,8557"</f>
        <v>6373,8557</v>
      </c>
      <c r="P34" s="7" t="s">
        <v>2855</v>
      </c>
    </row>
    <row r="35" spans="1:16" x14ac:dyDescent="0.2">
      <c r="A35" s="43"/>
      <c r="H35" s="27"/>
      <c r="I35" s="27"/>
      <c r="J35" s="27"/>
      <c r="K35" s="27"/>
      <c r="L35" s="27"/>
      <c r="M35" s="27"/>
      <c r="N35" s="32"/>
      <c r="O35" s="27"/>
    </row>
    <row r="36" spans="1:16" ht="15" x14ac:dyDescent="0.2">
      <c r="A36" s="43"/>
      <c r="B36" s="294" t="s">
        <v>2891</v>
      </c>
      <c r="C36" s="294"/>
      <c r="D36" s="294"/>
      <c r="E36" s="294"/>
      <c r="F36" s="294"/>
      <c r="G36" s="294"/>
      <c r="H36" s="294"/>
      <c r="I36" s="294"/>
      <c r="J36" s="294"/>
      <c r="K36" s="294"/>
      <c r="L36" s="294"/>
      <c r="M36" s="294"/>
      <c r="N36" s="294"/>
      <c r="O36" s="294"/>
    </row>
    <row r="37" spans="1:16" x14ac:dyDescent="0.2">
      <c r="A37" s="43">
        <v>1</v>
      </c>
      <c r="B37" s="15" t="s">
        <v>3039</v>
      </c>
      <c r="C37" s="15" t="s">
        <v>3040</v>
      </c>
      <c r="D37" s="15" t="s">
        <v>3041</v>
      </c>
      <c r="E37" s="15" t="str">
        <f>"0,7061"</f>
        <v>0,7061</v>
      </c>
      <c r="F37" s="15" t="s">
        <v>2853</v>
      </c>
      <c r="G37" s="15" t="s">
        <v>2862</v>
      </c>
      <c r="H37" s="35" t="s">
        <v>104</v>
      </c>
      <c r="I37" s="35" t="s">
        <v>116</v>
      </c>
      <c r="J37" s="38" t="s">
        <v>186</v>
      </c>
      <c r="K37" s="22"/>
      <c r="L37" s="21" t="s">
        <v>42</v>
      </c>
      <c r="M37" s="21" t="s">
        <v>2845</v>
      </c>
      <c r="N37" s="29">
        <v>171</v>
      </c>
      <c r="O37" s="21" t="str">
        <f>"6868,9407"</f>
        <v>6868,9407</v>
      </c>
      <c r="P37" s="15" t="s">
        <v>3042</v>
      </c>
    </row>
    <row r="38" spans="1:16" x14ac:dyDescent="0.2">
      <c r="A38" s="43">
        <v>2</v>
      </c>
      <c r="B38" s="16" t="s">
        <v>3043</v>
      </c>
      <c r="C38" s="16" t="s">
        <v>3044</v>
      </c>
      <c r="D38" s="16" t="s">
        <v>437</v>
      </c>
      <c r="E38" s="16" t="str">
        <f>"0,6945"</f>
        <v>0,6945</v>
      </c>
      <c r="F38" s="16" t="s">
        <v>2853</v>
      </c>
      <c r="G38" s="16" t="s">
        <v>2832</v>
      </c>
      <c r="H38" s="36" t="s">
        <v>71</v>
      </c>
      <c r="I38" s="40" t="s">
        <v>104</v>
      </c>
      <c r="J38" s="40" t="s">
        <v>23</v>
      </c>
      <c r="K38" s="24"/>
      <c r="L38" s="23" t="s">
        <v>42</v>
      </c>
      <c r="M38" s="23" t="s">
        <v>3003</v>
      </c>
      <c r="N38" s="30">
        <v>144</v>
      </c>
      <c r="O38" s="23" t="str">
        <f>"5633,7842"</f>
        <v>5633,7842</v>
      </c>
      <c r="P38" s="16" t="s">
        <v>2855</v>
      </c>
    </row>
    <row r="39" spans="1:16" x14ac:dyDescent="0.2">
      <c r="A39" s="43">
        <v>1</v>
      </c>
      <c r="B39" s="17" t="s">
        <v>3045</v>
      </c>
      <c r="C39" s="17" t="s">
        <v>3046</v>
      </c>
      <c r="D39" s="17" t="s">
        <v>3047</v>
      </c>
      <c r="E39" s="17" t="str">
        <f>"0,7093"</f>
        <v>0,7093</v>
      </c>
      <c r="F39" s="17" t="s">
        <v>2853</v>
      </c>
      <c r="G39" s="17" t="s">
        <v>3048</v>
      </c>
      <c r="H39" s="37" t="s">
        <v>70</v>
      </c>
      <c r="I39" s="37" t="s">
        <v>169</v>
      </c>
      <c r="J39" s="37" t="s">
        <v>71</v>
      </c>
      <c r="K39" s="26"/>
      <c r="L39" s="25" t="s">
        <v>42</v>
      </c>
      <c r="M39" s="25" t="s">
        <v>3086</v>
      </c>
      <c r="N39" s="31">
        <v>140</v>
      </c>
      <c r="O39" s="25" t="str">
        <f>"5504,1679"</f>
        <v>5504,1679</v>
      </c>
      <c r="P39" s="17" t="s">
        <v>3097</v>
      </c>
    </row>
    <row r="40" spans="1:16" x14ac:dyDescent="0.2">
      <c r="A40" s="43"/>
      <c r="H40" s="27"/>
      <c r="I40" s="27"/>
      <c r="J40" s="27"/>
      <c r="K40" s="27"/>
      <c r="L40" s="27"/>
      <c r="M40" s="27"/>
      <c r="N40" s="32"/>
      <c r="O40" s="27"/>
    </row>
    <row r="41" spans="1:16" ht="15" x14ac:dyDescent="0.2">
      <c r="A41" s="43"/>
      <c r="B41" s="294" t="s">
        <v>2863</v>
      </c>
      <c r="C41" s="294"/>
      <c r="D41" s="294"/>
      <c r="E41" s="294"/>
      <c r="F41" s="294"/>
      <c r="G41" s="294"/>
      <c r="H41" s="294"/>
      <c r="I41" s="294"/>
      <c r="J41" s="294"/>
      <c r="K41" s="294"/>
      <c r="L41" s="294"/>
      <c r="M41" s="294"/>
      <c r="N41" s="294"/>
      <c r="O41" s="294"/>
    </row>
    <row r="42" spans="1:16" x14ac:dyDescent="0.2">
      <c r="A42" s="43">
        <v>1</v>
      </c>
      <c r="B42" s="15" t="s">
        <v>3049</v>
      </c>
      <c r="C42" s="15" t="s">
        <v>3050</v>
      </c>
      <c r="D42" s="15" t="s">
        <v>1347</v>
      </c>
      <c r="E42" s="15" t="str">
        <f>"0,6406"</f>
        <v>0,6406</v>
      </c>
      <c r="F42" s="15" t="s">
        <v>2853</v>
      </c>
      <c r="G42" s="15" t="s">
        <v>3051</v>
      </c>
      <c r="H42" s="35" t="s">
        <v>126</v>
      </c>
      <c r="I42" s="35" t="s">
        <v>36</v>
      </c>
      <c r="J42" s="38" t="s">
        <v>25</v>
      </c>
      <c r="K42" s="22"/>
      <c r="L42" s="21" t="s">
        <v>46</v>
      </c>
      <c r="M42" s="21" t="s">
        <v>3087</v>
      </c>
      <c r="N42" s="29">
        <v>178</v>
      </c>
      <c r="O42" s="21" t="str">
        <f>"6660,9591"</f>
        <v>6660,9591</v>
      </c>
      <c r="P42" s="15" t="s">
        <v>2855</v>
      </c>
    </row>
    <row r="43" spans="1:16" x14ac:dyDescent="0.2">
      <c r="A43" s="43">
        <v>2</v>
      </c>
      <c r="B43" s="16" t="s">
        <v>3052</v>
      </c>
      <c r="C43" s="16" t="s">
        <v>3053</v>
      </c>
      <c r="D43" s="16" t="s">
        <v>3054</v>
      </c>
      <c r="E43" s="16" t="str">
        <f>"0,6507"</f>
        <v>0,6507</v>
      </c>
      <c r="F43" s="16" t="s">
        <v>2831</v>
      </c>
      <c r="G43" s="16" t="s">
        <v>2832</v>
      </c>
      <c r="H43" s="40" t="s">
        <v>36</v>
      </c>
      <c r="I43" s="40" t="s">
        <v>36</v>
      </c>
      <c r="J43" s="36" t="s">
        <v>36</v>
      </c>
      <c r="K43" s="24"/>
      <c r="L43" s="23" t="s">
        <v>46</v>
      </c>
      <c r="M43" s="23" t="s">
        <v>3003</v>
      </c>
      <c r="N43" s="30">
        <v>174</v>
      </c>
      <c r="O43" s="23" t="str">
        <f>"6496,5885"</f>
        <v>6496,5885</v>
      </c>
      <c r="P43" s="16" t="s">
        <v>2855</v>
      </c>
    </row>
    <row r="44" spans="1:16" x14ac:dyDescent="0.2">
      <c r="A44" s="43">
        <v>3</v>
      </c>
      <c r="B44" s="16" t="s">
        <v>3055</v>
      </c>
      <c r="C44" s="16" t="s">
        <v>3056</v>
      </c>
      <c r="D44" s="16" t="s">
        <v>1616</v>
      </c>
      <c r="E44" s="16" t="str">
        <f>"0,6642"</f>
        <v>0,6642</v>
      </c>
      <c r="F44" s="16" t="s">
        <v>2853</v>
      </c>
      <c r="G44" s="16" t="s">
        <v>3057</v>
      </c>
      <c r="H44" s="36" t="s">
        <v>112</v>
      </c>
      <c r="I44" s="36" t="s">
        <v>165</v>
      </c>
      <c r="J44" s="40" t="s">
        <v>116</v>
      </c>
      <c r="K44" s="24"/>
      <c r="L44" s="23" t="s">
        <v>46</v>
      </c>
      <c r="M44" s="23" t="s">
        <v>2889</v>
      </c>
      <c r="N44" s="30">
        <v>150.5</v>
      </c>
      <c r="O44" s="23" t="str">
        <f>"5637,7297"</f>
        <v>5637,7297</v>
      </c>
      <c r="P44" s="16" t="s">
        <v>2855</v>
      </c>
    </row>
    <row r="45" spans="1:16" x14ac:dyDescent="0.2">
      <c r="A45" s="43">
        <v>1</v>
      </c>
      <c r="B45" s="17" t="s">
        <v>3058</v>
      </c>
      <c r="C45" s="17" t="s">
        <v>1784</v>
      </c>
      <c r="D45" s="17" t="s">
        <v>563</v>
      </c>
      <c r="E45" s="17" t="str">
        <f>"0,6739"</f>
        <v>0,6739</v>
      </c>
      <c r="F45" s="17" t="s">
        <v>2831</v>
      </c>
      <c r="G45" s="17" t="s">
        <v>2832</v>
      </c>
      <c r="H45" s="37" t="s">
        <v>104</v>
      </c>
      <c r="I45" s="37" t="s">
        <v>23</v>
      </c>
      <c r="J45" s="39" t="s">
        <v>105</v>
      </c>
      <c r="K45" s="26"/>
      <c r="L45" s="25" t="s">
        <v>46</v>
      </c>
      <c r="M45" s="25" t="s">
        <v>3088</v>
      </c>
      <c r="N45" s="31">
        <v>152</v>
      </c>
      <c r="O45" s="25" t="str">
        <f>"5734,5521"</f>
        <v>5734,5521</v>
      </c>
      <c r="P45" s="17" t="s">
        <v>2855</v>
      </c>
    </row>
    <row r="46" spans="1:16" x14ac:dyDescent="0.2">
      <c r="A46" s="43"/>
      <c r="H46" s="27"/>
      <c r="I46" s="27"/>
      <c r="J46" s="27"/>
      <c r="K46" s="27"/>
      <c r="L46" s="27"/>
      <c r="M46" s="27"/>
      <c r="N46" s="32"/>
      <c r="O46" s="27"/>
    </row>
    <row r="47" spans="1:16" ht="15" x14ac:dyDescent="0.2">
      <c r="A47" s="43"/>
      <c r="B47" s="294" t="s">
        <v>2869</v>
      </c>
      <c r="C47" s="294"/>
      <c r="D47" s="294"/>
      <c r="E47" s="294"/>
      <c r="F47" s="294"/>
      <c r="G47" s="294"/>
      <c r="H47" s="294"/>
      <c r="I47" s="294"/>
      <c r="J47" s="294"/>
      <c r="K47" s="294"/>
      <c r="L47" s="294"/>
      <c r="M47" s="294"/>
      <c r="N47" s="294"/>
      <c r="O47" s="294"/>
    </row>
    <row r="48" spans="1:16" x14ac:dyDescent="0.2">
      <c r="A48" s="43">
        <v>1</v>
      </c>
      <c r="B48" s="15" t="s">
        <v>3059</v>
      </c>
      <c r="C48" s="15" t="s">
        <v>3060</v>
      </c>
      <c r="D48" s="15" t="s">
        <v>1838</v>
      </c>
      <c r="E48" s="15" t="str">
        <f>"0,6158"</f>
        <v>0,6158</v>
      </c>
      <c r="F48" s="15" t="s">
        <v>2853</v>
      </c>
      <c r="G48" s="15" t="s">
        <v>3061</v>
      </c>
      <c r="H48" s="35" t="s">
        <v>206</v>
      </c>
      <c r="I48" s="35" t="s">
        <v>107</v>
      </c>
      <c r="J48" s="35" t="s">
        <v>166</v>
      </c>
      <c r="K48" s="22"/>
      <c r="L48" s="21" t="s">
        <v>76</v>
      </c>
      <c r="M48" s="21" t="s">
        <v>2942</v>
      </c>
      <c r="N48" s="29">
        <v>235</v>
      </c>
      <c r="O48" s="21" t="str">
        <f>"8959,8903"</f>
        <v>8959,8903</v>
      </c>
      <c r="P48" s="15" t="s">
        <v>3373</v>
      </c>
    </row>
    <row r="49" spans="1:16" x14ac:dyDescent="0.2">
      <c r="A49" s="43">
        <v>1</v>
      </c>
      <c r="B49" s="16" t="s">
        <v>3062</v>
      </c>
      <c r="C49" s="16" t="s">
        <v>3063</v>
      </c>
      <c r="D49" s="16" t="s">
        <v>3064</v>
      </c>
      <c r="E49" s="16" t="str">
        <f>"0,6186"</f>
        <v>0,6186</v>
      </c>
      <c r="F49" s="16" t="s">
        <v>2831</v>
      </c>
      <c r="G49" s="16" t="s">
        <v>2832</v>
      </c>
      <c r="H49" s="36" t="s">
        <v>107</v>
      </c>
      <c r="I49" s="36" t="s">
        <v>140</v>
      </c>
      <c r="J49" s="40" t="s">
        <v>143</v>
      </c>
      <c r="K49" s="24"/>
      <c r="L49" s="23" t="s">
        <v>76</v>
      </c>
      <c r="M49" s="23" t="s">
        <v>3089</v>
      </c>
      <c r="N49" s="30">
        <v>243</v>
      </c>
      <c r="O49" s="23" t="str">
        <f>"9377,9762"</f>
        <v>9377,9762</v>
      </c>
      <c r="P49" s="16" t="s">
        <v>3093</v>
      </c>
    </row>
    <row r="50" spans="1:16" x14ac:dyDescent="0.2">
      <c r="A50" s="43">
        <v>2</v>
      </c>
      <c r="B50" s="16" t="s">
        <v>3059</v>
      </c>
      <c r="C50" s="16" t="s">
        <v>3065</v>
      </c>
      <c r="D50" s="16" t="s">
        <v>1838</v>
      </c>
      <c r="E50" s="16" t="str">
        <f>"0,6158"</f>
        <v>0,6158</v>
      </c>
      <c r="F50" s="16" t="s">
        <v>2853</v>
      </c>
      <c r="G50" s="16" t="s">
        <v>3061</v>
      </c>
      <c r="H50" s="36" t="s">
        <v>206</v>
      </c>
      <c r="I50" s="36" t="s">
        <v>107</v>
      </c>
      <c r="J50" s="36" t="s">
        <v>166</v>
      </c>
      <c r="K50" s="24"/>
      <c r="L50" s="23" t="s">
        <v>76</v>
      </c>
      <c r="M50" s="23" t="s">
        <v>2942</v>
      </c>
      <c r="N50" s="30">
        <v>235</v>
      </c>
      <c r="O50" s="23" t="str">
        <f>"8959,8903"</f>
        <v>8959,8903</v>
      </c>
      <c r="P50" s="16" t="s">
        <v>3373</v>
      </c>
    </row>
    <row r="51" spans="1:16" x14ac:dyDescent="0.2">
      <c r="A51" s="43">
        <v>3</v>
      </c>
      <c r="B51" s="17" t="s">
        <v>2903</v>
      </c>
      <c r="C51" s="17" t="s">
        <v>2904</v>
      </c>
      <c r="D51" s="17" t="s">
        <v>708</v>
      </c>
      <c r="E51" s="17" t="str">
        <f>"0,6139"</f>
        <v>0,6139</v>
      </c>
      <c r="F51" s="17" t="s">
        <v>2831</v>
      </c>
      <c r="G51" s="17" t="s">
        <v>2832</v>
      </c>
      <c r="H51" s="37" t="s">
        <v>36</v>
      </c>
      <c r="I51" s="39" t="s">
        <v>127</v>
      </c>
      <c r="J51" s="39" t="s">
        <v>127</v>
      </c>
      <c r="K51" s="26"/>
      <c r="L51" s="25" t="s">
        <v>76</v>
      </c>
      <c r="M51" s="25" t="s">
        <v>2956</v>
      </c>
      <c r="N51" s="31">
        <v>169</v>
      </c>
      <c r="O51" s="25" t="str">
        <f>"6003,9421"</f>
        <v>6003,9421</v>
      </c>
      <c r="P51" s="17" t="s">
        <v>2905</v>
      </c>
    </row>
    <row r="52" spans="1:16" x14ac:dyDescent="0.2">
      <c r="A52" s="43"/>
      <c r="H52" s="27"/>
      <c r="I52" s="27"/>
      <c r="J52" s="27"/>
      <c r="K52" s="27"/>
      <c r="L52" s="27"/>
      <c r="M52" s="27"/>
      <c r="N52" s="32"/>
      <c r="O52" s="27"/>
    </row>
    <row r="53" spans="1:16" ht="15" x14ac:dyDescent="0.2">
      <c r="A53" s="43"/>
      <c r="B53" s="294" t="s">
        <v>2906</v>
      </c>
      <c r="C53" s="294"/>
      <c r="D53" s="294"/>
      <c r="E53" s="294"/>
      <c r="F53" s="294"/>
      <c r="G53" s="294"/>
      <c r="H53" s="294"/>
      <c r="I53" s="294"/>
      <c r="J53" s="294"/>
      <c r="K53" s="294"/>
      <c r="L53" s="294"/>
      <c r="M53" s="294"/>
      <c r="N53" s="294"/>
      <c r="O53" s="294"/>
    </row>
    <row r="54" spans="1:16" x14ac:dyDescent="0.2">
      <c r="A54" s="43">
        <v>1</v>
      </c>
      <c r="B54" s="15" t="s">
        <v>3066</v>
      </c>
      <c r="C54" s="15" t="s">
        <v>3067</v>
      </c>
      <c r="D54" s="15" t="s">
        <v>3068</v>
      </c>
      <c r="E54" s="15" t="str">
        <f>"0,5998"</f>
        <v>0,5998</v>
      </c>
      <c r="F54" s="15" t="s">
        <v>2853</v>
      </c>
      <c r="G54" s="15" t="s">
        <v>3069</v>
      </c>
      <c r="H54" s="35" t="s">
        <v>142</v>
      </c>
      <c r="I54" s="35" t="s">
        <v>11</v>
      </c>
      <c r="J54" s="38" t="s">
        <v>106</v>
      </c>
      <c r="K54" s="22"/>
      <c r="L54" s="21" t="s">
        <v>69</v>
      </c>
      <c r="M54" s="21" t="s">
        <v>2887</v>
      </c>
      <c r="N54" s="29">
        <v>203</v>
      </c>
      <c r="O54" s="21" t="str">
        <f>"7295,0674"</f>
        <v>7295,0674</v>
      </c>
      <c r="P54" s="15" t="s">
        <v>2855</v>
      </c>
    </row>
    <row r="55" spans="1:16" x14ac:dyDescent="0.2">
      <c r="A55" s="43">
        <v>2</v>
      </c>
      <c r="B55" s="16" t="s">
        <v>3070</v>
      </c>
      <c r="C55" s="16" t="s">
        <v>3071</v>
      </c>
      <c r="D55" s="16" t="s">
        <v>659</v>
      </c>
      <c r="E55" s="16" t="str">
        <f>"0,5919"</f>
        <v>0,5919</v>
      </c>
      <c r="F55" s="16" t="s">
        <v>2853</v>
      </c>
      <c r="G55" s="16" t="s">
        <v>3072</v>
      </c>
      <c r="H55" s="36" t="s">
        <v>156</v>
      </c>
      <c r="I55" s="24"/>
      <c r="J55" s="24"/>
      <c r="K55" s="24"/>
      <c r="L55" s="23" t="s">
        <v>69</v>
      </c>
      <c r="M55" s="23" t="s">
        <v>3090</v>
      </c>
      <c r="N55" s="30">
        <v>197</v>
      </c>
      <c r="O55" s="23" t="str">
        <f>"6969,6224"</f>
        <v>6969,6224</v>
      </c>
      <c r="P55" s="16" t="s">
        <v>3094</v>
      </c>
    </row>
    <row r="56" spans="1:16" x14ac:dyDescent="0.2">
      <c r="A56" s="43">
        <v>3</v>
      </c>
      <c r="B56" s="16" t="s">
        <v>3073</v>
      </c>
      <c r="C56" s="16" t="s">
        <v>3074</v>
      </c>
      <c r="D56" s="16" t="s">
        <v>3075</v>
      </c>
      <c r="E56" s="16" t="str">
        <f>"0,5930"</f>
        <v>0,5930</v>
      </c>
      <c r="F56" s="16" t="s">
        <v>2853</v>
      </c>
      <c r="G56" s="16" t="s">
        <v>2926</v>
      </c>
      <c r="H56" s="36" t="s">
        <v>186</v>
      </c>
      <c r="I56" s="36" t="s">
        <v>36</v>
      </c>
      <c r="J56" s="36" t="s">
        <v>149</v>
      </c>
      <c r="K56" s="24"/>
      <c r="L56" s="23" t="s">
        <v>69</v>
      </c>
      <c r="M56" s="23" t="s">
        <v>3091</v>
      </c>
      <c r="N56" s="30">
        <v>172.5</v>
      </c>
      <c r="O56" s="23" t="str">
        <f>"5892,9374"</f>
        <v>5892,9374</v>
      </c>
      <c r="P56" s="16" t="s">
        <v>2855</v>
      </c>
    </row>
    <row r="57" spans="1:16" x14ac:dyDescent="0.2">
      <c r="A57" s="43">
        <v>1</v>
      </c>
      <c r="B57" s="17" t="s">
        <v>3076</v>
      </c>
      <c r="C57" s="17" t="s">
        <v>3077</v>
      </c>
      <c r="D57" s="17" t="s">
        <v>1130</v>
      </c>
      <c r="E57" s="17" t="str">
        <f>"0,5900"</f>
        <v>0,5900</v>
      </c>
      <c r="F57" s="17" t="s">
        <v>2831</v>
      </c>
      <c r="G57" s="17" t="s">
        <v>2832</v>
      </c>
      <c r="H57" s="37" t="s">
        <v>127</v>
      </c>
      <c r="I57" s="37" t="s">
        <v>142</v>
      </c>
      <c r="J57" s="39" t="s">
        <v>11</v>
      </c>
      <c r="K57" s="26"/>
      <c r="L57" s="25" t="s">
        <v>69</v>
      </c>
      <c r="M57" s="25" t="s">
        <v>3086</v>
      </c>
      <c r="N57" s="31">
        <v>190</v>
      </c>
      <c r="O57" s="25" t="str">
        <f>"6637,4997"</f>
        <v>6637,4997</v>
      </c>
      <c r="P57" s="17" t="s">
        <v>3095</v>
      </c>
    </row>
    <row r="58" spans="1:16" x14ac:dyDescent="0.2">
      <c r="A58" s="43"/>
      <c r="H58" s="27"/>
      <c r="I58" s="27"/>
      <c r="J58" s="27"/>
      <c r="K58" s="27"/>
      <c r="L58" s="27"/>
      <c r="M58" s="27"/>
      <c r="N58" s="32"/>
      <c r="O58" s="27"/>
    </row>
    <row r="59" spans="1:16" ht="18" x14ac:dyDescent="0.25">
      <c r="A59" s="43"/>
      <c r="B59" s="8" t="s">
        <v>2834</v>
      </c>
      <c r="C59" s="8"/>
      <c r="H59" s="27"/>
      <c r="I59" s="27"/>
      <c r="J59" s="27"/>
      <c r="K59" s="27"/>
      <c r="L59" s="27"/>
      <c r="M59" s="27"/>
      <c r="N59" s="32"/>
      <c r="O59" s="27"/>
    </row>
    <row r="60" spans="1:16" ht="14.25" x14ac:dyDescent="0.2">
      <c r="A60" s="43"/>
      <c r="B60" s="11"/>
      <c r="C60" s="12" t="s">
        <v>2835</v>
      </c>
      <c r="H60" s="27"/>
      <c r="I60" s="27"/>
      <c r="J60" s="27"/>
      <c r="K60" s="27"/>
      <c r="L60" s="27"/>
      <c r="M60" s="27"/>
      <c r="N60" s="32"/>
      <c r="O60" s="27"/>
    </row>
    <row r="61" spans="1:16" ht="15" x14ac:dyDescent="0.2">
      <c r="A61" s="43"/>
      <c r="B61" s="13" t="s">
        <v>2836</v>
      </c>
      <c r="C61" s="13" t="s">
        <v>2837</v>
      </c>
      <c r="D61" s="13" t="s">
        <v>2838</v>
      </c>
      <c r="E61" s="13" t="s">
        <v>2839</v>
      </c>
      <c r="F61" s="13" t="s">
        <v>2840</v>
      </c>
      <c r="H61" s="27"/>
      <c r="I61" s="27"/>
      <c r="J61" s="27"/>
      <c r="K61" s="27"/>
      <c r="L61" s="27"/>
      <c r="M61" s="27"/>
      <c r="N61" s="32"/>
      <c r="O61" s="27"/>
    </row>
    <row r="62" spans="1:16" x14ac:dyDescent="0.2">
      <c r="A62" s="43">
        <v>1</v>
      </c>
      <c r="B62" s="10" t="s">
        <v>3062</v>
      </c>
      <c r="C62" s="18" t="s">
        <v>2835</v>
      </c>
      <c r="D62" s="27" t="s">
        <v>2884</v>
      </c>
      <c r="E62" s="27" t="s">
        <v>3080</v>
      </c>
      <c r="F62" s="27" t="s">
        <v>3081</v>
      </c>
      <c r="H62" s="27"/>
      <c r="I62" s="27"/>
      <c r="J62" s="27"/>
      <c r="K62" s="27"/>
      <c r="L62" s="27"/>
      <c r="M62" s="27"/>
      <c r="N62" s="32"/>
      <c r="O62" s="27"/>
    </row>
    <row r="63" spans="1:16" x14ac:dyDescent="0.2">
      <c r="A63" s="43">
        <v>2</v>
      </c>
      <c r="B63" s="10" t="s">
        <v>3059</v>
      </c>
      <c r="C63" s="18" t="s">
        <v>2835</v>
      </c>
      <c r="D63" s="27" t="s">
        <v>2884</v>
      </c>
      <c r="E63" s="27" t="s">
        <v>220</v>
      </c>
      <c r="F63" s="27" t="s">
        <v>3078</v>
      </c>
      <c r="H63" s="27"/>
      <c r="I63" s="27"/>
      <c r="J63" s="27"/>
      <c r="K63" s="27"/>
      <c r="L63" s="27"/>
      <c r="M63" s="27"/>
      <c r="N63" s="32"/>
      <c r="O63" s="27"/>
    </row>
    <row r="64" spans="1:16" x14ac:dyDescent="0.2">
      <c r="A64" s="43">
        <v>3</v>
      </c>
      <c r="B64" s="10" t="s">
        <v>3066</v>
      </c>
      <c r="C64" s="18" t="s">
        <v>2835</v>
      </c>
      <c r="D64" s="27" t="s">
        <v>2910</v>
      </c>
      <c r="E64" s="27" t="s">
        <v>3082</v>
      </c>
      <c r="F64" s="27" t="s">
        <v>3083</v>
      </c>
      <c r="H64" s="27"/>
      <c r="I64" s="27"/>
      <c r="J64" s="27"/>
      <c r="K64" s="27"/>
      <c r="L64" s="27"/>
      <c r="M64" s="27"/>
      <c r="N64" s="32"/>
      <c r="O64" s="27"/>
    </row>
    <row r="65" spans="1:16" x14ac:dyDescent="0.2">
      <c r="A65" s="43"/>
      <c r="H65" s="27"/>
      <c r="I65" s="27"/>
      <c r="J65" s="27"/>
      <c r="K65" s="27"/>
      <c r="L65" s="27"/>
      <c r="M65" s="27"/>
      <c r="N65" s="32"/>
      <c r="O65" s="27"/>
    </row>
    <row r="66" spans="1:16" ht="13.5" thickBot="1" x14ac:dyDescent="0.25">
      <c r="A66" s="43"/>
      <c r="H66" s="27"/>
      <c r="I66" s="27"/>
      <c r="J66" s="27"/>
      <c r="K66" s="27"/>
      <c r="L66" s="27"/>
      <c r="M66" s="27"/>
      <c r="N66" s="32"/>
      <c r="O66" s="27"/>
    </row>
    <row r="67" spans="1:16" ht="30" x14ac:dyDescent="0.4">
      <c r="A67" s="348" t="s">
        <v>4054</v>
      </c>
      <c r="B67" s="349"/>
      <c r="C67" s="349"/>
      <c r="D67" s="349"/>
      <c r="E67" s="349"/>
      <c r="F67" s="349"/>
      <c r="G67" s="349"/>
      <c r="H67" s="349"/>
      <c r="I67" s="349"/>
      <c r="J67" s="349"/>
      <c r="K67" s="349"/>
      <c r="L67" s="349"/>
      <c r="M67" s="349"/>
      <c r="N67" s="349"/>
      <c r="O67" s="349"/>
      <c r="P67" s="350"/>
    </row>
    <row r="68" spans="1:16" ht="30" x14ac:dyDescent="0.4">
      <c r="A68" s="351" t="s">
        <v>4059</v>
      </c>
      <c r="B68" s="352"/>
      <c r="C68" s="352"/>
      <c r="D68" s="352"/>
      <c r="E68" s="352"/>
      <c r="F68" s="352"/>
      <c r="G68" s="352"/>
      <c r="H68" s="352"/>
      <c r="I68" s="352"/>
      <c r="J68" s="352"/>
      <c r="K68" s="352"/>
      <c r="L68" s="352"/>
      <c r="M68" s="352"/>
      <c r="N68" s="352"/>
      <c r="O68" s="352"/>
      <c r="P68" s="353"/>
    </row>
    <row r="69" spans="1:16" ht="30.75" thickBot="1" x14ac:dyDescent="0.45">
      <c r="A69" s="354" t="s">
        <v>4056</v>
      </c>
      <c r="B69" s="355"/>
      <c r="C69" s="355"/>
      <c r="D69" s="355"/>
      <c r="E69" s="355"/>
      <c r="F69" s="355"/>
      <c r="G69" s="355"/>
      <c r="H69" s="355"/>
      <c r="I69" s="355"/>
      <c r="J69" s="355"/>
      <c r="K69" s="355"/>
      <c r="L69" s="355"/>
      <c r="M69" s="355"/>
      <c r="N69" s="355"/>
      <c r="O69" s="355"/>
      <c r="P69" s="356"/>
    </row>
    <row r="70" spans="1:16" ht="15" x14ac:dyDescent="0.2">
      <c r="A70" s="300" t="s">
        <v>2842</v>
      </c>
      <c r="B70" s="312" t="s">
        <v>2820</v>
      </c>
      <c r="C70" s="357" t="s">
        <v>2843</v>
      </c>
      <c r="D70" s="357" t="s">
        <v>2844</v>
      </c>
      <c r="E70" s="304" t="s">
        <v>2821</v>
      </c>
      <c r="F70" s="304" t="s">
        <v>2822</v>
      </c>
      <c r="G70" s="305" t="s">
        <v>2841</v>
      </c>
      <c r="H70" s="304" t="s">
        <v>3013</v>
      </c>
      <c r="I70" s="304"/>
      <c r="J70" s="304"/>
      <c r="K70" s="304"/>
      <c r="L70" s="304" t="s">
        <v>2849</v>
      </c>
      <c r="M70" s="304"/>
      <c r="N70" s="359" t="s">
        <v>2824</v>
      </c>
      <c r="O70" s="304" t="s">
        <v>2825</v>
      </c>
      <c r="P70" s="307" t="s">
        <v>2826</v>
      </c>
    </row>
    <row r="71" spans="1:16" ht="15.75" thickBot="1" x14ac:dyDescent="0.25">
      <c r="A71" s="301"/>
      <c r="B71" s="313"/>
      <c r="C71" s="358"/>
      <c r="D71" s="358"/>
      <c r="E71" s="303"/>
      <c r="F71" s="303"/>
      <c r="G71" s="306"/>
      <c r="H71" s="133">
        <v>1</v>
      </c>
      <c r="I71" s="133">
        <v>2</v>
      </c>
      <c r="J71" s="133">
        <v>3</v>
      </c>
      <c r="K71" s="133" t="s">
        <v>2827</v>
      </c>
      <c r="L71" s="133" t="s">
        <v>2847</v>
      </c>
      <c r="M71" s="133" t="s">
        <v>2846</v>
      </c>
      <c r="N71" s="360"/>
      <c r="O71" s="303"/>
      <c r="P71" s="310"/>
    </row>
    <row r="72" spans="1:16" ht="15" x14ac:dyDescent="0.2">
      <c r="A72" s="43"/>
      <c r="B72" s="299" t="s">
        <v>3022</v>
      </c>
      <c r="C72" s="299"/>
      <c r="D72" s="299"/>
      <c r="E72" s="299"/>
      <c r="F72" s="299"/>
      <c r="G72" s="299"/>
      <c r="H72" s="299"/>
      <c r="I72" s="299"/>
      <c r="J72" s="299"/>
      <c r="K72" s="299"/>
      <c r="L72" s="299"/>
      <c r="M72" s="299"/>
      <c r="N72" s="299"/>
      <c r="O72" s="299"/>
    </row>
    <row r="73" spans="1:16" x14ac:dyDescent="0.2">
      <c r="A73" s="43">
        <v>1</v>
      </c>
      <c r="B73" s="7" t="s">
        <v>3023</v>
      </c>
      <c r="C73" s="7" t="s">
        <v>3024</v>
      </c>
      <c r="D73" s="7" t="s">
        <v>3025</v>
      </c>
      <c r="E73" s="7" t="str">
        <f>"1,2964"</f>
        <v>1,2964</v>
      </c>
      <c r="F73" s="7" t="s">
        <v>2831</v>
      </c>
      <c r="G73" s="7" t="s">
        <v>2832</v>
      </c>
      <c r="H73" s="34" t="s">
        <v>52</v>
      </c>
      <c r="I73" s="20"/>
      <c r="J73" s="20"/>
      <c r="K73" s="20"/>
      <c r="L73" s="19" t="s">
        <v>2874</v>
      </c>
      <c r="M73" s="19" t="s">
        <v>2857</v>
      </c>
      <c r="N73" s="28">
        <v>79</v>
      </c>
      <c r="O73" s="19" t="str">
        <f>"3856,7899"</f>
        <v>3856,7899</v>
      </c>
      <c r="P73" s="7" t="s">
        <v>2833</v>
      </c>
    </row>
    <row r="74" spans="1:16" x14ac:dyDescent="0.2">
      <c r="A74" s="43"/>
      <c r="H74" s="27"/>
      <c r="I74" s="27"/>
      <c r="J74" s="27"/>
      <c r="K74" s="27"/>
      <c r="L74" s="27"/>
      <c r="M74" s="27"/>
      <c r="N74" s="32"/>
      <c r="O74" s="27"/>
    </row>
    <row r="75" spans="1:16" ht="15" x14ac:dyDescent="0.2">
      <c r="A75" s="43"/>
      <c r="B75" s="294" t="s">
        <v>2850</v>
      </c>
      <c r="C75" s="294"/>
      <c r="D75" s="294"/>
      <c r="E75" s="294"/>
      <c r="F75" s="294"/>
      <c r="G75" s="294"/>
      <c r="H75" s="294"/>
      <c r="I75" s="294"/>
      <c r="J75" s="294"/>
      <c r="K75" s="294"/>
      <c r="L75" s="294"/>
      <c r="M75" s="294"/>
      <c r="N75" s="294"/>
      <c r="O75" s="294"/>
    </row>
    <row r="76" spans="1:16" x14ac:dyDescent="0.2">
      <c r="A76" s="43"/>
      <c r="B76" s="7" t="s">
        <v>2915</v>
      </c>
      <c r="C76" s="7" t="s">
        <v>2916</v>
      </c>
      <c r="D76" s="7" t="s">
        <v>1597</v>
      </c>
      <c r="E76" s="7" t="str">
        <f>"1,0740"</f>
        <v>1,0740</v>
      </c>
      <c r="F76" s="7" t="s">
        <v>2853</v>
      </c>
      <c r="G76" s="7" t="s">
        <v>2927</v>
      </c>
      <c r="H76" s="34" t="s">
        <v>61</v>
      </c>
      <c r="I76" s="41" t="s">
        <v>47</v>
      </c>
      <c r="J76" s="41" t="s">
        <v>47</v>
      </c>
      <c r="K76" s="20"/>
      <c r="L76" s="20"/>
      <c r="M76" s="20"/>
      <c r="N76" s="52">
        <v>0</v>
      </c>
      <c r="O76" s="19" t="s">
        <v>720</v>
      </c>
      <c r="P76" s="7" t="s">
        <v>3159</v>
      </c>
    </row>
    <row r="77" spans="1:16" x14ac:dyDescent="0.2">
      <c r="A77" s="43"/>
      <c r="H77" s="27"/>
      <c r="I77" s="27"/>
      <c r="J77" s="27"/>
      <c r="K77" s="27"/>
      <c r="L77" s="27"/>
      <c r="M77" s="27"/>
      <c r="N77" s="32"/>
      <c r="O77" s="27"/>
    </row>
    <row r="78" spans="1:16" ht="15" x14ac:dyDescent="0.2">
      <c r="A78" s="43"/>
      <c r="B78" s="294" t="s">
        <v>2828</v>
      </c>
      <c r="C78" s="294"/>
      <c r="D78" s="294"/>
      <c r="E78" s="294"/>
      <c r="F78" s="294"/>
      <c r="G78" s="294"/>
      <c r="H78" s="294"/>
      <c r="I78" s="294"/>
      <c r="J78" s="294"/>
      <c r="K78" s="294"/>
      <c r="L78" s="294"/>
      <c r="M78" s="294"/>
      <c r="N78" s="294"/>
      <c r="O78" s="294"/>
    </row>
    <row r="79" spans="1:16" x14ac:dyDescent="0.2">
      <c r="A79" s="43">
        <v>1</v>
      </c>
      <c r="B79" s="7" t="s">
        <v>3033</v>
      </c>
      <c r="C79" s="7" t="s">
        <v>3034</v>
      </c>
      <c r="D79" s="7" t="s">
        <v>1304</v>
      </c>
      <c r="E79" s="7" t="str">
        <f>"0,8689"</f>
        <v>0,8689</v>
      </c>
      <c r="F79" s="7" t="s">
        <v>2853</v>
      </c>
      <c r="G79" s="7" t="s">
        <v>3096</v>
      </c>
      <c r="H79" s="34" t="s">
        <v>46</v>
      </c>
      <c r="I79" s="20"/>
      <c r="J79" s="20"/>
      <c r="K79" s="20"/>
      <c r="L79" s="19" t="s">
        <v>86</v>
      </c>
      <c r="M79" s="19" t="s">
        <v>3086</v>
      </c>
      <c r="N79" s="28">
        <v>110</v>
      </c>
      <c r="O79" s="19" t="str">
        <f>"4952,7300"</f>
        <v>4952,7300</v>
      </c>
      <c r="P79" s="7" t="s">
        <v>2855</v>
      </c>
    </row>
    <row r="80" spans="1:16" x14ac:dyDescent="0.2">
      <c r="A80" s="43"/>
      <c r="H80" s="27"/>
      <c r="I80" s="27"/>
      <c r="J80" s="27"/>
      <c r="K80" s="27"/>
      <c r="L80" s="27"/>
      <c r="M80" s="27"/>
      <c r="N80" s="32"/>
      <c r="O80" s="27"/>
    </row>
    <row r="81" spans="1:16" ht="15" x14ac:dyDescent="0.2">
      <c r="A81" s="43"/>
      <c r="B81" s="294" t="s">
        <v>2863</v>
      </c>
      <c r="C81" s="294"/>
      <c r="D81" s="294"/>
      <c r="E81" s="294"/>
      <c r="F81" s="294"/>
      <c r="G81" s="294"/>
      <c r="H81" s="294"/>
      <c r="I81" s="294"/>
      <c r="J81" s="294"/>
      <c r="K81" s="294"/>
      <c r="L81" s="294"/>
      <c r="M81" s="294"/>
      <c r="N81" s="294"/>
      <c r="O81" s="294"/>
    </row>
    <row r="82" spans="1:16" x14ac:dyDescent="0.2">
      <c r="A82" s="43">
        <v>1</v>
      </c>
      <c r="B82" s="15" t="s">
        <v>458</v>
      </c>
      <c r="C82" s="15" t="s">
        <v>459</v>
      </c>
      <c r="D82" s="15" t="s">
        <v>448</v>
      </c>
      <c r="E82" s="15" t="str">
        <f>"0,6471"</f>
        <v>0,6471</v>
      </c>
      <c r="F82" s="15" t="s">
        <v>2853</v>
      </c>
      <c r="G82" s="15" t="s">
        <v>3125</v>
      </c>
      <c r="H82" s="35" t="s">
        <v>142</v>
      </c>
      <c r="I82" s="35" t="s">
        <v>106</v>
      </c>
      <c r="J82" s="38" t="s">
        <v>140</v>
      </c>
      <c r="K82" s="22"/>
      <c r="L82" s="21" t="s">
        <v>46</v>
      </c>
      <c r="M82" s="21" t="s">
        <v>2942</v>
      </c>
      <c r="N82" s="29">
        <v>225</v>
      </c>
      <c r="O82" s="21" t="str">
        <f>"8664,6686"</f>
        <v>8664,6686</v>
      </c>
      <c r="P82" s="15" t="s">
        <v>2855</v>
      </c>
    </row>
    <row r="83" spans="1:16" x14ac:dyDescent="0.2">
      <c r="A83" s="43">
        <v>2</v>
      </c>
      <c r="B83" s="17" t="s">
        <v>3126</v>
      </c>
      <c r="C83" s="17" t="s">
        <v>3127</v>
      </c>
      <c r="D83" s="17" t="s">
        <v>467</v>
      </c>
      <c r="E83" s="17" t="str">
        <f>"0,6440"</f>
        <v>0,6440</v>
      </c>
      <c r="F83" s="17" t="s">
        <v>2853</v>
      </c>
      <c r="G83" s="17" t="s">
        <v>3170</v>
      </c>
      <c r="H83" s="37" t="s">
        <v>158</v>
      </c>
      <c r="I83" s="37" t="s">
        <v>165</v>
      </c>
      <c r="J83" s="39" t="s">
        <v>105</v>
      </c>
      <c r="K83" s="26"/>
      <c r="L83" s="25" t="s">
        <v>46</v>
      </c>
      <c r="M83" s="25" t="s">
        <v>2889</v>
      </c>
      <c r="N83" s="31">
        <v>150.5</v>
      </c>
      <c r="O83" s="25" t="str">
        <f>"5466,2719"</f>
        <v>5466,2719</v>
      </c>
      <c r="P83" s="17" t="s">
        <v>2855</v>
      </c>
    </row>
    <row r="84" spans="1:16" x14ac:dyDescent="0.2">
      <c r="A84" s="43"/>
      <c r="H84" s="27"/>
      <c r="I84" s="27"/>
      <c r="J84" s="27"/>
      <c r="K84" s="27"/>
      <c r="L84" s="27"/>
      <c r="M84" s="27"/>
      <c r="N84" s="32"/>
      <c r="O84" s="27"/>
    </row>
    <row r="85" spans="1:16" ht="15" x14ac:dyDescent="0.2">
      <c r="A85" s="43"/>
      <c r="B85" s="294" t="s">
        <v>2869</v>
      </c>
      <c r="C85" s="294"/>
      <c r="D85" s="294"/>
      <c r="E85" s="294"/>
      <c r="F85" s="294"/>
      <c r="G85" s="294"/>
      <c r="H85" s="294"/>
      <c r="I85" s="294"/>
      <c r="J85" s="294"/>
      <c r="K85" s="294"/>
      <c r="L85" s="294"/>
      <c r="M85" s="294"/>
      <c r="N85" s="294"/>
      <c r="O85" s="294"/>
    </row>
    <row r="86" spans="1:16" x14ac:dyDescent="0.2">
      <c r="A86" s="43">
        <v>1</v>
      </c>
      <c r="B86" s="15" t="s">
        <v>3128</v>
      </c>
      <c r="C86" s="15" t="s">
        <v>3129</v>
      </c>
      <c r="D86" s="15" t="s">
        <v>3130</v>
      </c>
      <c r="E86" s="15" t="str">
        <f>"0,6206"</f>
        <v>0,6206</v>
      </c>
      <c r="F86" s="15" t="s">
        <v>2831</v>
      </c>
      <c r="G86" s="15" t="s">
        <v>2832</v>
      </c>
      <c r="H86" s="35" t="s">
        <v>71</v>
      </c>
      <c r="I86" s="35" t="s">
        <v>104</v>
      </c>
      <c r="J86" s="35" t="s">
        <v>126</v>
      </c>
      <c r="K86" s="22"/>
      <c r="L86" s="21" t="s">
        <v>76</v>
      </c>
      <c r="M86" s="21" t="s">
        <v>3155</v>
      </c>
      <c r="N86" s="29">
        <v>161</v>
      </c>
      <c r="O86" s="21" t="str">
        <f>"5690,9019"</f>
        <v>5690,9019</v>
      </c>
      <c r="P86" s="15" t="s">
        <v>3160</v>
      </c>
    </row>
    <row r="87" spans="1:16" x14ac:dyDescent="0.2">
      <c r="A87" s="43">
        <v>1</v>
      </c>
      <c r="B87" s="16" t="s">
        <v>3131</v>
      </c>
      <c r="C87" s="16" t="s">
        <v>3132</v>
      </c>
      <c r="D87" s="16" t="s">
        <v>1360</v>
      </c>
      <c r="E87" s="16" t="str">
        <f>"0,6200"</f>
        <v>0,6200</v>
      </c>
      <c r="F87" s="16" t="s">
        <v>2831</v>
      </c>
      <c r="G87" s="16" t="s">
        <v>2832</v>
      </c>
      <c r="H87" s="36" t="s">
        <v>166</v>
      </c>
      <c r="I87" s="36" t="s">
        <v>135</v>
      </c>
      <c r="J87" s="40" t="s">
        <v>143</v>
      </c>
      <c r="K87" s="24"/>
      <c r="L87" s="23" t="s">
        <v>76</v>
      </c>
      <c r="M87" s="23" t="s">
        <v>3087</v>
      </c>
      <c r="N87" s="30">
        <v>233</v>
      </c>
      <c r="O87" s="23" t="str">
        <f>"8438,2001"</f>
        <v>8438,2001</v>
      </c>
      <c r="P87" s="16" t="s">
        <v>2855</v>
      </c>
    </row>
    <row r="88" spans="1:16" x14ac:dyDescent="0.2">
      <c r="A88" s="43">
        <v>2</v>
      </c>
      <c r="B88" s="16" t="s">
        <v>2870</v>
      </c>
      <c r="C88" s="16" t="s">
        <v>2871</v>
      </c>
      <c r="D88" s="16" t="s">
        <v>2872</v>
      </c>
      <c r="E88" s="16" t="str">
        <f>"0,6188"</f>
        <v>0,6188</v>
      </c>
      <c r="F88" s="16" t="s">
        <v>2853</v>
      </c>
      <c r="G88" s="16" t="s">
        <v>2873</v>
      </c>
      <c r="H88" s="36" t="s">
        <v>260</v>
      </c>
      <c r="I88" s="24"/>
      <c r="J88" s="24"/>
      <c r="K88" s="24"/>
      <c r="L88" s="23" t="s">
        <v>76</v>
      </c>
      <c r="M88" s="23" t="s">
        <v>2888</v>
      </c>
      <c r="N88" s="30">
        <v>202.5</v>
      </c>
      <c r="O88" s="23" t="str">
        <f>"7348,2498"</f>
        <v>7348,2498</v>
      </c>
      <c r="P88" s="16" t="s">
        <v>2914</v>
      </c>
    </row>
    <row r="89" spans="1:16" x14ac:dyDescent="0.2">
      <c r="A89" s="43">
        <v>3</v>
      </c>
      <c r="B89" s="16" t="s">
        <v>2875</v>
      </c>
      <c r="C89" s="16" t="s">
        <v>2876</v>
      </c>
      <c r="D89" s="16" t="s">
        <v>485</v>
      </c>
      <c r="E89" s="16" t="str">
        <f>"0,6121"</f>
        <v>0,6121</v>
      </c>
      <c r="F89" s="16" t="s">
        <v>2831</v>
      </c>
      <c r="G89" s="16" t="s">
        <v>2877</v>
      </c>
      <c r="H89" s="36" t="s">
        <v>239</v>
      </c>
      <c r="I89" s="24"/>
      <c r="J89" s="24"/>
      <c r="K89" s="24"/>
      <c r="L89" s="23" t="s">
        <v>76</v>
      </c>
      <c r="M89" s="23" t="s">
        <v>2889</v>
      </c>
      <c r="N89" s="30">
        <v>190.5</v>
      </c>
      <c r="O89" s="23" t="str">
        <f>"6601,4986"</f>
        <v>6601,4986</v>
      </c>
      <c r="P89" s="16" t="s">
        <v>2855</v>
      </c>
    </row>
    <row r="90" spans="1:16" x14ac:dyDescent="0.2">
      <c r="A90" s="43">
        <v>1</v>
      </c>
      <c r="B90" s="17" t="s">
        <v>3133</v>
      </c>
      <c r="C90" s="17" t="s">
        <v>3134</v>
      </c>
      <c r="D90" s="17" t="s">
        <v>1377</v>
      </c>
      <c r="E90" s="17" t="str">
        <f>"0,6161"</f>
        <v>0,6161</v>
      </c>
      <c r="F90" s="17" t="s">
        <v>2853</v>
      </c>
      <c r="G90" s="17" t="s">
        <v>3135</v>
      </c>
      <c r="H90" s="37" t="s">
        <v>71</v>
      </c>
      <c r="I90" s="37" t="s">
        <v>23</v>
      </c>
      <c r="J90" s="37" t="s">
        <v>36</v>
      </c>
      <c r="K90" s="26"/>
      <c r="L90" s="25" t="s">
        <v>76</v>
      </c>
      <c r="M90" s="25" t="s">
        <v>2889</v>
      </c>
      <c r="N90" s="31">
        <v>168</v>
      </c>
      <c r="O90" s="25" t="str">
        <f>"5951,5261"</f>
        <v>5951,5261</v>
      </c>
      <c r="P90" s="17" t="s">
        <v>2855</v>
      </c>
    </row>
    <row r="91" spans="1:16" x14ac:dyDescent="0.2">
      <c r="A91" s="43"/>
      <c r="H91" s="27"/>
      <c r="I91" s="27"/>
      <c r="J91" s="27"/>
      <c r="K91" s="27"/>
      <c r="L91" s="27"/>
      <c r="M91" s="27"/>
      <c r="N91" s="32"/>
      <c r="O91" s="27"/>
    </row>
    <row r="92" spans="1:16" ht="15" x14ac:dyDescent="0.2">
      <c r="A92" s="43"/>
      <c r="B92" s="294" t="s">
        <v>2906</v>
      </c>
      <c r="C92" s="294"/>
      <c r="D92" s="294"/>
      <c r="E92" s="294"/>
      <c r="F92" s="294"/>
      <c r="G92" s="294"/>
      <c r="H92" s="294"/>
      <c r="I92" s="294"/>
      <c r="J92" s="294"/>
      <c r="K92" s="294"/>
      <c r="L92" s="294"/>
      <c r="M92" s="294"/>
      <c r="N92" s="294"/>
      <c r="O92" s="294"/>
    </row>
    <row r="93" spans="1:16" x14ac:dyDescent="0.2">
      <c r="A93" s="43">
        <v>1</v>
      </c>
      <c r="B93" s="15" t="s">
        <v>3136</v>
      </c>
      <c r="C93" s="15" t="s">
        <v>3137</v>
      </c>
      <c r="D93" s="15" t="s">
        <v>2526</v>
      </c>
      <c r="E93" s="15" t="str">
        <f>"0,5912"</f>
        <v>0,5912</v>
      </c>
      <c r="F93" s="15" t="s">
        <v>2853</v>
      </c>
      <c r="G93" s="15" t="s">
        <v>3138</v>
      </c>
      <c r="H93" s="35" t="s">
        <v>143</v>
      </c>
      <c r="I93" s="35" t="s">
        <v>296</v>
      </c>
      <c r="J93" s="38" t="s">
        <v>246</v>
      </c>
      <c r="K93" s="22"/>
      <c r="L93" s="21" t="s">
        <v>69</v>
      </c>
      <c r="M93" s="21" t="s">
        <v>3156</v>
      </c>
      <c r="N93" s="29">
        <v>263.5</v>
      </c>
      <c r="O93" s="21" t="str">
        <f>"10168,6399"</f>
        <v>10168,6399</v>
      </c>
      <c r="P93" s="15" t="s">
        <v>3161</v>
      </c>
    </row>
    <row r="94" spans="1:16" x14ac:dyDescent="0.2">
      <c r="A94" s="43">
        <v>2</v>
      </c>
      <c r="B94" s="16" t="s">
        <v>3008</v>
      </c>
      <c r="C94" s="16" t="s">
        <v>3009</v>
      </c>
      <c r="D94" s="16" t="s">
        <v>1382</v>
      </c>
      <c r="E94" s="16" t="str">
        <f>"0,5910"</f>
        <v>0,5910</v>
      </c>
      <c r="F94" s="16" t="s">
        <v>2853</v>
      </c>
      <c r="G94" s="16" t="s">
        <v>3170</v>
      </c>
      <c r="H94" s="36" t="s">
        <v>143</v>
      </c>
      <c r="I94" s="40" t="s">
        <v>187</v>
      </c>
      <c r="J94" s="36" t="s">
        <v>187</v>
      </c>
      <c r="K94" s="24"/>
      <c r="L94" s="23" t="s">
        <v>69</v>
      </c>
      <c r="M94" s="23" t="s">
        <v>3157</v>
      </c>
      <c r="N94" s="30">
        <v>244</v>
      </c>
      <c r="O94" s="23" t="str">
        <f>"8709,8628"</f>
        <v>8709,8628</v>
      </c>
      <c r="P94" s="16" t="s">
        <v>2855</v>
      </c>
    </row>
    <row r="95" spans="1:16" x14ac:dyDescent="0.2">
      <c r="A95" s="43">
        <v>3</v>
      </c>
      <c r="B95" s="16" t="s">
        <v>3139</v>
      </c>
      <c r="C95" s="16" t="s">
        <v>1737</v>
      </c>
      <c r="D95" s="16" t="s">
        <v>1384</v>
      </c>
      <c r="E95" s="16" t="str">
        <f>"0,5952"</f>
        <v>0,5952</v>
      </c>
      <c r="F95" s="16" t="s">
        <v>2853</v>
      </c>
      <c r="G95" s="16" t="s">
        <v>3061</v>
      </c>
      <c r="H95" s="36" t="s">
        <v>135</v>
      </c>
      <c r="I95" s="36" t="s">
        <v>143</v>
      </c>
      <c r="J95" s="40" t="s">
        <v>187</v>
      </c>
      <c r="K95" s="24"/>
      <c r="L95" s="23" t="s">
        <v>69</v>
      </c>
      <c r="M95" s="23" t="s">
        <v>2954</v>
      </c>
      <c r="N95" s="30">
        <v>237</v>
      </c>
      <c r="O95" s="23" t="str">
        <f>"8459,2800"</f>
        <v>8459,2800</v>
      </c>
      <c r="P95" s="16" t="s">
        <v>2855</v>
      </c>
    </row>
    <row r="96" spans="1:16" x14ac:dyDescent="0.2">
      <c r="A96" s="43">
        <v>4</v>
      </c>
      <c r="B96" s="16" t="s">
        <v>2920</v>
      </c>
      <c r="C96" s="16" t="s">
        <v>2921</v>
      </c>
      <c r="D96" s="16" t="s">
        <v>2922</v>
      </c>
      <c r="E96" s="16" t="str">
        <f>"0,6004"</f>
        <v>0,6004</v>
      </c>
      <c r="F96" s="16" t="s">
        <v>2853</v>
      </c>
      <c r="G96" s="16" t="s">
        <v>2926</v>
      </c>
      <c r="H96" s="36" t="s">
        <v>106</v>
      </c>
      <c r="I96" s="36" t="s">
        <v>166</v>
      </c>
      <c r="J96" s="40" t="s">
        <v>225</v>
      </c>
      <c r="K96" s="24"/>
      <c r="L96" s="23" t="s">
        <v>69</v>
      </c>
      <c r="M96" s="23" t="s">
        <v>2885</v>
      </c>
      <c r="N96" s="30">
        <v>216</v>
      </c>
      <c r="O96" s="23" t="str">
        <f>"7587,5546"</f>
        <v>7587,5546</v>
      </c>
      <c r="P96" s="16" t="s">
        <v>2855</v>
      </c>
    </row>
    <row r="97" spans="1:16" x14ac:dyDescent="0.2">
      <c r="A97" s="43">
        <v>5</v>
      </c>
      <c r="B97" s="16" t="s">
        <v>3140</v>
      </c>
      <c r="C97" s="16" t="s">
        <v>3141</v>
      </c>
      <c r="D97" s="16" t="s">
        <v>3142</v>
      </c>
      <c r="E97" s="16" t="str">
        <f>"0,6009"</f>
        <v>0,6009</v>
      </c>
      <c r="F97" s="16" t="s">
        <v>2853</v>
      </c>
      <c r="G97" s="16" t="s">
        <v>3072</v>
      </c>
      <c r="H97" s="36" t="s">
        <v>142</v>
      </c>
      <c r="I97" s="40" t="s">
        <v>260</v>
      </c>
      <c r="J97" s="36" t="s">
        <v>260</v>
      </c>
      <c r="K97" s="24"/>
      <c r="L97" s="23" t="s">
        <v>69</v>
      </c>
      <c r="M97" s="23" t="s">
        <v>3090</v>
      </c>
      <c r="N97" s="30">
        <v>199.5</v>
      </c>
      <c r="O97" s="23" t="str">
        <f>"7150,7099"</f>
        <v>7150,7099</v>
      </c>
      <c r="P97" s="16" t="s">
        <v>2855</v>
      </c>
    </row>
    <row r="98" spans="1:16" x14ac:dyDescent="0.2">
      <c r="A98" s="43">
        <v>6</v>
      </c>
      <c r="B98" s="16" t="s">
        <v>3143</v>
      </c>
      <c r="C98" s="16" t="s">
        <v>3144</v>
      </c>
      <c r="D98" s="16" t="s">
        <v>3145</v>
      </c>
      <c r="E98" s="16" t="str">
        <f>"0,5921"</f>
        <v>0,5921</v>
      </c>
      <c r="F98" s="16" t="s">
        <v>2853</v>
      </c>
      <c r="G98" s="16" t="s">
        <v>2946</v>
      </c>
      <c r="H98" s="36" t="s">
        <v>127</v>
      </c>
      <c r="I98" s="36" t="s">
        <v>142</v>
      </c>
      <c r="J98" s="36" t="s">
        <v>156</v>
      </c>
      <c r="K98" s="36" t="s">
        <v>206</v>
      </c>
      <c r="L98" s="23" t="s">
        <v>69</v>
      </c>
      <c r="M98" s="23" t="s">
        <v>3090</v>
      </c>
      <c r="N98" s="30">
        <v>197</v>
      </c>
      <c r="O98" s="23" t="str">
        <f>"6971,9778"</f>
        <v>6971,9778</v>
      </c>
      <c r="P98" s="16" t="s">
        <v>2855</v>
      </c>
    </row>
    <row r="99" spans="1:16" x14ac:dyDescent="0.2">
      <c r="A99" s="43">
        <v>1</v>
      </c>
      <c r="B99" s="17" t="s">
        <v>3146</v>
      </c>
      <c r="C99" s="17" t="s">
        <v>3147</v>
      </c>
      <c r="D99" s="17" t="s">
        <v>3148</v>
      </c>
      <c r="E99" s="17" t="str">
        <f>"0,6053"</f>
        <v>0,6053</v>
      </c>
      <c r="F99" s="17" t="s">
        <v>2853</v>
      </c>
      <c r="G99" s="17" t="s">
        <v>3149</v>
      </c>
      <c r="H99" s="37" t="s">
        <v>25</v>
      </c>
      <c r="I99" s="39" t="s">
        <v>141</v>
      </c>
      <c r="J99" s="39" t="s">
        <v>141</v>
      </c>
      <c r="K99" s="26"/>
      <c r="L99" s="25" t="s">
        <v>69</v>
      </c>
      <c r="M99" s="25" t="s">
        <v>2956</v>
      </c>
      <c r="N99" s="31">
        <v>174</v>
      </c>
      <c r="O99" s="25" t="str">
        <f>"6272,4213"</f>
        <v>6272,4213</v>
      </c>
      <c r="P99" s="17" t="s">
        <v>3162</v>
      </c>
    </row>
    <row r="100" spans="1:16" x14ac:dyDescent="0.2">
      <c r="A100" s="43"/>
      <c r="H100" s="27"/>
      <c r="I100" s="27"/>
      <c r="J100" s="27"/>
      <c r="K100" s="27"/>
      <c r="L100" s="27"/>
      <c r="M100" s="27"/>
      <c r="N100" s="32"/>
      <c r="O100" s="27"/>
    </row>
    <row r="101" spans="1:16" ht="15" x14ac:dyDescent="0.2">
      <c r="A101" s="43"/>
      <c r="B101" s="294" t="s">
        <v>2878</v>
      </c>
      <c r="C101" s="294"/>
      <c r="D101" s="294"/>
      <c r="E101" s="294"/>
      <c r="F101" s="294"/>
      <c r="G101" s="294"/>
      <c r="H101" s="294"/>
      <c r="I101" s="294"/>
      <c r="J101" s="294"/>
      <c r="K101" s="294"/>
      <c r="L101" s="294"/>
      <c r="M101" s="294"/>
      <c r="N101" s="294"/>
      <c r="O101" s="294"/>
    </row>
    <row r="102" spans="1:16" x14ac:dyDescent="0.2">
      <c r="A102" s="43">
        <v>1</v>
      </c>
      <c r="B102" s="15" t="s">
        <v>2879</v>
      </c>
      <c r="C102" s="15" t="s">
        <v>2880</v>
      </c>
      <c r="D102" s="15" t="s">
        <v>2881</v>
      </c>
      <c r="E102" s="15" t="str">
        <f>"0,5805"</f>
        <v>0,5805</v>
      </c>
      <c r="F102" s="15" t="s">
        <v>2831</v>
      </c>
      <c r="G102" s="15" t="s">
        <v>2877</v>
      </c>
      <c r="H102" s="35" t="s">
        <v>11</v>
      </c>
      <c r="I102" s="35" t="s">
        <v>107</v>
      </c>
      <c r="J102" s="38" t="s">
        <v>140</v>
      </c>
      <c r="K102" s="22"/>
      <c r="L102" s="21" t="s">
        <v>71</v>
      </c>
      <c r="M102" s="21" t="s">
        <v>2890</v>
      </c>
      <c r="N102" s="29">
        <v>223</v>
      </c>
      <c r="O102" s="21" t="str">
        <f>"8503,1641"</f>
        <v>8503,1641</v>
      </c>
      <c r="P102" s="15" t="s">
        <v>2855</v>
      </c>
    </row>
    <row r="103" spans="1:16" x14ac:dyDescent="0.2">
      <c r="A103" s="43">
        <v>2</v>
      </c>
      <c r="B103" s="16" t="s">
        <v>2999</v>
      </c>
      <c r="C103" s="16" t="s">
        <v>3000</v>
      </c>
      <c r="D103" s="16" t="s">
        <v>2335</v>
      </c>
      <c r="E103" s="16" t="str">
        <f>"0,5821"</f>
        <v>0,5821</v>
      </c>
      <c r="F103" s="16" t="s">
        <v>2831</v>
      </c>
      <c r="G103" s="16" t="s">
        <v>2832</v>
      </c>
      <c r="H103" s="36" t="s">
        <v>25</v>
      </c>
      <c r="I103" s="40" t="s">
        <v>127</v>
      </c>
      <c r="J103" s="40" t="s">
        <v>127</v>
      </c>
      <c r="K103" s="24"/>
      <c r="L103" s="23" t="s">
        <v>71</v>
      </c>
      <c r="M103" s="23" t="s">
        <v>3158</v>
      </c>
      <c r="N103" s="30">
        <v>167</v>
      </c>
      <c r="O103" s="23" t="str">
        <f>"5600,9660"</f>
        <v>5600,9660</v>
      </c>
      <c r="P103" s="16" t="s">
        <v>3163</v>
      </c>
    </row>
    <row r="104" spans="1:16" x14ac:dyDescent="0.2">
      <c r="A104" s="43">
        <v>1</v>
      </c>
      <c r="B104" s="17" t="s">
        <v>2879</v>
      </c>
      <c r="C104" s="17" t="s">
        <v>2882</v>
      </c>
      <c r="D104" s="17" t="s">
        <v>2881</v>
      </c>
      <c r="E104" s="17" t="str">
        <f>"0,5805"</f>
        <v>0,5805</v>
      </c>
      <c r="F104" s="17" t="s">
        <v>2831</v>
      </c>
      <c r="G104" s="17" t="s">
        <v>2877</v>
      </c>
      <c r="H104" s="37" t="s">
        <v>11</v>
      </c>
      <c r="I104" s="37" t="s">
        <v>107</v>
      </c>
      <c r="J104" s="39" t="s">
        <v>140</v>
      </c>
      <c r="K104" s="26"/>
      <c r="L104" s="25" t="s">
        <v>71</v>
      </c>
      <c r="M104" s="25" t="s">
        <v>2890</v>
      </c>
      <c r="N104" s="31">
        <v>223</v>
      </c>
      <c r="O104" s="25" t="str">
        <f>"8503,1641"</f>
        <v>8503,1641</v>
      </c>
      <c r="P104" s="17" t="s">
        <v>2855</v>
      </c>
    </row>
    <row r="105" spans="1:16" x14ac:dyDescent="0.2">
      <c r="A105" s="43"/>
      <c r="H105" s="27"/>
      <c r="I105" s="27"/>
      <c r="J105" s="27"/>
      <c r="K105" s="27"/>
      <c r="L105" s="27"/>
      <c r="M105" s="27"/>
      <c r="N105" s="32"/>
      <c r="O105" s="27"/>
    </row>
    <row r="106" spans="1:16" ht="18" x14ac:dyDescent="0.25">
      <c r="A106" s="43"/>
      <c r="B106" s="8" t="s">
        <v>2834</v>
      </c>
      <c r="C106" s="8"/>
      <c r="H106" s="27"/>
      <c r="I106" s="27"/>
      <c r="J106" s="27"/>
      <c r="K106" s="27"/>
      <c r="L106" s="27"/>
      <c r="M106" s="27"/>
      <c r="N106" s="32"/>
      <c r="O106" s="27"/>
    </row>
    <row r="107" spans="1:16" ht="14.25" x14ac:dyDescent="0.2">
      <c r="A107" s="43"/>
      <c r="B107" s="11"/>
      <c r="C107" s="12" t="s">
        <v>2835</v>
      </c>
      <c r="H107" s="27"/>
      <c r="I107" s="27"/>
      <c r="J107" s="27"/>
      <c r="K107" s="27"/>
      <c r="L107" s="27"/>
      <c r="M107" s="27"/>
      <c r="N107" s="32"/>
      <c r="O107" s="27"/>
    </row>
    <row r="108" spans="1:16" ht="15" x14ac:dyDescent="0.2">
      <c r="A108" s="43"/>
      <c r="B108" s="13" t="s">
        <v>2836</v>
      </c>
      <c r="C108" s="13" t="s">
        <v>2837</v>
      </c>
      <c r="D108" s="13" t="s">
        <v>2838</v>
      </c>
      <c r="E108" s="13" t="s">
        <v>2839</v>
      </c>
      <c r="F108" s="13" t="s">
        <v>2840</v>
      </c>
      <c r="H108" s="27"/>
      <c r="I108" s="27"/>
      <c r="J108" s="27"/>
      <c r="K108" s="27"/>
      <c r="L108" s="27"/>
      <c r="M108" s="27"/>
      <c r="N108" s="32"/>
      <c r="O108" s="27"/>
    </row>
    <row r="109" spans="1:16" x14ac:dyDescent="0.2">
      <c r="A109" s="43">
        <v>1</v>
      </c>
      <c r="B109" s="10" t="s">
        <v>3136</v>
      </c>
      <c r="C109" s="18" t="s">
        <v>2835</v>
      </c>
      <c r="D109" s="27" t="s">
        <v>2910</v>
      </c>
      <c r="E109" s="27" t="s">
        <v>3150</v>
      </c>
      <c r="F109" s="27" t="s">
        <v>3151</v>
      </c>
      <c r="G109" s="18"/>
      <c r="H109" s="27"/>
      <c r="I109" s="27"/>
      <c r="J109" s="27"/>
      <c r="K109" s="27"/>
      <c r="L109" s="27"/>
      <c r="M109" s="27"/>
      <c r="N109" s="32"/>
      <c r="O109" s="27"/>
    </row>
    <row r="110" spans="1:16" x14ac:dyDescent="0.2">
      <c r="A110" s="43">
        <v>2</v>
      </c>
      <c r="B110" s="10" t="s">
        <v>3008</v>
      </c>
      <c r="C110" s="18" t="s">
        <v>2835</v>
      </c>
      <c r="D110" s="27" t="s">
        <v>2910</v>
      </c>
      <c r="E110" s="27" t="s">
        <v>3152</v>
      </c>
      <c r="F110" s="27" t="s">
        <v>3153</v>
      </c>
      <c r="G110" s="18"/>
      <c r="H110" s="27"/>
      <c r="I110" s="27"/>
      <c r="J110" s="27"/>
      <c r="K110" s="27"/>
      <c r="L110" s="27"/>
      <c r="M110" s="27"/>
      <c r="N110" s="32"/>
      <c r="O110" s="27"/>
    </row>
    <row r="111" spans="1:16" x14ac:dyDescent="0.2">
      <c r="A111" s="43">
        <v>3</v>
      </c>
      <c r="B111" s="10" t="s">
        <v>458</v>
      </c>
      <c r="C111" s="18" t="s">
        <v>2835</v>
      </c>
      <c r="D111" s="27" t="s">
        <v>2883</v>
      </c>
      <c r="E111" s="27" t="s">
        <v>246</v>
      </c>
      <c r="F111" s="27" t="s">
        <v>3154</v>
      </c>
      <c r="G111" s="18"/>
      <c r="H111" s="27"/>
      <c r="I111" s="27"/>
      <c r="J111" s="27"/>
      <c r="K111" s="27"/>
      <c r="L111" s="27"/>
      <c r="M111" s="27"/>
      <c r="N111" s="32"/>
      <c r="O111" s="27"/>
    </row>
    <row r="112" spans="1:16" x14ac:dyDescent="0.2">
      <c r="A112" s="43"/>
      <c r="H112" s="27"/>
      <c r="I112" s="27"/>
      <c r="J112" s="27"/>
      <c r="K112" s="27"/>
      <c r="L112" s="27"/>
      <c r="M112" s="27"/>
      <c r="N112" s="32"/>
      <c r="O112" s="27"/>
    </row>
    <row r="113" spans="1:16" ht="30" x14ac:dyDescent="0.4">
      <c r="A113" s="361" t="s">
        <v>4054</v>
      </c>
      <c r="B113" s="361"/>
      <c r="C113" s="361"/>
      <c r="D113" s="361"/>
      <c r="E113" s="361"/>
      <c r="F113" s="361"/>
      <c r="G113" s="361"/>
      <c r="H113" s="361"/>
      <c r="I113" s="361"/>
      <c r="J113" s="361"/>
      <c r="K113" s="361"/>
      <c r="L113" s="361"/>
      <c r="M113" s="361"/>
      <c r="N113" s="361"/>
      <c r="O113" s="361"/>
      <c r="P113" s="361"/>
    </row>
    <row r="114" spans="1:16" ht="30" x14ac:dyDescent="0.4">
      <c r="A114" s="361" t="s">
        <v>4060</v>
      </c>
      <c r="B114" s="361"/>
      <c r="C114" s="361"/>
      <c r="D114" s="361"/>
      <c r="E114" s="361"/>
      <c r="F114" s="361"/>
      <c r="G114" s="361"/>
      <c r="H114" s="361"/>
      <c r="I114" s="361"/>
      <c r="J114" s="361"/>
      <c r="K114" s="361"/>
      <c r="L114" s="361"/>
      <c r="M114" s="361"/>
      <c r="N114" s="361"/>
      <c r="O114" s="361"/>
      <c r="P114" s="361"/>
    </row>
    <row r="115" spans="1:16" ht="30.75" thickBot="1" x14ac:dyDescent="0.45">
      <c r="A115" s="361" t="s">
        <v>4056</v>
      </c>
      <c r="B115" s="361"/>
      <c r="C115" s="361"/>
      <c r="D115" s="361"/>
      <c r="E115" s="361"/>
      <c r="F115" s="361"/>
      <c r="G115" s="361"/>
      <c r="H115" s="361"/>
      <c r="I115" s="361"/>
      <c r="J115" s="361"/>
      <c r="K115" s="361"/>
      <c r="L115" s="361"/>
      <c r="M115" s="361"/>
      <c r="N115" s="361"/>
      <c r="O115" s="361"/>
      <c r="P115" s="361"/>
    </row>
    <row r="116" spans="1:16" ht="15" x14ac:dyDescent="0.2">
      <c r="A116" s="300" t="s">
        <v>2842</v>
      </c>
      <c r="B116" s="312" t="s">
        <v>2820</v>
      </c>
      <c r="C116" s="357" t="s">
        <v>2843</v>
      </c>
      <c r="D116" s="357" t="s">
        <v>2844</v>
      </c>
      <c r="E116" s="304" t="s">
        <v>2821</v>
      </c>
      <c r="F116" s="304" t="s">
        <v>2822</v>
      </c>
      <c r="G116" s="305" t="s">
        <v>2841</v>
      </c>
      <c r="H116" s="304" t="s">
        <v>3013</v>
      </c>
      <c r="I116" s="304"/>
      <c r="J116" s="304"/>
      <c r="K116" s="304"/>
      <c r="L116" s="304" t="s">
        <v>2849</v>
      </c>
      <c r="M116" s="304"/>
      <c r="N116" s="304" t="s">
        <v>2824</v>
      </c>
      <c r="O116" s="304" t="s">
        <v>2825</v>
      </c>
      <c r="P116" s="307" t="s">
        <v>2826</v>
      </c>
    </row>
    <row r="117" spans="1:16" ht="15" thickBot="1" x14ac:dyDescent="0.25">
      <c r="A117" s="301"/>
      <c r="B117" s="313"/>
      <c r="C117" s="358"/>
      <c r="D117" s="358"/>
      <c r="E117" s="303"/>
      <c r="F117" s="303"/>
      <c r="G117" s="306"/>
      <c r="H117" s="2">
        <v>1</v>
      </c>
      <c r="I117" s="2">
        <v>2</v>
      </c>
      <c r="J117" s="2">
        <v>3</v>
      </c>
      <c r="K117" s="2" t="s">
        <v>2827</v>
      </c>
      <c r="L117" s="2" t="s">
        <v>2847</v>
      </c>
      <c r="M117" s="2" t="s">
        <v>2846</v>
      </c>
      <c r="N117" s="303"/>
      <c r="O117" s="303"/>
      <c r="P117" s="310"/>
    </row>
    <row r="118" spans="1:16" ht="15" x14ac:dyDescent="0.2">
      <c r="A118" s="66"/>
      <c r="B118" s="315" t="s">
        <v>2906</v>
      </c>
      <c r="C118" s="315"/>
      <c r="D118" s="315"/>
      <c r="E118" s="315"/>
      <c r="F118" s="315"/>
      <c r="G118" s="315"/>
      <c r="H118" s="315"/>
      <c r="I118" s="315"/>
      <c r="J118" s="315"/>
      <c r="K118" s="315"/>
      <c r="L118" s="315"/>
      <c r="M118" s="315"/>
      <c r="N118" s="315"/>
      <c r="O118" s="315"/>
      <c r="P118" s="65"/>
    </row>
    <row r="119" spans="1:16" x14ac:dyDescent="0.2">
      <c r="A119" s="86" t="s">
        <v>892</v>
      </c>
      <c r="B119" s="74" t="s">
        <v>3173</v>
      </c>
      <c r="C119" s="67" t="s">
        <v>3174</v>
      </c>
      <c r="D119" s="67" t="s">
        <v>3142</v>
      </c>
      <c r="E119" s="67" t="str">
        <f>"0,6009"</f>
        <v>0,6009</v>
      </c>
      <c r="F119" s="68" t="s">
        <v>2901</v>
      </c>
      <c r="G119" s="68" t="s">
        <v>3175</v>
      </c>
      <c r="H119" s="34" t="s">
        <v>142</v>
      </c>
      <c r="I119" s="34" t="s">
        <v>11</v>
      </c>
      <c r="J119" s="102" t="s">
        <v>207</v>
      </c>
      <c r="K119" s="91"/>
      <c r="L119" s="87" t="s">
        <v>116</v>
      </c>
      <c r="M119" s="87" t="s">
        <v>3012</v>
      </c>
      <c r="N119" s="87" t="s">
        <v>3176</v>
      </c>
      <c r="O119" s="87" t="str">
        <f>"6354,5174"</f>
        <v>6354,5174</v>
      </c>
      <c r="P119" s="68" t="s">
        <v>2855</v>
      </c>
    </row>
    <row r="120" spans="1:16" x14ac:dyDescent="0.2">
      <c r="A120" s="66"/>
      <c r="B120" s="69"/>
      <c r="C120" s="66"/>
      <c r="D120" s="66"/>
      <c r="E120" s="66"/>
      <c r="F120" s="65"/>
      <c r="G120" s="65"/>
      <c r="H120" s="66"/>
      <c r="I120" s="66"/>
      <c r="J120" s="66"/>
      <c r="K120" s="66"/>
      <c r="L120" s="66"/>
      <c r="M120" s="66"/>
      <c r="N120" s="69"/>
      <c r="O120" s="66"/>
      <c r="P120" s="65"/>
    </row>
    <row r="121" spans="1:16" ht="13.5" thickBot="1" x14ac:dyDescent="0.25">
      <c r="A121" s="66"/>
      <c r="B121" s="69"/>
      <c r="C121" s="66"/>
      <c r="D121" s="66"/>
      <c r="E121" s="66"/>
      <c r="F121" s="65"/>
      <c r="G121" s="65"/>
      <c r="H121" s="66"/>
      <c r="I121" s="66"/>
      <c r="J121" s="66"/>
      <c r="K121" s="66"/>
      <c r="L121" s="66"/>
      <c r="M121" s="66"/>
      <c r="N121" s="69"/>
      <c r="O121" s="66"/>
      <c r="P121" s="65"/>
    </row>
    <row r="122" spans="1:16" ht="30" x14ac:dyDescent="0.4">
      <c r="A122" s="348" t="s">
        <v>4054</v>
      </c>
      <c r="B122" s="349"/>
      <c r="C122" s="349"/>
      <c r="D122" s="349"/>
      <c r="E122" s="349"/>
      <c r="F122" s="349"/>
      <c r="G122" s="349"/>
      <c r="H122" s="349"/>
      <c r="I122" s="349"/>
      <c r="J122" s="349"/>
      <c r="K122" s="349"/>
      <c r="L122" s="349"/>
      <c r="M122" s="349"/>
      <c r="N122" s="349"/>
      <c r="O122" s="349"/>
      <c r="P122" s="350"/>
    </row>
    <row r="123" spans="1:16" ht="30" x14ac:dyDescent="0.4">
      <c r="A123" s="351" t="s">
        <v>4061</v>
      </c>
      <c r="B123" s="352"/>
      <c r="C123" s="352"/>
      <c r="D123" s="352"/>
      <c r="E123" s="352"/>
      <c r="F123" s="352"/>
      <c r="G123" s="352"/>
      <c r="H123" s="352"/>
      <c r="I123" s="352"/>
      <c r="J123" s="352"/>
      <c r="K123" s="352"/>
      <c r="L123" s="352"/>
      <c r="M123" s="352"/>
      <c r="N123" s="352"/>
      <c r="O123" s="352"/>
      <c r="P123" s="353"/>
    </row>
    <row r="124" spans="1:16" ht="30.75" thickBot="1" x14ac:dyDescent="0.45">
      <c r="A124" s="354" t="s">
        <v>4056</v>
      </c>
      <c r="B124" s="355"/>
      <c r="C124" s="355"/>
      <c r="D124" s="355"/>
      <c r="E124" s="355"/>
      <c r="F124" s="355"/>
      <c r="G124" s="355"/>
      <c r="H124" s="355"/>
      <c r="I124" s="355"/>
      <c r="J124" s="355"/>
      <c r="K124" s="355"/>
      <c r="L124" s="355"/>
      <c r="M124" s="355"/>
      <c r="N124" s="355"/>
      <c r="O124" s="355"/>
      <c r="P124" s="356"/>
    </row>
    <row r="125" spans="1:16" ht="15" x14ac:dyDescent="0.2">
      <c r="A125" s="300" t="s">
        <v>2842</v>
      </c>
      <c r="B125" s="312" t="s">
        <v>2820</v>
      </c>
      <c r="C125" s="357" t="s">
        <v>2843</v>
      </c>
      <c r="D125" s="357" t="s">
        <v>2844</v>
      </c>
      <c r="E125" s="304" t="s">
        <v>2821</v>
      </c>
      <c r="F125" s="304" t="s">
        <v>2822</v>
      </c>
      <c r="G125" s="305" t="s">
        <v>2841</v>
      </c>
      <c r="H125" s="304" t="s">
        <v>3013</v>
      </c>
      <c r="I125" s="304"/>
      <c r="J125" s="304"/>
      <c r="K125" s="304"/>
      <c r="L125" s="304" t="s">
        <v>2849</v>
      </c>
      <c r="M125" s="304"/>
      <c r="N125" s="304" t="s">
        <v>2824</v>
      </c>
      <c r="O125" s="304" t="s">
        <v>2825</v>
      </c>
      <c r="P125" s="307" t="s">
        <v>2826</v>
      </c>
    </row>
    <row r="126" spans="1:16" ht="15" thickBot="1" x14ac:dyDescent="0.25">
      <c r="A126" s="301"/>
      <c r="B126" s="313"/>
      <c r="C126" s="358"/>
      <c r="D126" s="358"/>
      <c r="E126" s="303"/>
      <c r="F126" s="303"/>
      <c r="G126" s="306"/>
      <c r="H126" s="2">
        <v>1</v>
      </c>
      <c r="I126" s="2">
        <v>2</v>
      </c>
      <c r="J126" s="2">
        <v>3</v>
      </c>
      <c r="K126" s="2" t="s">
        <v>2827</v>
      </c>
      <c r="L126" s="2" t="s">
        <v>2847</v>
      </c>
      <c r="M126" s="2" t="s">
        <v>2846</v>
      </c>
      <c r="N126" s="303"/>
      <c r="O126" s="303"/>
      <c r="P126" s="310"/>
    </row>
    <row r="127" spans="1:16" ht="15" x14ac:dyDescent="0.2">
      <c r="A127" s="43"/>
      <c r="B127" s="299" t="s">
        <v>2863</v>
      </c>
      <c r="C127" s="299"/>
      <c r="D127" s="299"/>
      <c r="E127" s="299"/>
      <c r="F127" s="299"/>
      <c r="G127" s="299"/>
      <c r="H127" s="299"/>
      <c r="I127" s="299"/>
      <c r="J127" s="299"/>
      <c r="K127" s="299"/>
      <c r="L127" s="299"/>
      <c r="M127" s="299"/>
      <c r="N127" s="299"/>
      <c r="O127" s="299"/>
    </row>
    <row r="128" spans="1:16" x14ac:dyDescent="0.2">
      <c r="A128" s="43">
        <v>1</v>
      </c>
      <c r="B128" s="7" t="s">
        <v>3070</v>
      </c>
      <c r="C128" s="7" t="s">
        <v>3071</v>
      </c>
      <c r="D128" s="7" t="s">
        <v>235</v>
      </c>
      <c r="E128" s="7" t="str">
        <f>"0,6391"</f>
        <v>0,6391</v>
      </c>
      <c r="F128" s="7" t="s">
        <v>2853</v>
      </c>
      <c r="G128" s="7" t="s">
        <v>3072</v>
      </c>
      <c r="H128" s="34" t="s">
        <v>36</v>
      </c>
      <c r="I128" s="41" t="s">
        <v>127</v>
      </c>
      <c r="J128" s="41" t="s">
        <v>127</v>
      </c>
      <c r="K128" s="20"/>
      <c r="L128" s="19" t="s">
        <v>76</v>
      </c>
      <c r="M128" s="19" t="s">
        <v>2885</v>
      </c>
      <c r="N128" s="19" t="s">
        <v>3079</v>
      </c>
      <c r="O128" s="19" t="str">
        <f>"6336,6767"</f>
        <v>6336,6767</v>
      </c>
      <c r="P128" s="7" t="s">
        <v>3171</v>
      </c>
    </row>
    <row r="129" spans="1:16" x14ac:dyDescent="0.2">
      <c r="A129" s="43"/>
      <c r="H129" s="27"/>
      <c r="I129" s="27"/>
      <c r="J129" s="27"/>
      <c r="K129" s="27"/>
      <c r="L129" s="27"/>
      <c r="M129" s="27"/>
      <c r="N129" s="27"/>
      <c r="O129" s="27"/>
    </row>
    <row r="130" spans="1:16" ht="15" x14ac:dyDescent="0.2">
      <c r="A130" s="43"/>
      <c r="B130" s="294" t="s">
        <v>2869</v>
      </c>
      <c r="C130" s="294"/>
      <c r="D130" s="294"/>
      <c r="E130" s="294"/>
      <c r="F130" s="294"/>
      <c r="G130" s="294"/>
      <c r="H130" s="294"/>
      <c r="I130" s="294"/>
      <c r="J130" s="294"/>
      <c r="K130" s="294"/>
      <c r="L130" s="294"/>
      <c r="M130" s="294"/>
      <c r="N130" s="294"/>
      <c r="O130" s="294"/>
    </row>
    <row r="131" spans="1:16" x14ac:dyDescent="0.2">
      <c r="A131" s="43">
        <v>1</v>
      </c>
      <c r="B131" s="15" t="s">
        <v>3164</v>
      </c>
      <c r="C131" s="15" t="s">
        <v>258</v>
      </c>
      <c r="D131" s="15" t="s">
        <v>3064</v>
      </c>
      <c r="E131" s="15" t="str">
        <f>"0,6186"</f>
        <v>0,6186</v>
      </c>
      <c r="F131" s="15" t="s">
        <v>2831</v>
      </c>
      <c r="G131" s="15" t="s">
        <v>2877</v>
      </c>
      <c r="H131" s="35" t="s">
        <v>140</v>
      </c>
      <c r="I131" s="35" t="s">
        <v>389</v>
      </c>
      <c r="J131" s="35" t="s">
        <v>378</v>
      </c>
      <c r="K131" s="22"/>
      <c r="L131" s="21" t="s">
        <v>76</v>
      </c>
      <c r="M131" s="21" t="s">
        <v>3087</v>
      </c>
      <c r="N131" s="21">
        <v>240.5</v>
      </c>
      <c r="O131" s="21" t="str">
        <f>"8651,1212"</f>
        <v>8651,1212</v>
      </c>
      <c r="P131" s="15" t="s">
        <v>2855</v>
      </c>
    </row>
    <row r="132" spans="1:16" x14ac:dyDescent="0.2">
      <c r="A132" s="43">
        <v>2</v>
      </c>
      <c r="B132" s="17" t="s">
        <v>3165</v>
      </c>
      <c r="C132" s="17" t="s">
        <v>3166</v>
      </c>
      <c r="D132" s="17" t="s">
        <v>1630</v>
      </c>
      <c r="E132" s="17" t="str">
        <f>"0,6111"</f>
        <v>0,6111</v>
      </c>
      <c r="F132" s="17" t="s">
        <v>2853</v>
      </c>
      <c r="G132" s="17" t="s">
        <v>3167</v>
      </c>
      <c r="H132" s="39" t="s">
        <v>140</v>
      </c>
      <c r="I132" s="39" t="s">
        <v>140</v>
      </c>
      <c r="J132" s="39" t="s">
        <v>140</v>
      </c>
      <c r="K132" s="26"/>
      <c r="L132" s="26"/>
      <c r="M132" s="26"/>
      <c r="N132" s="25">
        <v>0</v>
      </c>
      <c r="O132" s="25" t="str">
        <f>"0,0000"</f>
        <v>0,0000</v>
      </c>
      <c r="P132" s="17" t="s">
        <v>3373</v>
      </c>
    </row>
    <row r="133" spans="1:16" x14ac:dyDescent="0.2">
      <c r="A133" s="43"/>
      <c r="H133" s="27"/>
      <c r="I133" s="27"/>
      <c r="J133" s="27"/>
      <c r="K133" s="27"/>
      <c r="L133" s="27"/>
      <c r="M133" s="27"/>
      <c r="N133" s="27"/>
      <c r="O133" s="27"/>
    </row>
    <row r="134" spans="1:16" ht="15" x14ac:dyDescent="0.2">
      <c r="A134" s="43"/>
      <c r="B134" s="294" t="s">
        <v>2906</v>
      </c>
      <c r="C134" s="294"/>
      <c r="D134" s="294"/>
      <c r="E134" s="294"/>
      <c r="F134" s="294"/>
      <c r="G134" s="294"/>
      <c r="H134" s="294"/>
      <c r="I134" s="294"/>
      <c r="J134" s="294"/>
      <c r="K134" s="294"/>
      <c r="L134" s="294"/>
      <c r="M134" s="294"/>
      <c r="N134" s="294"/>
      <c r="O134" s="294"/>
    </row>
    <row r="135" spans="1:16" x14ac:dyDescent="0.2">
      <c r="A135" s="43">
        <v>1</v>
      </c>
      <c r="B135" s="7" t="s">
        <v>3168</v>
      </c>
      <c r="C135" s="7" t="s">
        <v>3169</v>
      </c>
      <c r="D135" s="7" t="s">
        <v>265</v>
      </c>
      <c r="E135" s="7" t="str">
        <f>"0,5885"</f>
        <v>0,5885</v>
      </c>
      <c r="F135" s="7" t="s">
        <v>2831</v>
      </c>
      <c r="G135" s="7" t="s">
        <v>2877</v>
      </c>
      <c r="H135" s="34" t="s">
        <v>143</v>
      </c>
      <c r="I135" s="34" t="s">
        <v>24</v>
      </c>
      <c r="J135" s="41" t="s">
        <v>144</v>
      </c>
      <c r="K135" s="20"/>
      <c r="L135" s="19" t="s">
        <v>76</v>
      </c>
      <c r="M135" s="19" t="s">
        <v>2942</v>
      </c>
      <c r="N135" s="19" t="s">
        <v>17</v>
      </c>
      <c r="O135" s="19" t="str">
        <f>"9416,0004"</f>
        <v>9416,0004</v>
      </c>
      <c r="P135" s="7" t="s">
        <v>3172</v>
      </c>
    </row>
    <row r="136" spans="1:16" x14ac:dyDescent="0.2">
      <c r="A136" s="43"/>
      <c r="H136" s="27"/>
      <c r="I136" s="27"/>
      <c r="J136" s="27"/>
      <c r="K136" s="27"/>
      <c r="L136" s="27"/>
      <c r="M136" s="27"/>
      <c r="N136" s="27"/>
      <c r="O136" s="27"/>
    </row>
    <row r="137" spans="1:16" ht="15" x14ac:dyDescent="0.2">
      <c r="A137" s="43"/>
      <c r="B137" s="294" t="s">
        <v>2878</v>
      </c>
      <c r="C137" s="294"/>
      <c r="D137" s="294"/>
      <c r="E137" s="294"/>
      <c r="F137" s="294"/>
      <c r="G137" s="294"/>
      <c r="H137" s="294"/>
      <c r="I137" s="294"/>
      <c r="J137" s="294"/>
      <c r="K137" s="294"/>
      <c r="L137" s="294"/>
      <c r="M137" s="294"/>
      <c r="N137" s="294"/>
      <c r="O137" s="294"/>
    </row>
    <row r="138" spans="1:16" x14ac:dyDescent="0.2">
      <c r="A138" s="43">
        <v>1</v>
      </c>
      <c r="B138" s="7" t="s">
        <v>2999</v>
      </c>
      <c r="C138" s="7" t="s">
        <v>3000</v>
      </c>
      <c r="D138" s="7" t="s">
        <v>2335</v>
      </c>
      <c r="E138" s="7" t="str">
        <f>"0,5821"</f>
        <v>0,5821</v>
      </c>
      <c r="F138" s="7" t="s">
        <v>2831</v>
      </c>
      <c r="G138" s="7" t="s">
        <v>2832</v>
      </c>
      <c r="H138" s="34" t="s">
        <v>36</v>
      </c>
      <c r="I138" s="34" t="s">
        <v>25</v>
      </c>
      <c r="J138" s="41" t="s">
        <v>127</v>
      </c>
      <c r="K138" s="20"/>
      <c r="L138" s="19" t="s">
        <v>76</v>
      </c>
      <c r="M138" s="19" t="s">
        <v>2956</v>
      </c>
      <c r="N138" s="19" t="s">
        <v>3084</v>
      </c>
      <c r="O138" s="19" t="str">
        <f>"5949,0617"</f>
        <v>5949,0617</v>
      </c>
      <c r="P138" s="7" t="s">
        <v>3001</v>
      </c>
    </row>
    <row r="139" spans="1:16" x14ac:dyDescent="0.2">
      <c r="A139" s="43"/>
      <c r="H139" s="27"/>
      <c r="I139" s="27"/>
      <c r="J139" s="27"/>
      <c r="K139" s="27"/>
      <c r="L139" s="27"/>
      <c r="M139" s="27"/>
      <c r="N139" s="27"/>
      <c r="O139" s="27"/>
    </row>
    <row r="140" spans="1:16" ht="13.5" thickBot="1" x14ac:dyDescent="0.25">
      <c r="A140" s="43"/>
      <c r="H140" s="27"/>
      <c r="I140" s="27"/>
      <c r="J140" s="27"/>
      <c r="K140" s="27"/>
      <c r="L140" s="27"/>
      <c r="M140" s="27"/>
      <c r="N140" s="27"/>
      <c r="O140" s="27"/>
    </row>
    <row r="141" spans="1:16" ht="30" x14ac:dyDescent="0.4">
      <c r="A141" s="348" t="s">
        <v>4054</v>
      </c>
      <c r="B141" s="349"/>
      <c r="C141" s="349"/>
      <c r="D141" s="349"/>
      <c r="E141" s="349"/>
      <c r="F141" s="349"/>
      <c r="G141" s="349"/>
      <c r="H141" s="349"/>
      <c r="I141" s="349"/>
      <c r="J141" s="349"/>
      <c r="K141" s="349"/>
      <c r="L141" s="349"/>
      <c r="M141" s="349"/>
      <c r="N141" s="349"/>
      <c r="O141" s="349"/>
      <c r="P141" s="350"/>
    </row>
    <row r="142" spans="1:16" ht="30" x14ac:dyDescent="0.4">
      <c r="A142" s="351" t="s">
        <v>4062</v>
      </c>
      <c r="B142" s="352"/>
      <c r="C142" s="352"/>
      <c r="D142" s="352"/>
      <c r="E142" s="352"/>
      <c r="F142" s="352"/>
      <c r="G142" s="352"/>
      <c r="H142" s="352"/>
      <c r="I142" s="352"/>
      <c r="J142" s="352"/>
      <c r="K142" s="352"/>
      <c r="L142" s="352"/>
      <c r="M142" s="352"/>
      <c r="N142" s="352"/>
      <c r="O142" s="352"/>
      <c r="P142" s="353"/>
    </row>
    <row r="143" spans="1:16" ht="30.75" thickBot="1" x14ac:dyDescent="0.45">
      <c r="A143" s="354" t="s">
        <v>4056</v>
      </c>
      <c r="B143" s="355"/>
      <c r="C143" s="355"/>
      <c r="D143" s="355"/>
      <c r="E143" s="355"/>
      <c r="F143" s="355"/>
      <c r="G143" s="355"/>
      <c r="H143" s="355"/>
      <c r="I143" s="355"/>
      <c r="J143" s="355"/>
      <c r="K143" s="355"/>
      <c r="L143" s="355"/>
      <c r="M143" s="355"/>
      <c r="N143" s="355"/>
      <c r="O143" s="355"/>
      <c r="P143" s="356"/>
    </row>
    <row r="144" spans="1:16" ht="15" x14ac:dyDescent="0.2">
      <c r="A144" s="300" t="s">
        <v>2842</v>
      </c>
      <c r="B144" s="312" t="s">
        <v>2820</v>
      </c>
      <c r="C144" s="357" t="s">
        <v>2843</v>
      </c>
      <c r="D144" s="357" t="s">
        <v>2844</v>
      </c>
      <c r="E144" s="304" t="s">
        <v>2821</v>
      </c>
      <c r="F144" s="304" t="s">
        <v>2822</v>
      </c>
      <c r="G144" s="305" t="s">
        <v>2841</v>
      </c>
      <c r="H144" s="304" t="s">
        <v>3013</v>
      </c>
      <c r="I144" s="304"/>
      <c r="J144" s="304"/>
      <c r="K144" s="304"/>
      <c r="L144" s="304" t="s">
        <v>2849</v>
      </c>
      <c r="M144" s="304"/>
      <c r="N144" s="359" t="s">
        <v>2824</v>
      </c>
      <c r="O144" s="304" t="s">
        <v>2825</v>
      </c>
      <c r="P144" s="307" t="s">
        <v>2826</v>
      </c>
    </row>
    <row r="145" spans="1:16" ht="15" thickBot="1" x14ac:dyDescent="0.25">
      <c r="A145" s="301"/>
      <c r="B145" s="313"/>
      <c r="C145" s="358"/>
      <c r="D145" s="358"/>
      <c r="E145" s="303"/>
      <c r="F145" s="303"/>
      <c r="G145" s="306"/>
      <c r="H145" s="2">
        <v>1</v>
      </c>
      <c r="I145" s="2">
        <v>2</v>
      </c>
      <c r="J145" s="2">
        <v>3</v>
      </c>
      <c r="K145" s="2" t="s">
        <v>2827</v>
      </c>
      <c r="L145" s="2" t="s">
        <v>2847</v>
      </c>
      <c r="M145" s="2" t="s">
        <v>2846</v>
      </c>
      <c r="N145" s="360"/>
      <c r="O145" s="303"/>
      <c r="P145" s="310"/>
    </row>
    <row r="146" spans="1:16" ht="15" x14ac:dyDescent="0.2">
      <c r="A146" s="43"/>
      <c r="B146" s="299" t="s">
        <v>2891</v>
      </c>
      <c r="C146" s="299"/>
      <c r="D146" s="299"/>
      <c r="E146" s="299"/>
      <c r="F146" s="299"/>
      <c r="G146" s="299"/>
      <c r="H146" s="299"/>
      <c r="I146" s="299"/>
      <c r="J146" s="299"/>
      <c r="K146" s="299"/>
      <c r="L146" s="299"/>
      <c r="M146" s="299"/>
      <c r="N146" s="299"/>
      <c r="O146" s="299"/>
    </row>
    <row r="147" spans="1:16" x14ac:dyDescent="0.2">
      <c r="A147" s="43">
        <v>1</v>
      </c>
      <c r="B147" s="15" t="s">
        <v>3098</v>
      </c>
      <c r="C147" s="15" t="s">
        <v>3099</v>
      </c>
      <c r="D147" s="15" t="s">
        <v>2202</v>
      </c>
      <c r="E147" s="15" t="str">
        <f>"0,7242"</f>
        <v>0,7242</v>
      </c>
      <c r="F147" s="15" t="s">
        <v>2901</v>
      </c>
      <c r="G147" s="15" t="s">
        <v>3120</v>
      </c>
      <c r="H147" s="35" t="s">
        <v>53</v>
      </c>
      <c r="I147" s="22"/>
      <c r="J147" s="22"/>
      <c r="K147" s="22"/>
      <c r="L147" s="21" t="s">
        <v>52</v>
      </c>
      <c r="M147" s="21" t="s">
        <v>3122</v>
      </c>
      <c r="N147" s="29">
        <v>99</v>
      </c>
      <c r="O147" s="21" t="str">
        <f>"3437,0532"</f>
        <v>3437,0532</v>
      </c>
      <c r="P147" s="15" t="s">
        <v>3121</v>
      </c>
    </row>
    <row r="148" spans="1:16" x14ac:dyDescent="0.2">
      <c r="A148" s="43">
        <v>1</v>
      </c>
      <c r="B148" s="17" t="s">
        <v>3100</v>
      </c>
      <c r="C148" s="17" t="s">
        <v>3101</v>
      </c>
      <c r="D148" s="17" t="s">
        <v>3102</v>
      </c>
      <c r="E148" s="17" t="str">
        <f>"0,7152"</f>
        <v>0,7152</v>
      </c>
      <c r="F148" s="17" t="s">
        <v>2853</v>
      </c>
      <c r="G148" s="17" t="s">
        <v>3103</v>
      </c>
      <c r="H148" s="37" t="s">
        <v>85</v>
      </c>
      <c r="I148" s="26"/>
      <c r="J148" s="26"/>
      <c r="K148" s="26"/>
      <c r="L148" s="25" t="s">
        <v>52</v>
      </c>
      <c r="M148" s="25" t="s">
        <v>3123</v>
      </c>
      <c r="N148" s="31">
        <v>123.5</v>
      </c>
      <c r="O148" s="25" t="str">
        <f>"4261,8768"</f>
        <v>4261,8768</v>
      </c>
      <c r="P148" s="17" t="s">
        <v>2855</v>
      </c>
    </row>
    <row r="149" spans="1:16" x14ac:dyDescent="0.2">
      <c r="A149" s="43"/>
      <c r="H149" s="27"/>
      <c r="I149" s="27"/>
      <c r="J149" s="27"/>
      <c r="K149" s="27"/>
      <c r="L149" s="27"/>
      <c r="M149" s="27"/>
      <c r="N149" s="32"/>
      <c r="O149" s="27"/>
    </row>
    <row r="150" spans="1:16" ht="15" x14ac:dyDescent="0.2">
      <c r="A150" s="43"/>
      <c r="B150" s="294" t="s">
        <v>2863</v>
      </c>
      <c r="C150" s="294"/>
      <c r="D150" s="294"/>
      <c r="E150" s="294"/>
      <c r="F150" s="294"/>
      <c r="G150" s="294"/>
      <c r="H150" s="294"/>
      <c r="I150" s="294"/>
      <c r="J150" s="294"/>
      <c r="K150" s="294"/>
      <c r="L150" s="294"/>
      <c r="M150" s="294"/>
      <c r="N150" s="294"/>
      <c r="O150" s="294"/>
    </row>
    <row r="151" spans="1:16" x14ac:dyDescent="0.2">
      <c r="A151" s="43">
        <v>1</v>
      </c>
      <c r="B151" s="15" t="s">
        <v>3104</v>
      </c>
      <c r="C151" s="15" t="s">
        <v>3105</v>
      </c>
      <c r="D151" s="15" t="s">
        <v>566</v>
      </c>
      <c r="E151" s="15" t="str">
        <f>"0,6432"</f>
        <v>0,6432</v>
      </c>
      <c r="F151" s="15" t="s">
        <v>2901</v>
      </c>
      <c r="G151" s="15" t="s">
        <v>2902</v>
      </c>
      <c r="H151" s="35" t="s">
        <v>46</v>
      </c>
      <c r="I151" s="35" t="s">
        <v>61</v>
      </c>
      <c r="J151" s="38" t="s">
        <v>76</v>
      </c>
      <c r="K151" s="22"/>
      <c r="L151" s="21" t="s">
        <v>45</v>
      </c>
      <c r="M151" s="21" t="s">
        <v>3087</v>
      </c>
      <c r="N151" s="29">
        <v>123</v>
      </c>
      <c r="O151" s="21" t="str">
        <f>"3987,1967"</f>
        <v>3987,1967</v>
      </c>
      <c r="P151" s="15" t="s">
        <v>2913</v>
      </c>
    </row>
    <row r="152" spans="1:16" x14ac:dyDescent="0.2">
      <c r="A152" s="43">
        <v>1</v>
      </c>
      <c r="B152" s="16" t="s">
        <v>2949</v>
      </c>
      <c r="C152" s="16" t="s">
        <v>2950</v>
      </c>
      <c r="D152" s="16" t="s">
        <v>460</v>
      </c>
      <c r="E152" s="16" t="str">
        <f>"0,6467"</f>
        <v>0,6467</v>
      </c>
      <c r="F152" s="16" t="s">
        <v>2853</v>
      </c>
      <c r="G152" s="16" t="s">
        <v>2951</v>
      </c>
      <c r="H152" s="36" t="s">
        <v>61</v>
      </c>
      <c r="I152" s="40" t="s">
        <v>76</v>
      </c>
      <c r="J152" s="36" t="s">
        <v>76</v>
      </c>
      <c r="K152" s="24"/>
      <c r="L152" s="23" t="s">
        <v>45</v>
      </c>
      <c r="M152" s="23" t="s">
        <v>2955</v>
      </c>
      <c r="N152" s="30">
        <v>153</v>
      </c>
      <c r="O152" s="23" t="str">
        <f>"5007,2366"</f>
        <v>5007,2366</v>
      </c>
      <c r="P152" s="16" t="s">
        <v>2958</v>
      </c>
    </row>
    <row r="153" spans="1:16" x14ac:dyDescent="0.2">
      <c r="A153" s="43">
        <v>2</v>
      </c>
      <c r="B153" s="16" t="s">
        <v>2964</v>
      </c>
      <c r="C153" s="16" t="s">
        <v>28</v>
      </c>
      <c r="D153" s="16" t="s">
        <v>29</v>
      </c>
      <c r="E153" s="16" t="str">
        <f>"0,6402"</f>
        <v>0,6402</v>
      </c>
      <c r="F153" s="16" t="s">
        <v>2853</v>
      </c>
      <c r="G153" s="16" t="s">
        <v>2990</v>
      </c>
      <c r="H153" s="36" t="s">
        <v>71</v>
      </c>
      <c r="I153" s="24"/>
      <c r="J153" s="24"/>
      <c r="K153" s="24"/>
      <c r="L153" s="23" t="s">
        <v>45</v>
      </c>
      <c r="M153" s="23" t="s">
        <v>3124</v>
      </c>
      <c r="N153" s="30">
        <v>150</v>
      </c>
      <c r="O153" s="23" t="str">
        <f>"4835,1106"</f>
        <v>4835,1106</v>
      </c>
      <c r="P153" s="16" t="s">
        <v>2965</v>
      </c>
    </row>
    <row r="154" spans="1:16" x14ac:dyDescent="0.2">
      <c r="A154" s="43">
        <v>3</v>
      </c>
      <c r="B154" s="16" t="s">
        <v>3106</v>
      </c>
      <c r="C154" s="16" t="s">
        <v>3107</v>
      </c>
      <c r="D154" s="16" t="s">
        <v>1824</v>
      </c>
      <c r="E154" s="16" t="str">
        <f>"0,6475"</f>
        <v>0,6475</v>
      </c>
      <c r="F154" s="16" t="s">
        <v>3108</v>
      </c>
      <c r="G154" s="16" t="s">
        <v>2911</v>
      </c>
      <c r="H154" s="36" t="s">
        <v>76</v>
      </c>
      <c r="I154" s="24"/>
      <c r="J154" s="24"/>
      <c r="K154" s="24"/>
      <c r="L154" s="23" t="s">
        <v>45</v>
      </c>
      <c r="M154" s="23" t="s">
        <v>2845</v>
      </c>
      <c r="N154" s="30">
        <v>131</v>
      </c>
      <c r="O154" s="23" t="str">
        <f>"4276,2517"</f>
        <v>4276,2517</v>
      </c>
      <c r="P154" s="16" t="s">
        <v>2855</v>
      </c>
    </row>
    <row r="155" spans="1:16" x14ac:dyDescent="0.2">
      <c r="A155" s="43">
        <v>4</v>
      </c>
      <c r="B155" s="16" t="s">
        <v>3104</v>
      </c>
      <c r="C155" s="16" t="s">
        <v>3109</v>
      </c>
      <c r="D155" s="16" t="s">
        <v>566</v>
      </c>
      <c r="E155" s="16" t="str">
        <f>"0,6432"</f>
        <v>0,6432</v>
      </c>
      <c r="F155" s="16" t="s">
        <v>2901</v>
      </c>
      <c r="G155" s="16" t="s">
        <v>2902</v>
      </c>
      <c r="H155" s="36" t="s">
        <v>46</v>
      </c>
      <c r="I155" s="36" t="s">
        <v>61</v>
      </c>
      <c r="J155" s="40" t="s">
        <v>76</v>
      </c>
      <c r="K155" s="24"/>
      <c r="L155" s="23" t="s">
        <v>45</v>
      </c>
      <c r="M155" s="23" t="s">
        <v>3087</v>
      </c>
      <c r="N155" s="30">
        <v>123</v>
      </c>
      <c r="O155" s="23" t="str">
        <f>"3987,1967"</f>
        <v>3987,1967</v>
      </c>
      <c r="P155" s="16" t="s">
        <v>2913</v>
      </c>
    </row>
    <row r="156" spans="1:16" x14ac:dyDescent="0.2">
      <c r="A156" s="43">
        <v>5</v>
      </c>
      <c r="B156" s="17" t="s">
        <v>3110</v>
      </c>
      <c r="C156" s="17" t="s">
        <v>3111</v>
      </c>
      <c r="D156" s="17" t="s">
        <v>567</v>
      </c>
      <c r="E156" s="17" t="str">
        <f>"0,6421"</f>
        <v>0,6421</v>
      </c>
      <c r="F156" s="17" t="s">
        <v>2831</v>
      </c>
      <c r="G156" s="17" t="s">
        <v>2832</v>
      </c>
      <c r="H156" s="37" t="s">
        <v>42</v>
      </c>
      <c r="I156" s="39" t="s">
        <v>81</v>
      </c>
      <c r="J156" s="39" t="s">
        <v>81</v>
      </c>
      <c r="K156" s="26"/>
      <c r="L156" s="25" t="s">
        <v>45</v>
      </c>
      <c r="M156" s="25" t="s">
        <v>3124</v>
      </c>
      <c r="N156" s="31">
        <v>110</v>
      </c>
      <c r="O156" s="25" t="str">
        <f>"3565,2601"</f>
        <v>3565,2601</v>
      </c>
      <c r="P156" s="17" t="s">
        <v>2855</v>
      </c>
    </row>
    <row r="157" spans="1:16" x14ac:dyDescent="0.2">
      <c r="A157" s="43"/>
      <c r="H157" s="27"/>
      <c r="I157" s="27"/>
      <c r="J157" s="27"/>
      <c r="K157" s="27"/>
      <c r="L157" s="27"/>
      <c r="M157" s="27"/>
      <c r="N157" s="32"/>
      <c r="O157" s="27"/>
    </row>
    <row r="158" spans="1:16" ht="15" x14ac:dyDescent="0.2">
      <c r="A158" s="43"/>
      <c r="B158" s="294" t="s">
        <v>2869</v>
      </c>
      <c r="C158" s="294"/>
      <c r="D158" s="294"/>
      <c r="E158" s="294"/>
      <c r="F158" s="294"/>
      <c r="G158" s="294"/>
      <c r="H158" s="294"/>
      <c r="I158" s="294"/>
      <c r="J158" s="294"/>
      <c r="K158" s="294"/>
      <c r="L158" s="294"/>
      <c r="M158" s="294"/>
      <c r="N158" s="294"/>
      <c r="O158" s="294"/>
    </row>
    <row r="159" spans="1:16" x14ac:dyDescent="0.2">
      <c r="A159" s="43">
        <v>1</v>
      </c>
      <c r="B159" s="15" t="s">
        <v>3112</v>
      </c>
      <c r="C159" s="15" t="s">
        <v>3113</v>
      </c>
      <c r="D159" s="15" t="s">
        <v>3114</v>
      </c>
      <c r="E159" s="15" t="str">
        <f>"0,6301"</f>
        <v>0,6301</v>
      </c>
      <c r="F159" s="15" t="s">
        <v>2901</v>
      </c>
      <c r="G159" s="15" t="s">
        <v>2902</v>
      </c>
      <c r="H159" s="38" t="s">
        <v>46</v>
      </c>
      <c r="I159" s="35" t="s">
        <v>46</v>
      </c>
      <c r="J159" s="38" t="s">
        <v>91</v>
      </c>
      <c r="K159" s="22"/>
      <c r="L159" s="21" t="s">
        <v>59</v>
      </c>
      <c r="M159" s="21" t="s">
        <v>3003</v>
      </c>
      <c r="N159" s="29">
        <v>114</v>
      </c>
      <c r="O159" s="21" t="str">
        <f>"3742,7941"</f>
        <v>3742,7941</v>
      </c>
      <c r="P159" s="15" t="s">
        <v>2855</v>
      </c>
    </row>
    <row r="160" spans="1:16" x14ac:dyDescent="0.2">
      <c r="A160" s="43">
        <v>1</v>
      </c>
      <c r="B160" s="16" t="s">
        <v>3112</v>
      </c>
      <c r="C160" s="16" t="s">
        <v>3115</v>
      </c>
      <c r="D160" s="16" t="s">
        <v>3114</v>
      </c>
      <c r="E160" s="16" t="str">
        <f>"0,6301"</f>
        <v>0,6301</v>
      </c>
      <c r="F160" s="16" t="s">
        <v>2901</v>
      </c>
      <c r="G160" s="16" t="s">
        <v>2902</v>
      </c>
      <c r="H160" s="40" t="s">
        <v>46</v>
      </c>
      <c r="I160" s="36" t="s">
        <v>46</v>
      </c>
      <c r="J160" s="40" t="s">
        <v>91</v>
      </c>
      <c r="K160" s="24"/>
      <c r="L160" s="23" t="s">
        <v>59</v>
      </c>
      <c r="M160" s="23" t="s">
        <v>3003</v>
      </c>
      <c r="N160" s="30">
        <v>114</v>
      </c>
      <c r="O160" s="23" t="str">
        <f>"3742,7941"</f>
        <v>3742,7941</v>
      </c>
      <c r="P160" s="16" t="s">
        <v>2855</v>
      </c>
    </row>
    <row r="161" spans="1:16" x14ac:dyDescent="0.2">
      <c r="A161" s="43">
        <v>1</v>
      </c>
      <c r="B161" s="17" t="s">
        <v>3116</v>
      </c>
      <c r="C161" s="17" t="s">
        <v>3117</v>
      </c>
      <c r="D161" s="17" t="s">
        <v>3118</v>
      </c>
      <c r="E161" s="17" t="str">
        <f>"0,6214"</f>
        <v>0,6214</v>
      </c>
      <c r="F161" s="17" t="s">
        <v>2853</v>
      </c>
      <c r="G161" s="17" t="s">
        <v>3119</v>
      </c>
      <c r="H161" s="37" t="s">
        <v>93</v>
      </c>
      <c r="I161" s="37" t="s">
        <v>86</v>
      </c>
      <c r="J161" s="39" t="s">
        <v>53</v>
      </c>
      <c r="K161" s="26"/>
      <c r="L161" s="25" t="s">
        <v>59</v>
      </c>
      <c r="M161" s="25" t="s">
        <v>3085</v>
      </c>
      <c r="N161" s="31">
        <v>73</v>
      </c>
      <c r="O161" s="25" t="str">
        <f>"2348,8920"</f>
        <v>2348,8920</v>
      </c>
      <c r="P161" s="17" t="s">
        <v>2855</v>
      </c>
    </row>
    <row r="162" spans="1:16" x14ac:dyDescent="0.2">
      <c r="A162" s="43"/>
      <c r="H162" s="27"/>
      <c r="I162" s="27"/>
      <c r="J162" s="27"/>
      <c r="K162" s="27"/>
      <c r="L162" s="27"/>
      <c r="M162" s="27"/>
      <c r="N162" s="32"/>
      <c r="O162" s="27"/>
    </row>
    <row r="163" spans="1:16" ht="13.5" thickBot="1" x14ac:dyDescent="0.25">
      <c r="A163" s="43"/>
      <c r="H163" s="27"/>
      <c r="I163" s="27"/>
      <c r="J163" s="27"/>
      <c r="K163" s="27"/>
      <c r="L163" s="27"/>
      <c r="M163" s="27"/>
      <c r="N163" s="32"/>
      <c r="O163" s="27"/>
    </row>
    <row r="164" spans="1:16" ht="30" x14ac:dyDescent="0.4">
      <c r="A164" s="348" t="s">
        <v>4054</v>
      </c>
      <c r="B164" s="349"/>
      <c r="C164" s="349"/>
      <c r="D164" s="349"/>
      <c r="E164" s="349"/>
      <c r="F164" s="349"/>
      <c r="G164" s="349"/>
      <c r="H164" s="349"/>
      <c r="I164" s="349"/>
      <c r="J164" s="349"/>
      <c r="K164" s="349"/>
      <c r="L164" s="349"/>
      <c r="M164" s="349"/>
      <c r="N164" s="349"/>
      <c r="O164" s="349"/>
      <c r="P164" s="350"/>
    </row>
    <row r="165" spans="1:16" ht="30" x14ac:dyDescent="0.4">
      <c r="A165" s="362" t="s">
        <v>4063</v>
      </c>
      <c r="B165" s="352"/>
      <c r="C165" s="352"/>
      <c r="D165" s="352"/>
      <c r="E165" s="352"/>
      <c r="F165" s="352"/>
      <c r="G165" s="352"/>
      <c r="H165" s="352"/>
      <c r="I165" s="352"/>
      <c r="J165" s="352"/>
      <c r="K165" s="352"/>
      <c r="L165" s="352"/>
      <c r="M165" s="352"/>
      <c r="N165" s="352"/>
      <c r="O165" s="352"/>
      <c r="P165" s="353"/>
    </row>
    <row r="166" spans="1:16" ht="30.75" thickBot="1" x14ac:dyDescent="0.45">
      <c r="A166" s="354" t="s">
        <v>4056</v>
      </c>
      <c r="B166" s="355"/>
      <c r="C166" s="355"/>
      <c r="D166" s="355"/>
      <c r="E166" s="355"/>
      <c r="F166" s="355"/>
      <c r="G166" s="355"/>
      <c r="H166" s="355"/>
      <c r="I166" s="355"/>
      <c r="J166" s="355"/>
      <c r="K166" s="355"/>
      <c r="L166" s="355"/>
      <c r="M166" s="355"/>
      <c r="N166" s="355"/>
      <c r="O166" s="355"/>
      <c r="P166" s="356"/>
    </row>
    <row r="167" spans="1:16" ht="15" x14ac:dyDescent="0.2">
      <c r="A167" s="300" t="s">
        <v>2842</v>
      </c>
      <c r="B167" s="312" t="s">
        <v>2820</v>
      </c>
      <c r="C167" s="357" t="s">
        <v>2843</v>
      </c>
      <c r="D167" s="357" t="s">
        <v>2844</v>
      </c>
      <c r="E167" s="304" t="s">
        <v>2821</v>
      </c>
      <c r="F167" s="304" t="s">
        <v>2822</v>
      </c>
      <c r="G167" s="305" t="s">
        <v>2841</v>
      </c>
      <c r="H167" s="304" t="s">
        <v>3013</v>
      </c>
      <c r="I167" s="304"/>
      <c r="J167" s="304"/>
      <c r="K167" s="304"/>
      <c r="L167" s="304" t="s">
        <v>2849</v>
      </c>
      <c r="M167" s="304"/>
      <c r="N167" s="304" t="s">
        <v>2824</v>
      </c>
      <c r="O167" s="304" t="s">
        <v>2825</v>
      </c>
      <c r="P167" s="307" t="s">
        <v>2826</v>
      </c>
    </row>
    <row r="168" spans="1:16" ht="15" thickBot="1" x14ac:dyDescent="0.25">
      <c r="A168" s="301"/>
      <c r="B168" s="313"/>
      <c r="C168" s="358"/>
      <c r="D168" s="358"/>
      <c r="E168" s="303"/>
      <c r="F168" s="303"/>
      <c r="G168" s="306"/>
      <c r="H168" s="2">
        <v>1</v>
      </c>
      <c r="I168" s="2">
        <v>2</v>
      </c>
      <c r="J168" s="2">
        <v>3</v>
      </c>
      <c r="K168" s="2" t="s">
        <v>2827</v>
      </c>
      <c r="L168" s="2" t="s">
        <v>2847</v>
      </c>
      <c r="M168" s="2" t="s">
        <v>2846</v>
      </c>
      <c r="N168" s="303"/>
      <c r="O168" s="303"/>
      <c r="P168" s="310"/>
    </row>
    <row r="169" spans="1:16" ht="15" x14ac:dyDescent="0.2">
      <c r="B169" s="299" t="s">
        <v>2931</v>
      </c>
      <c r="C169" s="299"/>
      <c r="D169" s="299"/>
      <c r="E169" s="299"/>
      <c r="F169" s="299"/>
      <c r="G169" s="299"/>
      <c r="H169" s="299"/>
      <c r="I169" s="299"/>
      <c r="J169" s="299"/>
      <c r="K169" s="299"/>
      <c r="L169" s="299"/>
      <c r="M169" s="299"/>
      <c r="N169" s="299"/>
      <c r="O169" s="299"/>
    </row>
    <row r="170" spans="1:16" x14ac:dyDescent="0.2">
      <c r="A170" s="43">
        <v>1</v>
      </c>
      <c r="B170" s="7" t="s">
        <v>3018</v>
      </c>
      <c r="C170" s="7" t="s">
        <v>2808</v>
      </c>
      <c r="D170" s="7" t="s">
        <v>3019</v>
      </c>
      <c r="E170" s="7" t="str">
        <f>"0,5653"</f>
        <v>0,5653</v>
      </c>
      <c r="F170" s="7" t="s">
        <v>2831</v>
      </c>
      <c r="G170" s="7" t="s">
        <v>2832</v>
      </c>
      <c r="H170" s="34" t="s">
        <v>1007</v>
      </c>
      <c r="I170" s="41" t="s">
        <v>677</v>
      </c>
      <c r="J170" s="20"/>
      <c r="K170" s="20"/>
      <c r="L170" s="19" t="s">
        <v>135</v>
      </c>
      <c r="M170" s="19" t="s">
        <v>3021</v>
      </c>
      <c r="N170" s="19" t="s">
        <v>3020</v>
      </c>
      <c r="O170" s="19" t="str">
        <f>"13263,0683"</f>
        <v>13263,0683</v>
      </c>
      <c r="P170" s="7" t="s">
        <v>2855</v>
      </c>
    </row>
    <row r="174" spans="1:16" x14ac:dyDescent="0.2">
      <c r="A174" s="43"/>
      <c r="H174" s="27"/>
      <c r="I174" s="27"/>
      <c r="J174" s="27"/>
      <c r="K174" s="27"/>
      <c r="L174" s="27"/>
      <c r="M174" s="27"/>
      <c r="N174" s="32"/>
      <c r="O174" s="27"/>
    </row>
    <row r="175" spans="1:16" x14ac:dyDescent="0.2">
      <c r="A175" s="43"/>
      <c r="H175" s="27"/>
      <c r="I175" s="27"/>
      <c r="J175" s="27"/>
      <c r="K175" s="27"/>
      <c r="L175" s="27"/>
      <c r="M175" s="27"/>
      <c r="N175" s="32"/>
      <c r="O175" s="27"/>
    </row>
    <row r="176" spans="1:16" x14ac:dyDescent="0.2">
      <c r="A176" s="43"/>
      <c r="H176" s="27"/>
      <c r="I176" s="27"/>
      <c r="J176" s="27"/>
      <c r="K176" s="27"/>
      <c r="L176" s="27"/>
      <c r="M176" s="27"/>
      <c r="N176" s="32"/>
      <c r="O176" s="27"/>
    </row>
    <row r="177" spans="1:15" x14ac:dyDescent="0.2">
      <c r="A177" s="43"/>
      <c r="H177" s="27"/>
      <c r="I177" s="27"/>
      <c r="J177" s="27"/>
      <c r="K177" s="27"/>
      <c r="L177" s="27"/>
      <c r="M177" s="27"/>
      <c r="N177" s="32"/>
      <c r="O177" s="27"/>
    </row>
    <row r="178" spans="1:15" x14ac:dyDescent="0.2">
      <c r="A178" s="43"/>
      <c r="H178" s="27"/>
      <c r="I178" s="27"/>
      <c r="J178" s="27"/>
      <c r="K178" s="27"/>
      <c r="L178" s="27"/>
      <c r="M178" s="27"/>
      <c r="N178" s="32"/>
      <c r="O178" s="27"/>
    </row>
    <row r="179" spans="1:15" x14ac:dyDescent="0.2">
      <c r="A179" s="43"/>
      <c r="H179" s="27"/>
      <c r="I179" s="27"/>
      <c r="J179" s="27"/>
      <c r="K179" s="27"/>
      <c r="L179" s="27"/>
      <c r="M179" s="27"/>
      <c r="N179" s="32"/>
      <c r="O179" s="27"/>
    </row>
    <row r="180" spans="1:15" x14ac:dyDescent="0.2">
      <c r="A180" s="43"/>
      <c r="H180" s="27"/>
      <c r="I180" s="27"/>
      <c r="J180" s="27"/>
      <c r="K180" s="27"/>
      <c r="L180" s="27"/>
      <c r="M180" s="27"/>
      <c r="N180" s="32"/>
      <c r="O180" s="27"/>
    </row>
  </sheetData>
  <mergeCells count="146">
    <mergeCell ref="A164:P164"/>
    <mergeCell ref="A165:P165"/>
    <mergeCell ref="A166:P166"/>
    <mergeCell ref="A1:P1"/>
    <mergeCell ref="A2:P2"/>
    <mergeCell ref="A3:P3"/>
    <mergeCell ref="A10:P10"/>
    <mergeCell ref="A11:P11"/>
    <mergeCell ref="A12:P12"/>
    <mergeCell ref="A22:P22"/>
    <mergeCell ref="A23:P23"/>
    <mergeCell ref="A24:P24"/>
    <mergeCell ref="B4:B5"/>
    <mergeCell ref="C4:C5"/>
    <mergeCell ref="D4:D5"/>
    <mergeCell ref="E4:E5"/>
    <mergeCell ref="F4:F5"/>
    <mergeCell ref="G4:G5"/>
    <mergeCell ref="H4:K4"/>
    <mergeCell ref="L4:M4"/>
    <mergeCell ref="N4:N5"/>
    <mergeCell ref="N13:N14"/>
    <mergeCell ref="O13:O14"/>
    <mergeCell ref="P13:P14"/>
    <mergeCell ref="O4:O5"/>
    <mergeCell ref="P4:P5"/>
    <mergeCell ref="B6:O6"/>
    <mergeCell ref="A4:A5"/>
    <mergeCell ref="A141:P141"/>
    <mergeCell ref="A142:P142"/>
    <mergeCell ref="P25:P26"/>
    <mergeCell ref="A13:A14"/>
    <mergeCell ref="B13:B14"/>
    <mergeCell ref="C13:C14"/>
    <mergeCell ref="D13:D14"/>
    <mergeCell ref="E13:E14"/>
    <mergeCell ref="F13:F14"/>
    <mergeCell ref="G13:G14"/>
    <mergeCell ref="B47:O47"/>
    <mergeCell ref="B15:O15"/>
    <mergeCell ref="B18:O18"/>
    <mergeCell ref="A25:A26"/>
    <mergeCell ref="B25:B26"/>
    <mergeCell ref="C25:C26"/>
    <mergeCell ref="D25:D26"/>
    <mergeCell ref="E25:E26"/>
    <mergeCell ref="F25:F26"/>
    <mergeCell ref="G25:G26"/>
    <mergeCell ref="H25:K25"/>
    <mergeCell ref="L25:M25"/>
    <mergeCell ref="N25:N26"/>
    <mergeCell ref="O25:O26"/>
    <mergeCell ref="H13:K13"/>
    <mergeCell ref="L13:M13"/>
    <mergeCell ref="P70:P71"/>
    <mergeCell ref="B27:O27"/>
    <mergeCell ref="B30:O30"/>
    <mergeCell ref="B33:O33"/>
    <mergeCell ref="B36:O36"/>
    <mergeCell ref="B41:O41"/>
    <mergeCell ref="A67:P67"/>
    <mergeCell ref="A68:P68"/>
    <mergeCell ref="A69:P69"/>
    <mergeCell ref="B53:O53"/>
    <mergeCell ref="A70:A71"/>
    <mergeCell ref="B70:B71"/>
    <mergeCell ref="C70:C71"/>
    <mergeCell ref="D70:D71"/>
    <mergeCell ref="E70:E71"/>
    <mergeCell ref="F70:F71"/>
    <mergeCell ref="G70:G71"/>
    <mergeCell ref="H70:K70"/>
    <mergeCell ref="L70:M70"/>
    <mergeCell ref="N70:N71"/>
    <mergeCell ref="O70:O71"/>
    <mergeCell ref="P116:P117"/>
    <mergeCell ref="B72:O72"/>
    <mergeCell ref="B75:O75"/>
    <mergeCell ref="B78:O78"/>
    <mergeCell ref="B81:O81"/>
    <mergeCell ref="B85:O85"/>
    <mergeCell ref="A113:P113"/>
    <mergeCell ref="A114:P114"/>
    <mergeCell ref="A115:P115"/>
    <mergeCell ref="B92:O92"/>
    <mergeCell ref="B101:O101"/>
    <mergeCell ref="A116:A117"/>
    <mergeCell ref="B116:B117"/>
    <mergeCell ref="C116:C117"/>
    <mergeCell ref="D116:D117"/>
    <mergeCell ref="E116:E117"/>
    <mergeCell ref="F116:F117"/>
    <mergeCell ref="G116:G117"/>
    <mergeCell ref="H116:K116"/>
    <mergeCell ref="L116:M116"/>
    <mergeCell ref="N116:N117"/>
    <mergeCell ref="O116:O117"/>
    <mergeCell ref="B118:O118"/>
    <mergeCell ref="A125:A126"/>
    <mergeCell ref="B125:B126"/>
    <mergeCell ref="C125:C126"/>
    <mergeCell ref="D125:D126"/>
    <mergeCell ref="E125:E126"/>
    <mergeCell ref="F125:F126"/>
    <mergeCell ref="G125:G126"/>
    <mergeCell ref="H125:K125"/>
    <mergeCell ref="L125:M125"/>
    <mergeCell ref="N125:N126"/>
    <mergeCell ref="O125:O126"/>
    <mergeCell ref="P125:P126"/>
    <mergeCell ref="A122:P122"/>
    <mergeCell ref="A123:P123"/>
    <mergeCell ref="A124:P124"/>
    <mergeCell ref="B146:O146"/>
    <mergeCell ref="B150:O150"/>
    <mergeCell ref="B158:O158"/>
    <mergeCell ref="A144:A145"/>
    <mergeCell ref="B144:B145"/>
    <mergeCell ref="C144:C145"/>
    <mergeCell ref="D144:D145"/>
    <mergeCell ref="E144:E145"/>
    <mergeCell ref="F144:F145"/>
    <mergeCell ref="G144:G145"/>
    <mergeCell ref="H144:K144"/>
    <mergeCell ref="L144:M144"/>
    <mergeCell ref="N144:N145"/>
    <mergeCell ref="O144:O145"/>
    <mergeCell ref="P144:P145"/>
    <mergeCell ref="B127:O127"/>
    <mergeCell ref="B130:O130"/>
    <mergeCell ref="B134:O134"/>
    <mergeCell ref="B137:O137"/>
    <mergeCell ref="A143:P143"/>
    <mergeCell ref="O167:O168"/>
    <mergeCell ref="P167:P168"/>
    <mergeCell ref="B169:O169"/>
    <mergeCell ref="F167:F168"/>
    <mergeCell ref="G167:G168"/>
    <mergeCell ref="H167:K167"/>
    <mergeCell ref="L167:M167"/>
    <mergeCell ref="N167:N168"/>
    <mergeCell ref="A167:A168"/>
    <mergeCell ref="B167:B168"/>
    <mergeCell ref="C167:C168"/>
    <mergeCell ref="D167:D168"/>
    <mergeCell ref="E167:E168"/>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workbookViewId="0">
      <selection sqref="A1:L1"/>
    </sheetView>
  </sheetViews>
  <sheetFormatPr defaultColWidth="8.7109375" defaultRowHeight="12.75" x14ac:dyDescent="0.2"/>
  <cols>
    <col min="2" max="2" width="26" style="6" bestFit="1" customWidth="1"/>
    <col min="3" max="3" width="26.85546875" style="6" bestFit="1" customWidth="1"/>
    <col min="4" max="4" width="10.5703125" style="6" bestFit="1" customWidth="1"/>
    <col min="5" max="5" width="8.42578125" style="6" bestFit="1" customWidth="1"/>
    <col min="6" max="6" width="22.7109375" style="6" bestFit="1" customWidth="1"/>
    <col min="7" max="7" width="29" style="6" bestFit="1" customWidth="1"/>
    <col min="8" max="8" width="8.140625" style="6" customWidth="1"/>
    <col min="9" max="9" width="9.5703125" style="6" bestFit="1" customWidth="1"/>
    <col min="10" max="10" width="11.28515625" style="6" bestFit="1" customWidth="1"/>
    <col min="11" max="11" width="9.5703125" style="6" bestFit="1" customWidth="1"/>
    <col min="12" max="12" width="15.42578125" style="6" bestFit="1" customWidth="1"/>
    <col min="253" max="253" width="26" bestFit="1" customWidth="1"/>
    <col min="254" max="254" width="26.85546875" bestFit="1" customWidth="1"/>
    <col min="255" max="255" width="10.5703125" bestFit="1" customWidth="1"/>
    <col min="256" max="256" width="8.42578125" bestFit="1" customWidth="1"/>
    <col min="257" max="257" width="22.7109375" bestFit="1" customWidth="1"/>
    <col min="258" max="258" width="29" bestFit="1" customWidth="1"/>
    <col min="259" max="260" width="4.5703125" bestFit="1" customWidth="1"/>
    <col min="261" max="261" width="7.85546875" bestFit="1" customWidth="1"/>
    <col min="262" max="262" width="9.5703125" bestFit="1" customWidth="1"/>
    <col min="263" max="263" width="15.42578125" bestFit="1" customWidth="1"/>
    <col min="509" max="509" width="26" bestFit="1" customWidth="1"/>
    <col min="510" max="510" width="26.85546875" bestFit="1" customWidth="1"/>
    <col min="511" max="511" width="10.5703125" bestFit="1" customWidth="1"/>
    <col min="512" max="512" width="8.42578125" bestFit="1" customWidth="1"/>
    <col min="513" max="513" width="22.7109375" bestFit="1" customWidth="1"/>
    <col min="514" max="514" width="29" bestFit="1" customWidth="1"/>
    <col min="515" max="516" width="4.5703125" bestFit="1" customWidth="1"/>
    <col min="517" max="517" width="7.85546875" bestFit="1" customWidth="1"/>
    <col min="518" max="518" width="9.5703125" bestFit="1" customWidth="1"/>
    <col min="519" max="519" width="15.42578125" bestFit="1" customWidth="1"/>
    <col min="765" max="765" width="26" bestFit="1" customWidth="1"/>
    <col min="766" max="766" width="26.85546875" bestFit="1" customWidth="1"/>
    <col min="767" max="767" width="10.5703125" bestFit="1" customWidth="1"/>
    <col min="768" max="768" width="8.42578125" bestFit="1" customWidth="1"/>
    <col min="769" max="769" width="22.7109375" bestFit="1" customWidth="1"/>
    <col min="770" max="770" width="29" bestFit="1" customWidth="1"/>
    <col min="771" max="772" width="4.5703125" bestFit="1" customWidth="1"/>
    <col min="773" max="773" width="7.85546875" bestFit="1" customWidth="1"/>
    <col min="774" max="774" width="9.5703125" bestFit="1" customWidth="1"/>
    <col min="775" max="775" width="15.42578125" bestFit="1" customWidth="1"/>
    <col min="1021" max="1021" width="26" bestFit="1" customWidth="1"/>
    <col min="1022" max="1022" width="26.85546875" bestFit="1" customWidth="1"/>
    <col min="1023" max="1023" width="10.5703125" bestFit="1" customWidth="1"/>
    <col min="1024" max="1024" width="8.42578125" bestFit="1" customWidth="1"/>
    <col min="1025" max="1025" width="22.7109375" bestFit="1" customWidth="1"/>
    <col min="1026" max="1026" width="29" bestFit="1" customWidth="1"/>
    <col min="1027" max="1028" width="4.5703125" bestFit="1" customWidth="1"/>
    <col min="1029" max="1029" width="7.85546875" bestFit="1" customWidth="1"/>
    <col min="1030" max="1030" width="9.5703125" bestFit="1" customWidth="1"/>
    <col min="1031" max="1031" width="15.42578125" bestFit="1" customWidth="1"/>
    <col min="1277" max="1277" width="26" bestFit="1" customWidth="1"/>
    <col min="1278" max="1278" width="26.85546875" bestFit="1" customWidth="1"/>
    <col min="1279" max="1279" width="10.5703125" bestFit="1" customWidth="1"/>
    <col min="1280" max="1280" width="8.42578125" bestFit="1" customWidth="1"/>
    <col min="1281" max="1281" width="22.7109375" bestFit="1" customWidth="1"/>
    <col min="1282" max="1282" width="29" bestFit="1" customWidth="1"/>
    <col min="1283" max="1284" width="4.5703125" bestFit="1" customWidth="1"/>
    <col min="1285" max="1285" width="7.85546875" bestFit="1" customWidth="1"/>
    <col min="1286" max="1286" width="9.5703125" bestFit="1" customWidth="1"/>
    <col min="1287" max="1287" width="15.42578125" bestFit="1" customWidth="1"/>
    <col min="1533" max="1533" width="26" bestFit="1" customWidth="1"/>
    <col min="1534" max="1534" width="26.85546875" bestFit="1" customWidth="1"/>
    <col min="1535" max="1535" width="10.5703125" bestFit="1" customWidth="1"/>
    <col min="1536" max="1536" width="8.42578125" bestFit="1" customWidth="1"/>
    <col min="1537" max="1537" width="22.7109375" bestFit="1" customWidth="1"/>
    <col min="1538" max="1538" width="29" bestFit="1" customWidth="1"/>
    <col min="1539" max="1540" width="4.5703125" bestFit="1" customWidth="1"/>
    <col min="1541" max="1541" width="7.85546875" bestFit="1" customWidth="1"/>
    <col min="1542" max="1542" width="9.5703125" bestFit="1" customWidth="1"/>
    <col min="1543" max="1543" width="15.42578125" bestFit="1" customWidth="1"/>
    <col min="1789" max="1789" width="26" bestFit="1" customWidth="1"/>
    <col min="1790" max="1790" width="26.85546875" bestFit="1" customWidth="1"/>
    <col min="1791" max="1791" width="10.5703125" bestFit="1" customWidth="1"/>
    <col min="1792" max="1792" width="8.42578125" bestFit="1" customWidth="1"/>
    <col min="1793" max="1793" width="22.7109375" bestFit="1" customWidth="1"/>
    <col min="1794" max="1794" width="29" bestFit="1" customWidth="1"/>
    <col min="1795" max="1796" width="4.5703125" bestFit="1" customWidth="1"/>
    <col min="1797" max="1797" width="7.85546875" bestFit="1" customWidth="1"/>
    <col min="1798" max="1798" width="9.5703125" bestFit="1" customWidth="1"/>
    <col min="1799" max="1799" width="15.42578125" bestFit="1" customWidth="1"/>
    <col min="2045" max="2045" width="26" bestFit="1" customWidth="1"/>
    <col min="2046" max="2046" width="26.85546875" bestFit="1" customWidth="1"/>
    <col min="2047" max="2047" width="10.5703125" bestFit="1" customWidth="1"/>
    <col min="2048" max="2048" width="8.42578125" bestFit="1" customWidth="1"/>
    <col min="2049" max="2049" width="22.7109375" bestFit="1" customWidth="1"/>
    <col min="2050" max="2050" width="29" bestFit="1" customWidth="1"/>
    <col min="2051" max="2052" width="4.5703125" bestFit="1" customWidth="1"/>
    <col min="2053" max="2053" width="7.85546875" bestFit="1" customWidth="1"/>
    <col min="2054" max="2054" width="9.5703125" bestFit="1" customWidth="1"/>
    <col min="2055" max="2055" width="15.42578125" bestFit="1" customWidth="1"/>
    <col min="2301" max="2301" width="26" bestFit="1" customWidth="1"/>
    <col min="2302" max="2302" width="26.85546875" bestFit="1" customWidth="1"/>
    <col min="2303" max="2303" width="10.5703125" bestFit="1" customWidth="1"/>
    <col min="2304" max="2304" width="8.42578125" bestFit="1" customWidth="1"/>
    <col min="2305" max="2305" width="22.7109375" bestFit="1" customWidth="1"/>
    <col min="2306" max="2306" width="29" bestFit="1" customWidth="1"/>
    <col min="2307" max="2308" width="4.5703125" bestFit="1" customWidth="1"/>
    <col min="2309" max="2309" width="7.85546875" bestFit="1" customWidth="1"/>
    <col min="2310" max="2310" width="9.5703125" bestFit="1" customWidth="1"/>
    <col min="2311" max="2311" width="15.42578125" bestFit="1" customWidth="1"/>
    <col min="2557" max="2557" width="26" bestFit="1" customWidth="1"/>
    <col min="2558" max="2558" width="26.85546875" bestFit="1" customWidth="1"/>
    <col min="2559" max="2559" width="10.5703125" bestFit="1" customWidth="1"/>
    <col min="2560" max="2560" width="8.42578125" bestFit="1" customWidth="1"/>
    <col min="2561" max="2561" width="22.7109375" bestFit="1" customWidth="1"/>
    <col min="2562" max="2562" width="29" bestFit="1" customWidth="1"/>
    <col min="2563" max="2564" width="4.5703125" bestFit="1" customWidth="1"/>
    <col min="2565" max="2565" width="7.85546875" bestFit="1" customWidth="1"/>
    <col min="2566" max="2566" width="9.5703125" bestFit="1" customWidth="1"/>
    <col min="2567" max="2567" width="15.42578125" bestFit="1" customWidth="1"/>
    <col min="2813" max="2813" width="26" bestFit="1" customWidth="1"/>
    <col min="2814" max="2814" width="26.85546875" bestFit="1" customWidth="1"/>
    <col min="2815" max="2815" width="10.5703125" bestFit="1" customWidth="1"/>
    <col min="2816" max="2816" width="8.42578125" bestFit="1" customWidth="1"/>
    <col min="2817" max="2817" width="22.7109375" bestFit="1" customWidth="1"/>
    <col min="2818" max="2818" width="29" bestFit="1" customWidth="1"/>
    <col min="2819" max="2820" width="4.5703125" bestFit="1" customWidth="1"/>
    <col min="2821" max="2821" width="7.85546875" bestFit="1" customWidth="1"/>
    <col min="2822" max="2822" width="9.5703125" bestFit="1" customWidth="1"/>
    <col min="2823" max="2823" width="15.42578125" bestFit="1" customWidth="1"/>
    <col min="3069" max="3069" width="26" bestFit="1" customWidth="1"/>
    <col min="3070" max="3070" width="26.85546875" bestFit="1" customWidth="1"/>
    <col min="3071" max="3071" width="10.5703125" bestFit="1" customWidth="1"/>
    <col min="3072" max="3072" width="8.42578125" bestFit="1" customWidth="1"/>
    <col min="3073" max="3073" width="22.7109375" bestFit="1" customWidth="1"/>
    <col min="3074" max="3074" width="29" bestFit="1" customWidth="1"/>
    <col min="3075" max="3076" width="4.5703125" bestFit="1" customWidth="1"/>
    <col min="3077" max="3077" width="7.85546875" bestFit="1" customWidth="1"/>
    <col min="3078" max="3078" width="9.5703125" bestFit="1" customWidth="1"/>
    <col min="3079" max="3079" width="15.42578125" bestFit="1" customWidth="1"/>
    <col min="3325" max="3325" width="26" bestFit="1" customWidth="1"/>
    <col min="3326" max="3326" width="26.85546875" bestFit="1" customWidth="1"/>
    <col min="3327" max="3327" width="10.5703125" bestFit="1" customWidth="1"/>
    <col min="3328" max="3328" width="8.42578125" bestFit="1" customWidth="1"/>
    <col min="3329" max="3329" width="22.7109375" bestFit="1" customWidth="1"/>
    <col min="3330" max="3330" width="29" bestFit="1" customWidth="1"/>
    <col min="3331" max="3332" width="4.5703125" bestFit="1" customWidth="1"/>
    <col min="3333" max="3333" width="7.85546875" bestFit="1" customWidth="1"/>
    <col min="3334" max="3334" width="9.5703125" bestFit="1" customWidth="1"/>
    <col min="3335" max="3335" width="15.42578125" bestFit="1" customWidth="1"/>
    <col min="3581" max="3581" width="26" bestFit="1" customWidth="1"/>
    <col min="3582" max="3582" width="26.85546875" bestFit="1" customWidth="1"/>
    <col min="3583" max="3583" width="10.5703125" bestFit="1" customWidth="1"/>
    <col min="3584" max="3584" width="8.42578125" bestFit="1" customWidth="1"/>
    <col min="3585" max="3585" width="22.7109375" bestFit="1" customWidth="1"/>
    <col min="3586" max="3586" width="29" bestFit="1" customWidth="1"/>
    <col min="3587" max="3588" width="4.5703125" bestFit="1" customWidth="1"/>
    <col min="3589" max="3589" width="7.85546875" bestFit="1" customWidth="1"/>
    <col min="3590" max="3590" width="9.5703125" bestFit="1" customWidth="1"/>
    <col min="3591" max="3591" width="15.42578125" bestFit="1" customWidth="1"/>
    <col min="3837" max="3837" width="26" bestFit="1" customWidth="1"/>
    <col min="3838" max="3838" width="26.85546875" bestFit="1" customWidth="1"/>
    <col min="3839" max="3839" width="10.5703125" bestFit="1" customWidth="1"/>
    <col min="3840" max="3840" width="8.42578125" bestFit="1" customWidth="1"/>
    <col min="3841" max="3841" width="22.7109375" bestFit="1" customWidth="1"/>
    <col min="3842" max="3842" width="29" bestFit="1" customWidth="1"/>
    <col min="3843" max="3844" width="4.5703125" bestFit="1" customWidth="1"/>
    <col min="3845" max="3845" width="7.85546875" bestFit="1" customWidth="1"/>
    <col min="3846" max="3846" width="9.5703125" bestFit="1" customWidth="1"/>
    <col min="3847" max="3847" width="15.42578125" bestFit="1" customWidth="1"/>
    <col min="4093" max="4093" width="26" bestFit="1" customWidth="1"/>
    <col min="4094" max="4094" width="26.85546875" bestFit="1" customWidth="1"/>
    <col min="4095" max="4095" width="10.5703125" bestFit="1" customWidth="1"/>
    <col min="4096" max="4096" width="8.42578125" bestFit="1" customWidth="1"/>
    <col min="4097" max="4097" width="22.7109375" bestFit="1" customWidth="1"/>
    <col min="4098" max="4098" width="29" bestFit="1" customWidth="1"/>
    <col min="4099" max="4100" width="4.5703125" bestFit="1" customWidth="1"/>
    <col min="4101" max="4101" width="7.85546875" bestFit="1" customWidth="1"/>
    <col min="4102" max="4102" width="9.5703125" bestFit="1" customWidth="1"/>
    <col min="4103" max="4103" width="15.42578125" bestFit="1" customWidth="1"/>
    <col min="4349" max="4349" width="26" bestFit="1" customWidth="1"/>
    <col min="4350" max="4350" width="26.85546875" bestFit="1" customWidth="1"/>
    <col min="4351" max="4351" width="10.5703125" bestFit="1" customWidth="1"/>
    <col min="4352" max="4352" width="8.42578125" bestFit="1" customWidth="1"/>
    <col min="4353" max="4353" width="22.7109375" bestFit="1" customWidth="1"/>
    <col min="4354" max="4354" width="29" bestFit="1" customWidth="1"/>
    <col min="4355" max="4356" width="4.5703125" bestFit="1" customWidth="1"/>
    <col min="4357" max="4357" width="7.85546875" bestFit="1" customWidth="1"/>
    <col min="4358" max="4358" width="9.5703125" bestFit="1" customWidth="1"/>
    <col min="4359" max="4359" width="15.42578125" bestFit="1" customWidth="1"/>
    <col min="4605" max="4605" width="26" bestFit="1" customWidth="1"/>
    <col min="4606" max="4606" width="26.85546875" bestFit="1" customWidth="1"/>
    <col min="4607" max="4607" width="10.5703125" bestFit="1" customWidth="1"/>
    <col min="4608" max="4608" width="8.42578125" bestFit="1" customWidth="1"/>
    <col min="4609" max="4609" width="22.7109375" bestFit="1" customWidth="1"/>
    <col min="4610" max="4610" width="29" bestFit="1" customWidth="1"/>
    <col min="4611" max="4612" width="4.5703125" bestFit="1" customWidth="1"/>
    <col min="4613" max="4613" width="7.85546875" bestFit="1" customWidth="1"/>
    <col min="4614" max="4614" width="9.5703125" bestFit="1" customWidth="1"/>
    <col min="4615" max="4615" width="15.42578125" bestFit="1" customWidth="1"/>
    <col min="4861" max="4861" width="26" bestFit="1" customWidth="1"/>
    <col min="4862" max="4862" width="26.85546875" bestFit="1" customWidth="1"/>
    <col min="4863" max="4863" width="10.5703125" bestFit="1" customWidth="1"/>
    <col min="4864" max="4864" width="8.42578125" bestFit="1" customWidth="1"/>
    <col min="4865" max="4865" width="22.7109375" bestFit="1" customWidth="1"/>
    <col min="4866" max="4866" width="29" bestFit="1" customWidth="1"/>
    <col min="4867" max="4868" width="4.5703125" bestFit="1" customWidth="1"/>
    <col min="4869" max="4869" width="7.85546875" bestFit="1" customWidth="1"/>
    <col min="4870" max="4870" width="9.5703125" bestFit="1" customWidth="1"/>
    <col min="4871" max="4871" width="15.42578125" bestFit="1" customWidth="1"/>
    <col min="5117" max="5117" width="26" bestFit="1" customWidth="1"/>
    <col min="5118" max="5118" width="26.85546875" bestFit="1" customWidth="1"/>
    <col min="5119" max="5119" width="10.5703125" bestFit="1" customWidth="1"/>
    <col min="5120" max="5120" width="8.42578125" bestFit="1" customWidth="1"/>
    <col min="5121" max="5121" width="22.7109375" bestFit="1" customWidth="1"/>
    <col min="5122" max="5122" width="29" bestFit="1" customWidth="1"/>
    <col min="5123" max="5124" width="4.5703125" bestFit="1" customWidth="1"/>
    <col min="5125" max="5125" width="7.85546875" bestFit="1" customWidth="1"/>
    <col min="5126" max="5126" width="9.5703125" bestFit="1" customWidth="1"/>
    <col min="5127" max="5127" width="15.42578125" bestFit="1" customWidth="1"/>
    <col min="5373" max="5373" width="26" bestFit="1" customWidth="1"/>
    <col min="5374" max="5374" width="26.85546875" bestFit="1" customWidth="1"/>
    <col min="5375" max="5375" width="10.5703125" bestFit="1" customWidth="1"/>
    <col min="5376" max="5376" width="8.42578125" bestFit="1" customWidth="1"/>
    <col min="5377" max="5377" width="22.7109375" bestFit="1" customWidth="1"/>
    <col min="5378" max="5378" width="29" bestFit="1" customWidth="1"/>
    <col min="5379" max="5380" width="4.5703125" bestFit="1" customWidth="1"/>
    <col min="5381" max="5381" width="7.85546875" bestFit="1" customWidth="1"/>
    <col min="5382" max="5382" width="9.5703125" bestFit="1" customWidth="1"/>
    <col min="5383" max="5383" width="15.42578125" bestFit="1" customWidth="1"/>
    <col min="5629" max="5629" width="26" bestFit="1" customWidth="1"/>
    <col min="5630" max="5630" width="26.85546875" bestFit="1" customWidth="1"/>
    <col min="5631" max="5631" width="10.5703125" bestFit="1" customWidth="1"/>
    <col min="5632" max="5632" width="8.42578125" bestFit="1" customWidth="1"/>
    <col min="5633" max="5633" width="22.7109375" bestFit="1" customWidth="1"/>
    <col min="5634" max="5634" width="29" bestFit="1" customWidth="1"/>
    <col min="5635" max="5636" width="4.5703125" bestFit="1" customWidth="1"/>
    <col min="5637" max="5637" width="7.85546875" bestFit="1" customWidth="1"/>
    <col min="5638" max="5638" width="9.5703125" bestFit="1" customWidth="1"/>
    <col min="5639" max="5639" width="15.42578125" bestFit="1" customWidth="1"/>
    <col min="5885" max="5885" width="26" bestFit="1" customWidth="1"/>
    <col min="5886" max="5886" width="26.85546875" bestFit="1" customWidth="1"/>
    <col min="5887" max="5887" width="10.5703125" bestFit="1" customWidth="1"/>
    <col min="5888" max="5888" width="8.42578125" bestFit="1" customWidth="1"/>
    <col min="5889" max="5889" width="22.7109375" bestFit="1" customWidth="1"/>
    <col min="5890" max="5890" width="29" bestFit="1" customWidth="1"/>
    <col min="5891" max="5892" width="4.5703125" bestFit="1" customWidth="1"/>
    <col min="5893" max="5893" width="7.85546875" bestFit="1" customWidth="1"/>
    <col min="5894" max="5894" width="9.5703125" bestFit="1" customWidth="1"/>
    <col min="5895" max="5895" width="15.42578125" bestFit="1" customWidth="1"/>
    <col min="6141" max="6141" width="26" bestFit="1" customWidth="1"/>
    <col min="6142" max="6142" width="26.85546875" bestFit="1" customWidth="1"/>
    <col min="6143" max="6143" width="10.5703125" bestFit="1" customWidth="1"/>
    <col min="6144" max="6144" width="8.42578125" bestFit="1" customWidth="1"/>
    <col min="6145" max="6145" width="22.7109375" bestFit="1" customWidth="1"/>
    <col min="6146" max="6146" width="29" bestFit="1" customWidth="1"/>
    <col min="6147" max="6148" width="4.5703125" bestFit="1" customWidth="1"/>
    <col min="6149" max="6149" width="7.85546875" bestFit="1" customWidth="1"/>
    <col min="6150" max="6150" width="9.5703125" bestFit="1" customWidth="1"/>
    <col min="6151" max="6151" width="15.42578125" bestFit="1" customWidth="1"/>
    <col min="6397" max="6397" width="26" bestFit="1" customWidth="1"/>
    <col min="6398" max="6398" width="26.85546875" bestFit="1" customWidth="1"/>
    <col min="6399" max="6399" width="10.5703125" bestFit="1" customWidth="1"/>
    <col min="6400" max="6400" width="8.42578125" bestFit="1" customWidth="1"/>
    <col min="6401" max="6401" width="22.7109375" bestFit="1" customWidth="1"/>
    <col min="6402" max="6402" width="29" bestFit="1" customWidth="1"/>
    <col min="6403" max="6404" width="4.5703125" bestFit="1" customWidth="1"/>
    <col min="6405" max="6405" width="7.85546875" bestFit="1" customWidth="1"/>
    <col min="6406" max="6406" width="9.5703125" bestFit="1" customWidth="1"/>
    <col min="6407" max="6407" width="15.42578125" bestFit="1" customWidth="1"/>
    <col min="6653" max="6653" width="26" bestFit="1" customWidth="1"/>
    <col min="6654" max="6654" width="26.85546875" bestFit="1" customWidth="1"/>
    <col min="6655" max="6655" width="10.5703125" bestFit="1" customWidth="1"/>
    <col min="6656" max="6656" width="8.42578125" bestFit="1" customWidth="1"/>
    <col min="6657" max="6657" width="22.7109375" bestFit="1" customWidth="1"/>
    <col min="6658" max="6658" width="29" bestFit="1" customWidth="1"/>
    <col min="6659" max="6660" width="4.5703125" bestFit="1" customWidth="1"/>
    <col min="6661" max="6661" width="7.85546875" bestFit="1" customWidth="1"/>
    <col min="6662" max="6662" width="9.5703125" bestFit="1" customWidth="1"/>
    <col min="6663" max="6663" width="15.42578125" bestFit="1" customWidth="1"/>
    <col min="6909" max="6909" width="26" bestFit="1" customWidth="1"/>
    <col min="6910" max="6910" width="26.85546875" bestFit="1" customWidth="1"/>
    <col min="6911" max="6911" width="10.5703125" bestFit="1" customWidth="1"/>
    <col min="6912" max="6912" width="8.42578125" bestFit="1" customWidth="1"/>
    <col min="6913" max="6913" width="22.7109375" bestFit="1" customWidth="1"/>
    <col min="6914" max="6914" width="29" bestFit="1" customWidth="1"/>
    <col min="6915" max="6916" width="4.5703125" bestFit="1" customWidth="1"/>
    <col min="6917" max="6917" width="7.85546875" bestFit="1" customWidth="1"/>
    <col min="6918" max="6918" width="9.5703125" bestFit="1" customWidth="1"/>
    <col min="6919" max="6919" width="15.42578125" bestFit="1" customWidth="1"/>
    <col min="7165" max="7165" width="26" bestFit="1" customWidth="1"/>
    <col min="7166" max="7166" width="26.85546875" bestFit="1" customWidth="1"/>
    <col min="7167" max="7167" width="10.5703125" bestFit="1" customWidth="1"/>
    <col min="7168" max="7168" width="8.42578125" bestFit="1" customWidth="1"/>
    <col min="7169" max="7169" width="22.7109375" bestFit="1" customWidth="1"/>
    <col min="7170" max="7170" width="29" bestFit="1" customWidth="1"/>
    <col min="7171" max="7172" width="4.5703125" bestFit="1" customWidth="1"/>
    <col min="7173" max="7173" width="7.85546875" bestFit="1" customWidth="1"/>
    <col min="7174" max="7174" width="9.5703125" bestFit="1" customWidth="1"/>
    <col min="7175" max="7175" width="15.42578125" bestFit="1" customWidth="1"/>
    <col min="7421" max="7421" width="26" bestFit="1" customWidth="1"/>
    <col min="7422" max="7422" width="26.85546875" bestFit="1" customWidth="1"/>
    <col min="7423" max="7423" width="10.5703125" bestFit="1" customWidth="1"/>
    <col min="7424" max="7424" width="8.42578125" bestFit="1" customWidth="1"/>
    <col min="7425" max="7425" width="22.7109375" bestFit="1" customWidth="1"/>
    <col min="7426" max="7426" width="29" bestFit="1" customWidth="1"/>
    <col min="7427" max="7428" width="4.5703125" bestFit="1" customWidth="1"/>
    <col min="7429" max="7429" width="7.85546875" bestFit="1" customWidth="1"/>
    <col min="7430" max="7430" width="9.5703125" bestFit="1" customWidth="1"/>
    <col min="7431" max="7431" width="15.42578125" bestFit="1" customWidth="1"/>
    <col min="7677" max="7677" width="26" bestFit="1" customWidth="1"/>
    <col min="7678" max="7678" width="26.85546875" bestFit="1" customWidth="1"/>
    <col min="7679" max="7679" width="10.5703125" bestFit="1" customWidth="1"/>
    <col min="7680" max="7680" width="8.42578125" bestFit="1" customWidth="1"/>
    <col min="7681" max="7681" width="22.7109375" bestFit="1" customWidth="1"/>
    <col min="7682" max="7682" width="29" bestFit="1" customWidth="1"/>
    <col min="7683" max="7684" width="4.5703125" bestFit="1" customWidth="1"/>
    <col min="7685" max="7685" width="7.85546875" bestFit="1" customWidth="1"/>
    <col min="7686" max="7686" width="9.5703125" bestFit="1" customWidth="1"/>
    <col min="7687" max="7687" width="15.42578125" bestFit="1" customWidth="1"/>
    <col min="7933" max="7933" width="26" bestFit="1" customWidth="1"/>
    <col min="7934" max="7934" width="26.85546875" bestFit="1" customWidth="1"/>
    <col min="7935" max="7935" width="10.5703125" bestFit="1" customWidth="1"/>
    <col min="7936" max="7936" width="8.42578125" bestFit="1" customWidth="1"/>
    <col min="7937" max="7937" width="22.7109375" bestFit="1" customWidth="1"/>
    <col min="7938" max="7938" width="29" bestFit="1" customWidth="1"/>
    <col min="7939" max="7940" width="4.5703125" bestFit="1" customWidth="1"/>
    <col min="7941" max="7941" width="7.85546875" bestFit="1" customWidth="1"/>
    <col min="7942" max="7942" width="9.5703125" bestFit="1" customWidth="1"/>
    <col min="7943" max="7943" width="15.42578125" bestFit="1" customWidth="1"/>
    <col min="8189" max="8189" width="26" bestFit="1" customWidth="1"/>
    <col min="8190" max="8190" width="26.85546875" bestFit="1" customWidth="1"/>
    <col min="8191" max="8191" width="10.5703125" bestFit="1" customWidth="1"/>
    <col min="8192" max="8192" width="8.42578125" bestFit="1" customWidth="1"/>
    <col min="8193" max="8193" width="22.7109375" bestFit="1" customWidth="1"/>
    <col min="8194" max="8194" width="29" bestFit="1" customWidth="1"/>
    <col min="8195" max="8196" width="4.5703125" bestFit="1" customWidth="1"/>
    <col min="8197" max="8197" width="7.85546875" bestFit="1" customWidth="1"/>
    <col min="8198" max="8198" width="9.5703125" bestFit="1" customWidth="1"/>
    <col min="8199" max="8199" width="15.42578125" bestFit="1" customWidth="1"/>
    <col min="8445" max="8445" width="26" bestFit="1" customWidth="1"/>
    <col min="8446" max="8446" width="26.85546875" bestFit="1" customWidth="1"/>
    <col min="8447" max="8447" width="10.5703125" bestFit="1" customWidth="1"/>
    <col min="8448" max="8448" width="8.42578125" bestFit="1" customWidth="1"/>
    <col min="8449" max="8449" width="22.7109375" bestFit="1" customWidth="1"/>
    <col min="8450" max="8450" width="29" bestFit="1" customWidth="1"/>
    <col min="8451" max="8452" width="4.5703125" bestFit="1" customWidth="1"/>
    <col min="8453" max="8453" width="7.85546875" bestFit="1" customWidth="1"/>
    <col min="8454" max="8454" width="9.5703125" bestFit="1" customWidth="1"/>
    <col min="8455" max="8455" width="15.42578125" bestFit="1" customWidth="1"/>
    <col min="8701" max="8701" width="26" bestFit="1" customWidth="1"/>
    <col min="8702" max="8702" width="26.85546875" bestFit="1" customWidth="1"/>
    <col min="8703" max="8703" width="10.5703125" bestFit="1" customWidth="1"/>
    <col min="8704" max="8704" width="8.42578125" bestFit="1" customWidth="1"/>
    <col min="8705" max="8705" width="22.7109375" bestFit="1" customWidth="1"/>
    <col min="8706" max="8706" width="29" bestFit="1" customWidth="1"/>
    <col min="8707" max="8708" width="4.5703125" bestFit="1" customWidth="1"/>
    <col min="8709" max="8709" width="7.85546875" bestFit="1" customWidth="1"/>
    <col min="8710" max="8710" width="9.5703125" bestFit="1" customWidth="1"/>
    <col min="8711" max="8711" width="15.42578125" bestFit="1" customWidth="1"/>
    <col min="8957" max="8957" width="26" bestFit="1" customWidth="1"/>
    <col min="8958" max="8958" width="26.85546875" bestFit="1" customWidth="1"/>
    <col min="8959" max="8959" width="10.5703125" bestFit="1" customWidth="1"/>
    <col min="8960" max="8960" width="8.42578125" bestFit="1" customWidth="1"/>
    <col min="8961" max="8961" width="22.7109375" bestFit="1" customWidth="1"/>
    <col min="8962" max="8962" width="29" bestFit="1" customWidth="1"/>
    <col min="8963" max="8964" width="4.5703125" bestFit="1" customWidth="1"/>
    <col min="8965" max="8965" width="7.85546875" bestFit="1" customWidth="1"/>
    <col min="8966" max="8966" width="9.5703125" bestFit="1" customWidth="1"/>
    <col min="8967" max="8967" width="15.42578125" bestFit="1" customWidth="1"/>
    <col min="9213" max="9213" width="26" bestFit="1" customWidth="1"/>
    <col min="9214" max="9214" width="26.85546875" bestFit="1" customWidth="1"/>
    <col min="9215" max="9215" width="10.5703125" bestFit="1" customWidth="1"/>
    <col min="9216" max="9216" width="8.42578125" bestFit="1" customWidth="1"/>
    <col min="9217" max="9217" width="22.7109375" bestFit="1" customWidth="1"/>
    <col min="9218" max="9218" width="29" bestFit="1" customWidth="1"/>
    <col min="9219" max="9220" width="4.5703125" bestFit="1" customWidth="1"/>
    <col min="9221" max="9221" width="7.85546875" bestFit="1" customWidth="1"/>
    <col min="9222" max="9222" width="9.5703125" bestFit="1" customWidth="1"/>
    <col min="9223" max="9223" width="15.42578125" bestFit="1" customWidth="1"/>
    <col min="9469" max="9469" width="26" bestFit="1" customWidth="1"/>
    <col min="9470" max="9470" width="26.85546875" bestFit="1" customWidth="1"/>
    <col min="9471" max="9471" width="10.5703125" bestFit="1" customWidth="1"/>
    <col min="9472" max="9472" width="8.42578125" bestFit="1" customWidth="1"/>
    <col min="9473" max="9473" width="22.7109375" bestFit="1" customWidth="1"/>
    <col min="9474" max="9474" width="29" bestFit="1" customWidth="1"/>
    <col min="9475" max="9476" width="4.5703125" bestFit="1" customWidth="1"/>
    <col min="9477" max="9477" width="7.85546875" bestFit="1" customWidth="1"/>
    <col min="9478" max="9478" width="9.5703125" bestFit="1" customWidth="1"/>
    <col min="9479" max="9479" width="15.42578125" bestFit="1" customWidth="1"/>
    <col min="9725" max="9725" width="26" bestFit="1" customWidth="1"/>
    <col min="9726" max="9726" width="26.85546875" bestFit="1" customWidth="1"/>
    <col min="9727" max="9727" width="10.5703125" bestFit="1" customWidth="1"/>
    <col min="9728" max="9728" width="8.42578125" bestFit="1" customWidth="1"/>
    <col min="9729" max="9729" width="22.7109375" bestFit="1" customWidth="1"/>
    <col min="9730" max="9730" width="29" bestFit="1" customWidth="1"/>
    <col min="9731" max="9732" width="4.5703125" bestFit="1" customWidth="1"/>
    <col min="9733" max="9733" width="7.85546875" bestFit="1" customWidth="1"/>
    <col min="9734" max="9734" width="9.5703125" bestFit="1" customWidth="1"/>
    <col min="9735" max="9735" width="15.42578125" bestFit="1" customWidth="1"/>
    <col min="9981" max="9981" width="26" bestFit="1" customWidth="1"/>
    <col min="9982" max="9982" width="26.85546875" bestFit="1" customWidth="1"/>
    <col min="9983" max="9983" width="10.5703125" bestFit="1" customWidth="1"/>
    <col min="9984" max="9984" width="8.42578125" bestFit="1" customWidth="1"/>
    <col min="9985" max="9985" width="22.7109375" bestFit="1" customWidth="1"/>
    <col min="9986" max="9986" width="29" bestFit="1" customWidth="1"/>
    <col min="9987" max="9988" width="4.5703125" bestFit="1" customWidth="1"/>
    <col min="9989" max="9989" width="7.85546875" bestFit="1" customWidth="1"/>
    <col min="9990" max="9990" width="9.5703125" bestFit="1" customWidth="1"/>
    <col min="9991" max="9991" width="15.42578125" bestFit="1" customWidth="1"/>
    <col min="10237" max="10237" width="26" bestFit="1" customWidth="1"/>
    <col min="10238" max="10238" width="26.85546875" bestFit="1" customWidth="1"/>
    <col min="10239" max="10239" width="10.5703125" bestFit="1" customWidth="1"/>
    <col min="10240" max="10240" width="8.42578125" bestFit="1" customWidth="1"/>
    <col min="10241" max="10241" width="22.7109375" bestFit="1" customWidth="1"/>
    <col min="10242" max="10242" width="29" bestFit="1" customWidth="1"/>
    <col min="10243" max="10244" width="4.5703125" bestFit="1" customWidth="1"/>
    <col min="10245" max="10245" width="7.85546875" bestFit="1" customWidth="1"/>
    <col min="10246" max="10246" width="9.5703125" bestFit="1" customWidth="1"/>
    <col min="10247" max="10247" width="15.42578125" bestFit="1" customWidth="1"/>
    <col min="10493" max="10493" width="26" bestFit="1" customWidth="1"/>
    <col min="10494" max="10494" width="26.85546875" bestFit="1" customWidth="1"/>
    <col min="10495" max="10495" width="10.5703125" bestFit="1" customWidth="1"/>
    <col min="10496" max="10496" width="8.42578125" bestFit="1" customWidth="1"/>
    <col min="10497" max="10497" width="22.7109375" bestFit="1" customWidth="1"/>
    <col min="10498" max="10498" width="29" bestFit="1" customWidth="1"/>
    <col min="10499" max="10500" width="4.5703125" bestFit="1" customWidth="1"/>
    <col min="10501" max="10501" width="7.85546875" bestFit="1" customWidth="1"/>
    <col min="10502" max="10502" width="9.5703125" bestFit="1" customWidth="1"/>
    <col min="10503" max="10503" width="15.42578125" bestFit="1" customWidth="1"/>
    <col min="10749" max="10749" width="26" bestFit="1" customWidth="1"/>
    <col min="10750" max="10750" width="26.85546875" bestFit="1" customWidth="1"/>
    <col min="10751" max="10751" width="10.5703125" bestFit="1" customWidth="1"/>
    <col min="10752" max="10752" width="8.42578125" bestFit="1" customWidth="1"/>
    <col min="10753" max="10753" width="22.7109375" bestFit="1" customWidth="1"/>
    <col min="10754" max="10754" width="29" bestFit="1" customWidth="1"/>
    <col min="10755" max="10756" width="4.5703125" bestFit="1" customWidth="1"/>
    <col min="10757" max="10757" width="7.85546875" bestFit="1" customWidth="1"/>
    <col min="10758" max="10758" width="9.5703125" bestFit="1" customWidth="1"/>
    <col min="10759" max="10759" width="15.42578125" bestFit="1" customWidth="1"/>
    <col min="11005" max="11005" width="26" bestFit="1" customWidth="1"/>
    <col min="11006" max="11006" width="26.85546875" bestFit="1" customWidth="1"/>
    <col min="11007" max="11007" width="10.5703125" bestFit="1" customWidth="1"/>
    <col min="11008" max="11008" width="8.42578125" bestFit="1" customWidth="1"/>
    <col min="11009" max="11009" width="22.7109375" bestFit="1" customWidth="1"/>
    <col min="11010" max="11010" width="29" bestFit="1" customWidth="1"/>
    <col min="11011" max="11012" width="4.5703125" bestFit="1" customWidth="1"/>
    <col min="11013" max="11013" width="7.85546875" bestFit="1" customWidth="1"/>
    <col min="11014" max="11014" width="9.5703125" bestFit="1" customWidth="1"/>
    <col min="11015" max="11015" width="15.42578125" bestFit="1" customWidth="1"/>
    <col min="11261" max="11261" width="26" bestFit="1" customWidth="1"/>
    <col min="11262" max="11262" width="26.85546875" bestFit="1" customWidth="1"/>
    <col min="11263" max="11263" width="10.5703125" bestFit="1" customWidth="1"/>
    <col min="11264" max="11264" width="8.42578125" bestFit="1" customWidth="1"/>
    <col min="11265" max="11265" width="22.7109375" bestFit="1" customWidth="1"/>
    <col min="11266" max="11266" width="29" bestFit="1" customWidth="1"/>
    <col min="11267" max="11268" width="4.5703125" bestFit="1" customWidth="1"/>
    <col min="11269" max="11269" width="7.85546875" bestFit="1" customWidth="1"/>
    <col min="11270" max="11270" width="9.5703125" bestFit="1" customWidth="1"/>
    <col min="11271" max="11271" width="15.42578125" bestFit="1" customWidth="1"/>
    <col min="11517" max="11517" width="26" bestFit="1" customWidth="1"/>
    <col min="11518" max="11518" width="26.85546875" bestFit="1" customWidth="1"/>
    <col min="11519" max="11519" width="10.5703125" bestFit="1" customWidth="1"/>
    <col min="11520" max="11520" width="8.42578125" bestFit="1" customWidth="1"/>
    <col min="11521" max="11521" width="22.7109375" bestFit="1" customWidth="1"/>
    <col min="11522" max="11522" width="29" bestFit="1" customWidth="1"/>
    <col min="11523" max="11524" width="4.5703125" bestFit="1" customWidth="1"/>
    <col min="11525" max="11525" width="7.85546875" bestFit="1" customWidth="1"/>
    <col min="11526" max="11526" width="9.5703125" bestFit="1" customWidth="1"/>
    <col min="11527" max="11527" width="15.42578125" bestFit="1" customWidth="1"/>
    <col min="11773" max="11773" width="26" bestFit="1" customWidth="1"/>
    <col min="11774" max="11774" width="26.85546875" bestFit="1" customWidth="1"/>
    <col min="11775" max="11775" width="10.5703125" bestFit="1" customWidth="1"/>
    <col min="11776" max="11776" width="8.42578125" bestFit="1" customWidth="1"/>
    <col min="11777" max="11777" width="22.7109375" bestFit="1" customWidth="1"/>
    <col min="11778" max="11778" width="29" bestFit="1" customWidth="1"/>
    <col min="11779" max="11780" width="4.5703125" bestFit="1" customWidth="1"/>
    <col min="11781" max="11781" width="7.85546875" bestFit="1" customWidth="1"/>
    <col min="11782" max="11782" width="9.5703125" bestFit="1" customWidth="1"/>
    <col min="11783" max="11783" width="15.42578125" bestFit="1" customWidth="1"/>
    <col min="12029" max="12029" width="26" bestFit="1" customWidth="1"/>
    <col min="12030" max="12030" width="26.85546875" bestFit="1" customWidth="1"/>
    <col min="12031" max="12031" width="10.5703125" bestFit="1" customWidth="1"/>
    <col min="12032" max="12032" width="8.42578125" bestFit="1" customWidth="1"/>
    <col min="12033" max="12033" width="22.7109375" bestFit="1" customWidth="1"/>
    <col min="12034" max="12034" width="29" bestFit="1" customWidth="1"/>
    <col min="12035" max="12036" width="4.5703125" bestFit="1" customWidth="1"/>
    <col min="12037" max="12037" width="7.85546875" bestFit="1" customWidth="1"/>
    <col min="12038" max="12038" width="9.5703125" bestFit="1" customWidth="1"/>
    <col min="12039" max="12039" width="15.42578125" bestFit="1" customWidth="1"/>
    <col min="12285" max="12285" width="26" bestFit="1" customWidth="1"/>
    <col min="12286" max="12286" width="26.85546875" bestFit="1" customWidth="1"/>
    <col min="12287" max="12287" width="10.5703125" bestFit="1" customWidth="1"/>
    <col min="12288" max="12288" width="8.42578125" bestFit="1" customWidth="1"/>
    <col min="12289" max="12289" width="22.7109375" bestFit="1" customWidth="1"/>
    <col min="12290" max="12290" width="29" bestFit="1" customWidth="1"/>
    <col min="12291" max="12292" width="4.5703125" bestFit="1" customWidth="1"/>
    <col min="12293" max="12293" width="7.85546875" bestFit="1" customWidth="1"/>
    <col min="12294" max="12294" width="9.5703125" bestFit="1" customWidth="1"/>
    <col min="12295" max="12295" width="15.42578125" bestFit="1" customWidth="1"/>
    <col min="12541" max="12541" width="26" bestFit="1" customWidth="1"/>
    <col min="12542" max="12542" width="26.85546875" bestFit="1" customWidth="1"/>
    <col min="12543" max="12543" width="10.5703125" bestFit="1" customWidth="1"/>
    <col min="12544" max="12544" width="8.42578125" bestFit="1" customWidth="1"/>
    <col min="12545" max="12545" width="22.7109375" bestFit="1" customWidth="1"/>
    <col min="12546" max="12546" width="29" bestFit="1" customWidth="1"/>
    <col min="12547" max="12548" width="4.5703125" bestFit="1" customWidth="1"/>
    <col min="12549" max="12549" width="7.85546875" bestFit="1" customWidth="1"/>
    <col min="12550" max="12550" width="9.5703125" bestFit="1" customWidth="1"/>
    <col min="12551" max="12551" width="15.42578125" bestFit="1" customWidth="1"/>
    <col min="12797" max="12797" width="26" bestFit="1" customWidth="1"/>
    <col min="12798" max="12798" width="26.85546875" bestFit="1" customWidth="1"/>
    <col min="12799" max="12799" width="10.5703125" bestFit="1" customWidth="1"/>
    <col min="12800" max="12800" width="8.42578125" bestFit="1" customWidth="1"/>
    <col min="12801" max="12801" width="22.7109375" bestFit="1" customWidth="1"/>
    <col min="12802" max="12802" width="29" bestFit="1" customWidth="1"/>
    <col min="12803" max="12804" width="4.5703125" bestFit="1" customWidth="1"/>
    <col min="12805" max="12805" width="7.85546875" bestFit="1" customWidth="1"/>
    <col min="12806" max="12806" width="9.5703125" bestFit="1" customWidth="1"/>
    <col min="12807" max="12807" width="15.42578125" bestFit="1" customWidth="1"/>
    <col min="13053" max="13053" width="26" bestFit="1" customWidth="1"/>
    <col min="13054" max="13054" width="26.85546875" bestFit="1" customWidth="1"/>
    <col min="13055" max="13055" width="10.5703125" bestFit="1" customWidth="1"/>
    <col min="13056" max="13056" width="8.42578125" bestFit="1" customWidth="1"/>
    <col min="13057" max="13057" width="22.7109375" bestFit="1" customWidth="1"/>
    <col min="13058" max="13058" width="29" bestFit="1" customWidth="1"/>
    <col min="13059" max="13060" width="4.5703125" bestFit="1" customWidth="1"/>
    <col min="13061" max="13061" width="7.85546875" bestFit="1" customWidth="1"/>
    <col min="13062" max="13062" width="9.5703125" bestFit="1" customWidth="1"/>
    <col min="13063" max="13063" width="15.42578125" bestFit="1" customWidth="1"/>
    <col min="13309" max="13309" width="26" bestFit="1" customWidth="1"/>
    <col min="13310" max="13310" width="26.85546875" bestFit="1" customWidth="1"/>
    <col min="13311" max="13311" width="10.5703125" bestFit="1" customWidth="1"/>
    <col min="13312" max="13312" width="8.42578125" bestFit="1" customWidth="1"/>
    <col min="13313" max="13313" width="22.7109375" bestFit="1" customWidth="1"/>
    <col min="13314" max="13314" width="29" bestFit="1" customWidth="1"/>
    <col min="13315" max="13316" width="4.5703125" bestFit="1" customWidth="1"/>
    <col min="13317" max="13317" width="7.85546875" bestFit="1" customWidth="1"/>
    <col min="13318" max="13318" width="9.5703125" bestFit="1" customWidth="1"/>
    <col min="13319" max="13319" width="15.42578125" bestFit="1" customWidth="1"/>
    <col min="13565" max="13565" width="26" bestFit="1" customWidth="1"/>
    <col min="13566" max="13566" width="26.85546875" bestFit="1" customWidth="1"/>
    <col min="13567" max="13567" width="10.5703125" bestFit="1" customWidth="1"/>
    <col min="13568" max="13568" width="8.42578125" bestFit="1" customWidth="1"/>
    <col min="13569" max="13569" width="22.7109375" bestFit="1" customWidth="1"/>
    <col min="13570" max="13570" width="29" bestFit="1" customWidth="1"/>
    <col min="13571" max="13572" width="4.5703125" bestFit="1" customWidth="1"/>
    <col min="13573" max="13573" width="7.85546875" bestFit="1" customWidth="1"/>
    <col min="13574" max="13574" width="9.5703125" bestFit="1" customWidth="1"/>
    <col min="13575" max="13575" width="15.42578125" bestFit="1" customWidth="1"/>
    <col min="13821" max="13821" width="26" bestFit="1" customWidth="1"/>
    <col min="13822" max="13822" width="26.85546875" bestFit="1" customWidth="1"/>
    <col min="13823" max="13823" width="10.5703125" bestFit="1" customWidth="1"/>
    <col min="13824" max="13824" width="8.42578125" bestFit="1" customWidth="1"/>
    <col min="13825" max="13825" width="22.7109375" bestFit="1" customWidth="1"/>
    <col min="13826" max="13826" width="29" bestFit="1" customWidth="1"/>
    <col min="13827" max="13828" width="4.5703125" bestFit="1" customWidth="1"/>
    <col min="13829" max="13829" width="7.85546875" bestFit="1" customWidth="1"/>
    <col min="13830" max="13830" width="9.5703125" bestFit="1" customWidth="1"/>
    <col min="13831" max="13831" width="15.42578125" bestFit="1" customWidth="1"/>
    <col min="14077" max="14077" width="26" bestFit="1" customWidth="1"/>
    <col min="14078" max="14078" width="26.85546875" bestFit="1" customWidth="1"/>
    <col min="14079" max="14079" width="10.5703125" bestFit="1" customWidth="1"/>
    <col min="14080" max="14080" width="8.42578125" bestFit="1" customWidth="1"/>
    <col min="14081" max="14081" width="22.7109375" bestFit="1" customWidth="1"/>
    <col min="14082" max="14082" width="29" bestFit="1" customWidth="1"/>
    <col min="14083" max="14084" width="4.5703125" bestFit="1" customWidth="1"/>
    <col min="14085" max="14085" width="7.85546875" bestFit="1" customWidth="1"/>
    <col min="14086" max="14086" width="9.5703125" bestFit="1" customWidth="1"/>
    <col min="14087" max="14087" width="15.42578125" bestFit="1" customWidth="1"/>
    <col min="14333" max="14333" width="26" bestFit="1" customWidth="1"/>
    <col min="14334" max="14334" width="26.85546875" bestFit="1" customWidth="1"/>
    <col min="14335" max="14335" width="10.5703125" bestFit="1" customWidth="1"/>
    <col min="14336" max="14336" width="8.42578125" bestFit="1" customWidth="1"/>
    <col min="14337" max="14337" width="22.7109375" bestFit="1" customWidth="1"/>
    <col min="14338" max="14338" width="29" bestFit="1" customWidth="1"/>
    <col min="14339" max="14340" width="4.5703125" bestFit="1" customWidth="1"/>
    <col min="14341" max="14341" width="7.85546875" bestFit="1" customWidth="1"/>
    <col min="14342" max="14342" width="9.5703125" bestFit="1" customWidth="1"/>
    <col min="14343" max="14343" width="15.42578125" bestFit="1" customWidth="1"/>
    <col min="14589" max="14589" width="26" bestFit="1" customWidth="1"/>
    <col min="14590" max="14590" width="26.85546875" bestFit="1" customWidth="1"/>
    <col min="14591" max="14591" width="10.5703125" bestFit="1" customWidth="1"/>
    <col min="14592" max="14592" width="8.42578125" bestFit="1" customWidth="1"/>
    <col min="14593" max="14593" width="22.7109375" bestFit="1" customWidth="1"/>
    <col min="14594" max="14594" width="29" bestFit="1" customWidth="1"/>
    <col min="14595" max="14596" width="4.5703125" bestFit="1" customWidth="1"/>
    <col min="14597" max="14597" width="7.85546875" bestFit="1" customWidth="1"/>
    <col min="14598" max="14598" width="9.5703125" bestFit="1" customWidth="1"/>
    <col min="14599" max="14599" width="15.42578125" bestFit="1" customWidth="1"/>
    <col min="14845" max="14845" width="26" bestFit="1" customWidth="1"/>
    <col min="14846" max="14846" width="26.85546875" bestFit="1" customWidth="1"/>
    <col min="14847" max="14847" width="10.5703125" bestFit="1" customWidth="1"/>
    <col min="14848" max="14848" width="8.42578125" bestFit="1" customWidth="1"/>
    <col min="14849" max="14849" width="22.7109375" bestFit="1" customWidth="1"/>
    <col min="14850" max="14850" width="29" bestFit="1" customWidth="1"/>
    <col min="14851" max="14852" width="4.5703125" bestFit="1" customWidth="1"/>
    <col min="14853" max="14853" width="7.85546875" bestFit="1" customWidth="1"/>
    <col min="14854" max="14854" width="9.5703125" bestFit="1" customWidth="1"/>
    <col min="14855" max="14855" width="15.42578125" bestFit="1" customWidth="1"/>
    <col min="15101" max="15101" width="26" bestFit="1" customWidth="1"/>
    <col min="15102" max="15102" width="26.85546875" bestFit="1" customWidth="1"/>
    <col min="15103" max="15103" width="10.5703125" bestFit="1" customWidth="1"/>
    <col min="15104" max="15104" width="8.42578125" bestFit="1" customWidth="1"/>
    <col min="15105" max="15105" width="22.7109375" bestFit="1" customWidth="1"/>
    <col min="15106" max="15106" width="29" bestFit="1" customWidth="1"/>
    <col min="15107" max="15108" width="4.5703125" bestFit="1" customWidth="1"/>
    <col min="15109" max="15109" width="7.85546875" bestFit="1" customWidth="1"/>
    <col min="15110" max="15110" width="9.5703125" bestFit="1" customWidth="1"/>
    <col min="15111" max="15111" width="15.42578125" bestFit="1" customWidth="1"/>
    <col min="15357" max="15357" width="26" bestFit="1" customWidth="1"/>
    <col min="15358" max="15358" width="26.85546875" bestFit="1" customWidth="1"/>
    <col min="15359" max="15359" width="10.5703125" bestFit="1" customWidth="1"/>
    <col min="15360" max="15360" width="8.42578125" bestFit="1" customWidth="1"/>
    <col min="15361" max="15361" width="22.7109375" bestFit="1" customWidth="1"/>
    <col min="15362" max="15362" width="29" bestFit="1" customWidth="1"/>
    <col min="15363" max="15364" width="4.5703125" bestFit="1" customWidth="1"/>
    <col min="15365" max="15365" width="7.85546875" bestFit="1" customWidth="1"/>
    <col min="15366" max="15366" width="9.5703125" bestFit="1" customWidth="1"/>
    <col min="15367" max="15367" width="15.42578125" bestFit="1" customWidth="1"/>
    <col min="15613" max="15613" width="26" bestFit="1" customWidth="1"/>
    <col min="15614" max="15614" width="26.85546875" bestFit="1" customWidth="1"/>
    <col min="15615" max="15615" width="10.5703125" bestFit="1" customWidth="1"/>
    <col min="15616" max="15616" width="8.42578125" bestFit="1" customWidth="1"/>
    <col min="15617" max="15617" width="22.7109375" bestFit="1" customWidth="1"/>
    <col min="15618" max="15618" width="29" bestFit="1" customWidth="1"/>
    <col min="15619" max="15620" width="4.5703125" bestFit="1" customWidth="1"/>
    <col min="15621" max="15621" width="7.85546875" bestFit="1" customWidth="1"/>
    <col min="15622" max="15622" width="9.5703125" bestFit="1" customWidth="1"/>
    <col min="15623" max="15623" width="15.42578125" bestFit="1" customWidth="1"/>
    <col min="15869" max="15869" width="26" bestFit="1" customWidth="1"/>
    <col min="15870" max="15870" width="26.85546875" bestFit="1" customWidth="1"/>
    <col min="15871" max="15871" width="10.5703125" bestFit="1" customWidth="1"/>
    <col min="15872" max="15872" width="8.42578125" bestFit="1" customWidth="1"/>
    <col min="15873" max="15873" width="22.7109375" bestFit="1" customWidth="1"/>
    <col min="15874" max="15874" width="29" bestFit="1" customWidth="1"/>
    <col min="15875" max="15876" width="4.5703125" bestFit="1" customWidth="1"/>
    <col min="15877" max="15877" width="7.85546875" bestFit="1" customWidth="1"/>
    <col min="15878" max="15878" width="9.5703125" bestFit="1" customWidth="1"/>
    <col min="15879" max="15879" width="15.42578125" bestFit="1" customWidth="1"/>
    <col min="16125" max="16125" width="26" bestFit="1" customWidth="1"/>
    <col min="16126" max="16126" width="26.85546875" bestFit="1" customWidth="1"/>
    <col min="16127" max="16127" width="10.5703125" bestFit="1" customWidth="1"/>
    <col min="16128" max="16128" width="8.42578125" bestFit="1" customWidth="1"/>
    <col min="16129" max="16129" width="22.7109375" bestFit="1" customWidth="1"/>
    <col min="16130" max="16130" width="29" bestFit="1" customWidth="1"/>
    <col min="16131" max="16132" width="4.5703125" bestFit="1" customWidth="1"/>
    <col min="16133" max="16133" width="7.85546875" bestFit="1" customWidth="1"/>
    <col min="16134" max="16134" width="9.5703125" bestFit="1" customWidth="1"/>
    <col min="16135" max="16135" width="15.42578125" bestFit="1" customWidth="1"/>
  </cols>
  <sheetData>
    <row r="1" spans="1:12" ht="30" x14ac:dyDescent="0.4">
      <c r="A1" s="348" t="s">
        <v>4054</v>
      </c>
      <c r="B1" s="349"/>
      <c r="C1" s="349"/>
      <c r="D1" s="349"/>
      <c r="E1" s="349"/>
      <c r="F1" s="349"/>
      <c r="G1" s="349"/>
      <c r="H1" s="349"/>
      <c r="I1" s="349"/>
      <c r="J1" s="349"/>
      <c r="K1" s="349"/>
      <c r="L1" s="350"/>
    </row>
    <row r="2" spans="1:12" ht="30" x14ac:dyDescent="0.4">
      <c r="A2" s="351" t="s">
        <v>4064</v>
      </c>
      <c r="B2" s="352"/>
      <c r="C2" s="352"/>
      <c r="D2" s="352"/>
      <c r="E2" s="352"/>
      <c r="F2" s="352"/>
      <c r="G2" s="352"/>
      <c r="H2" s="352"/>
      <c r="I2" s="352"/>
      <c r="J2" s="352"/>
      <c r="K2" s="352"/>
      <c r="L2" s="353"/>
    </row>
    <row r="3" spans="1:12" ht="30.75" thickBot="1" x14ac:dyDescent="0.45">
      <c r="A3" s="354" t="s">
        <v>4056</v>
      </c>
      <c r="B3" s="355"/>
      <c r="C3" s="355"/>
      <c r="D3" s="355"/>
      <c r="E3" s="355"/>
      <c r="F3" s="355"/>
      <c r="G3" s="355"/>
      <c r="H3" s="355"/>
      <c r="I3" s="355"/>
      <c r="J3" s="355"/>
      <c r="K3" s="355"/>
      <c r="L3" s="356"/>
    </row>
    <row r="4" spans="1:12" s="5" customFormat="1" ht="15" customHeight="1" x14ac:dyDescent="0.2">
      <c r="A4" s="300" t="s">
        <v>2842</v>
      </c>
      <c r="B4" s="312" t="s">
        <v>2820</v>
      </c>
      <c r="C4" s="357" t="s">
        <v>2843</v>
      </c>
      <c r="D4" s="357" t="s">
        <v>2844</v>
      </c>
      <c r="E4" s="304" t="s">
        <v>2821</v>
      </c>
      <c r="F4" s="304" t="s">
        <v>2822</v>
      </c>
      <c r="G4" s="305" t="s">
        <v>2841</v>
      </c>
      <c r="H4" s="304" t="s">
        <v>3371</v>
      </c>
      <c r="I4" s="304"/>
      <c r="J4" s="304" t="s">
        <v>2848</v>
      </c>
      <c r="K4" s="304" t="s">
        <v>2825</v>
      </c>
      <c r="L4" s="307" t="s">
        <v>2826</v>
      </c>
    </row>
    <row r="5" spans="1:12" s="5" customFormat="1" ht="15.75" thickBot="1" x14ac:dyDescent="0.25">
      <c r="A5" s="301"/>
      <c r="B5" s="313"/>
      <c r="C5" s="358"/>
      <c r="D5" s="358"/>
      <c r="E5" s="303"/>
      <c r="F5" s="303"/>
      <c r="G5" s="306"/>
      <c r="H5" s="2" t="s">
        <v>2847</v>
      </c>
      <c r="I5" s="2" t="s">
        <v>2846</v>
      </c>
      <c r="J5" s="303"/>
      <c r="K5" s="303"/>
      <c r="L5" s="310"/>
    </row>
    <row r="6" spans="1:12" ht="15" x14ac:dyDescent="0.2">
      <c r="B6" s="299" t="s">
        <v>2850</v>
      </c>
      <c r="C6" s="299"/>
      <c r="D6" s="299"/>
      <c r="E6" s="299"/>
      <c r="F6" s="299"/>
      <c r="G6" s="299"/>
      <c r="H6" s="299"/>
      <c r="I6" s="299"/>
      <c r="J6" s="299"/>
      <c r="K6" s="299"/>
    </row>
    <row r="7" spans="1:12" x14ac:dyDescent="0.2">
      <c r="A7" s="43">
        <v>1</v>
      </c>
      <c r="B7" s="7" t="s">
        <v>2851</v>
      </c>
      <c r="C7" s="7" t="s">
        <v>2852</v>
      </c>
      <c r="D7" s="7" t="s">
        <v>899</v>
      </c>
      <c r="E7" s="7" t="str">
        <f>"1,0385"</f>
        <v>1,0385</v>
      </c>
      <c r="F7" s="7" t="s">
        <v>2853</v>
      </c>
      <c r="G7" s="7" t="s">
        <v>2854</v>
      </c>
      <c r="H7" s="19" t="s">
        <v>594</v>
      </c>
      <c r="I7" s="19" t="s">
        <v>2857</v>
      </c>
      <c r="J7" s="19" t="s">
        <v>2856</v>
      </c>
      <c r="K7" s="19" t="str">
        <f>"1417,5524"</f>
        <v>1417,5524</v>
      </c>
      <c r="L7" s="7" t="s">
        <v>2855</v>
      </c>
    </row>
    <row r="9" spans="1:12" ht="13.5" thickBot="1" x14ac:dyDescent="0.25"/>
    <row r="10" spans="1:12" ht="30" x14ac:dyDescent="0.4">
      <c r="A10" s="348" t="s">
        <v>4054</v>
      </c>
      <c r="B10" s="349"/>
      <c r="C10" s="349"/>
      <c r="D10" s="349"/>
      <c r="E10" s="349"/>
      <c r="F10" s="349"/>
      <c r="G10" s="349"/>
      <c r="H10" s="349"/>
      <c r="I10" s="349"/>
      <c r="J10" s="349"/>
      <c r="K10" s="349"/>
      <c r="L10" s="350"/>
    </row>
    <row r="11" spans="1:12" ht="30" x14ac:dyDescent="0.4">
      <c r="A11" s="351" t="s">
        <v>4065</v>
      </c>
      <c r="B11" s="352"/>
      <c r="C11" s="352"/>
      <c r="D11" s="352"/>
      <c r="E11" s="352"/>
      <c r="F11" s="352"/>
      <c r="G11" s="352"/>
      <c r="H11" s="352"/>
      <c r="I11" s="352"/>
      <c r="J11" s="352"/>
      <c r="K11" s="352"/>
      <c r="L11" s="353"/>
    </row>
    <row r="12" spans="1:12" ht="30.75" thickBot="1" x14ac:dyDescent="0.45">
      <c r="A12" s="354" t="s">
        <v>4056</v>
      </c>
      <c r="B12" s="355"/>
      <c r="C12" s="355"/>
      <c r="D12" s="355"/>
      <c r="E12" s="355"/>
      <c r="F12" s="355"/>
      <c r="G12" s="355"/>
      <c r="H12" s="355"/>
      <c r="I12" s="355"/>
      <c r="J12" s="355"/>
      <c r="K12" s="355"/>
      <c r="L12" s="356"/>
    </row>
    <row r="13" spans="1:12" ht="15" x14ac:dyDescent="0.2">
      <c r="A13" s="300" t="s">
        <v>2842</v>
      </c>
      <c r="B13" s="312" t="s">
        <v>2820</v>
      </c>
      <c r="C13" s="357" t="s">
        <v>2843</v>
      </c>
      <c r="D13" s="357" t="s">
        <v>2844</v>
      </c>
      <c r="E13" s="304" t="s">
        <v>2821</v>
      </c>
      <c r="F13" s="304" t="s">
        <v>2822</v>
      </c>
      <c r="G13" s="305" t="s">
        <v>2841</v>
      </c>
      <c r="H13" s="304" t="s">
        <v>2823</v>
      </c>
      <c r="I13" s="304"/>
      <c r="J13" s="304" t="s">
        <v>2940</v>
      </c>
      <c r="K13" s="304" t="s">
        <v>2825</v>
      </c>
      <c r="L13" s="307" t="s">
        <v>2826</v>
      </c>
    </row>
    <row r="14" spans="1:12" ht="12.75" customHeight="1" thickBot="1" x14ac:dyDescent="0.25">
      <c r="A14" s="301"/>
      <c r="B14" s="313"/>
      <c r="C14" s="358"/>
      <c r="D14" s="358"/>
      <c r="E14" s="303"/>
      <c r="F14" s="303"/>
      <c r="G14" s="306"/>
      <c r="H14" s="2" t="s">
        <v>2847</v>
      </c>
      <c r="I14" s="134" t="s">
        <v>2846</v>
      </c>
      <c r="J14" s="303"/>
      <c r="K14" s="303"/>
      <c r="L14" s="310"/>
    </row>
    <row r="15" spans="1:12" ht="15" customHeight="1" x14ac:dyDescent="0.2">
      <c r="B15" s="299" t="s">
        <v>2828</v>
      </c>
      <c r="C15" s="299"/>
      <c r="D15" s="299"/>
      <c r="E15" s="299"/>
      <c r="F15" s="299"/>
      <c r="G15" s="299"/>
      <c r="H15" s="299"/>
      <c r="I15" s="299"/>
      <c r="J15" s="299"/>
      <c r="K15" s="299"/>
    </row>
    <row r="16" spans="1:12" x14ac:dyDescent="0.2">
      <c r="A16" s="43">
        <v>1</v>
      </c>
      <c r="B16" s="7" t="s">
        <v>2829</v>
      </c>
      <c r="C16" s="7" t="s">
        <v>2830</v>
      </c>
      <c r="D16" s="7" t="s">
        <v>535</v>
      </c>
      <c r="E16" s="7" t="str">
        <f>"1,1371"</f>
        <v>1,1371</v>
      </c>
      <c r="F16" s="7" t="s">
        <v>2831</v>
      </c>
      <c r="G16" s="7" t="s">
        <v>2832</v>
      </c>
      <c r="H16" s="19" t="s">
        <v>1589</v>
      </c>
      <c r="I16" s="135" t="s">
        <v>2845</v>
      </c>
      <c r="J16" s="19" t="s">
        <v>2858</v>
      </c>
      <c r="K16" s="19" t="str">
        <f>"35,2501"</f>
        <v>35,2501</v>
      </c>
      <c r="L16" s="7" t="s">
        <v>2833</v>
      </c>
    </row>
    <row r="17" spans="1:12" x14ac:dyDescent="0.2">
      <c r="H17" s="27"/>
      <c r="I17" s="27"/>
      <c r="J17" s="27"/>
      <c r="K17" s="27"/>
    </row>
    <row r="18" spans="1:12" ht="13.5" thickBot="1" x14ac:dyDescent="0.25">
      <c r="H18" s="27"/>
      <c r="I18" s="27"/>
      <c r="J18" s="27"/>
      <c r="K18" s="27"/>
    </row>
    <row r="19" spans="1:12" ht="30" x14ac:dyDescent="0.4">
      <c r="A19" s="348" t="s">
        <v>4054</v>
      </c>
      <c r="B19" s="349"/>
      <c r="C19" s="349"/>
      <c r="D19" s="349"/>
      <c r="E19" s="349"/>
      <c r="F19" s="349"/>
      <c r="G19" s="349"/>
      <c r="H19" s="349"/>
      <c r="I19" s="349"/>
      <c r="J19" s="349"/>
      <c r="K19" s="349"/>
      <c r="L19" s="350"/>
    </row>
    <row r="20" spans="1:12" ht="30" x14ac:dyDescent="0.4">
      <c r="A20" s="351" t="s">
        <v>4066</v>
      </c>
      <c r="B20" s="352"/>
      <c r="C20" s="352"/>
      <c r="D20" s="352"/>
      <c r="E20" s="352"/>
      <c r="F20" s="352"/>
      <c r="G20" s="352"/>
      <c r="H20" s="352"/>
      <c r="I20" s="352"/>
      <c r="J20" s="352"/>
      <c r="K20" s="352"/>
      <c r="L20" s="353"/>
    </row>
    <row r="21" spans="1:12" ht="30.75" thickBot="1" x14ac:dyDescent="0.45">
      <c r="A21" s="354" t="s">
        <v>4056</v>
      </c>
      <c r="B21" s="355"/>
      <c r="C21" s="355"/>
      <c r="D21" s="355"/>
      <c r="E21" s="355"/>
      <c r="F21" s="355"/>
      <c r="G21" s="355"/>
      <c r="H21" s="355"/>
      <c r="I21" s="355"/>
      <c r="J21" s="355"/>
      <c r="K21" s="355"/>
      <c r="L21" s="356"/>
    </row>
    <row r="22" spans="1:12" ht="15" x14ac:dyDescent="0.2">
      <c r="A22" s="300" t="s">
        <v>2842</v>
      </c>
      <c r="B22" s="312" t="s">
        <v>2820</v>
      </c>
      <c r="C22" s="357" t="s">
        <v>2843</v>
      </c>
      <c r="D22" s="357" t="s">
        <v>2844</v>
      </c>
      <c r="E22" s="304" t="s">
        <v>2821</v>
      </c>
      <c r="F22" s="304" t="s">
        <v>2822</v>
      </c>
      <c r="G22" s="305" t="s">
        <v>2841</v>
      </c>
      <c r="H22" s="304" t="s">
        <v>3371</v>
      </c>
      <c r="I22" s="304"/>
      <c r="J22" s="304" t="s">
        <v>2940</v>
      </c>
      <c r="K22" s="304" t="s">
        <v>2825</v>
      </c>
      <c r="L22" s="307" t="s">
        <v>2826</v>
      </c>
    </row>
    <row r="23" spans="1:12" ht="15" thickBot="1" x14ac:dyDescent="0.25">
      <c r="A23" s="301"/>
      <c r="B23" s="313"/>
      <c r="C23" s="358"/>
      <c r="D23" s="358"/>
      <c r="E23" s="303"/>
      <c r="F23" s="303"/>
      <c r="G23" s="306"/>
      <c r="H23" s="2" t="s">
        <v>2847</v>
      </c>
      <c r="I23" s="2" t="s">
        <v>2846</v>
      </c>
      <c r="J23" s="303"/>
      <c r="K23" s="303"/>
      <c r="L23" s="310"/>
    </row>
    <row r="24" spans="1:12" ht="15" x14ac:dyDescent="0.2">
      <c r="A24" s="43"/>
      <c r="B24" s="299" t="s">
        <v>2850</v>
      </c>
      <c r="C24" s="299"/>
      <c r="D24" s="299"/>
      <c r="E24" s="299"/>
      <c r="F24" s="299"/>
      <c r="G24" s="299"/>
      <c r="H24" s="299"/>
      <c r="I24" s="299"/>
      <c r="J24" s="299"/>
      <c r="K24" s="299"/>
    </row>
    <row r="25" spans="1:12" x14ac:dyDescent="0.2">
      <c r="A25" s="43">
        <v>1</v>
      </c>
      <c r="B25" s="7" t="s">
        <v>2859</v>
      </c>
      <c r="C25" s="7" t="s">
        <v>2860</v>
      </c>
      <c r="D25" s="7" t="s">
        <v>2861</v>
      </c>
      <c r="E25" s="7" t="str">
        <f>"1,0153"</f>
        <v>1,0153</v>
      </c>
      <c r="F25" s="7" t="s">
        <v>2853</v>
      </c>
      <c r="G25" s="7" t="s">
        <v>2862</v>
      </c>
      <c r="H25" s="19" t="s">
        <v>51</v>
      </c>
      <c r="I25" s="19" t="s">
        <v>2885</v>
      </c>
      <c r="J25" s="28">
        <v>1470</v>
      </c>
      <c r="K25" s="19" t="str">
        <f>"1492,4911"</f>
        <v>1492,4911</v>
      </c>
      <c r="L25" s="7" t="s">
        <v>2855</v>
      </c>
    </row>
    <row r="26" spans="1:12" x14ac:dyDescent="0.2">
      <c r="A26" s="43"/>
      <c r="H26" s="27"/>
      <c r="I26" s="27"/>
      <c r="J26" s="32"/>
      <c r="K26" s="27"/>
    </row>
    <row r="27" spans="1:12" ht="15" x14ac:dyDescent="0.2">
      <c r="A27" s="43"/>
      <c r="B27" s="294" t="s">
        <v>2863</v>
      </c>
      <c r="C27" s="294"/>
      <c r="D27" s="294"/>
      <c r="E27" s="294"/>
      <c r="F27" s="294"/>
      <c r="G27" s="294"/>
      <c r="H27" s="294"/>
      <c r="I27" s="294"/>
      <c r="J27" s="294"/>
      <c r="K27" s="294"/>
    </row>
    <row r="28" spans="1:12" x14ac:dyDescent="0.2">
      <c r="A28" s="43">
        <v>1</v>
      </c>
      <c r="B28" s="15" t="s">
        <v>2864</v>
      </c>
      <c r="C28" s="15" t="s">
        <v>2865</v>
      </c>
      <c r="D28" s="15" t="s">
        <v>442</v>
      </c>
      <c r="E28" s="15" t="str">
        <f>"0,6451"</f>
        <v>0,6451</v>
      </c>
      <c r="F28" s="15" t="s">
        <v>2831</v>
      </c>
      <c r="G28" s="15" t="s">
        <v>2832</v>
      </c>
      <c r="H28" s="21" t="s">
        <v>46</v>
      </c>
      <c r="I28" s="21" t="s">
        <v>2886</v>
      </c>
      <c r="J28" s="29">
        <v>990</v>
      </c>
      <c r="K28" s="21" t="str">
        <f>"638,6490"</f>
        <v>638,6490</v>
      </c>
      <c r="L28" s="15" t="s">
        <v>3160</v>
      </c>
    </row>
    <row r="29" spans="1:12" x14ac:dyDescent="0.2">
      <c r="A29" s="43">
        <v>1</v>
      </c>
      <c r="B29" s="17" t="s">
        <v>2866</v>
      </c>
      <c r="C29" s="17" t="s">
        <v>2867</v>
      </c>
      <c r="D29" s="17" t="s">
        <v>2868</v>
      </c>
      <c r="E29" s="17" t="str">
        <f>"0,6633"</f>
        <v>0,6633</v>
      </c>
      <c r="F29" s="17" t="s">
        <v>2831</v>
      </c>
      <c r="G29" s="17" t="s">
        <v>2832</v>
      </c>
      <c r="H29" s="25" t="s">
        <v>46</v>
      </c>
      <c r="I29" s="25" t="s">
        <v>2887</v>
      </c>
      <c r="J29" s="31">
        <v>2070</v>
      </c>
      <c r="K29" s="25" t="str">
        <f>"1373,0310"</f>
        <v>1373,0310</v>
      </c>
      <c r="L29" s="17" t="s">
        <v>2855</v>
      </c>
    </row>
    <row r="30" spans="1:12" x14ac:dyDescent="0.2">
      <c r="A30" s="43"/>
      <c r="H30" s="27"/>
      <c r="I30" s="27"/>
      <c r="J30" s="32"/>
      <c r="K30" s="27"/>
    </row>
    <row r="31" spans="1:12" ht="15" x14ac:dyDescent="0.2">
      <c r="A31" s="43"/>
      <c r="B31" s="294" t="s">
        <v>2869</v>
      </c>
      <c r="C31" s="294"/>
      <c r="D31" s="294"/>
      <c r="E31" s="294"/>
      <c r="F31" s="294"/>
      <c r="G31" s="294"/>
      <c r="H31" s="294"/>
      <c r="I31" s="294"/>
      <c r="J31" s="294"/>
      <c r="K31" s="294"/>
    </row>
    <row r="32" spans="1:12" x14ac:dyDescent="0.2">
      <c r="A32" s="43">
        <v>1</v>
      </c>
      <c r="B32" s="15" t="s">
        <v>2870</v>
      </c>
      <c r="C32" s="15" t="s">
        <v>2871</v>
      </c>
      <c r="D32" s="15" t="s">
        <v>2872</v>
      </c>
      <c r="E32" s="15" t="str">
        <f>"0,6188"</f>
        <v>0,6188</v>
      </c>
      <c r="F32" s="15" t="s">
        <v>2853</v>
      </c>
      <c r="G32" s="15" t="s">
        <v>2873</v>
      </c>
      <c r="H32" s="21" t="s">
        <v>76</v>
      </c>
      <c r="I32" s="21" t="s">
        <v>2888</v>
      </c>
      <c r="J32" s="29">
        <v>2500</v>
      </c>
      <c r="K32" s="21" t="str">
        <f>"1547,0000"</f>
        <v>1547,0000</v>
      </c>
      <c r="L32" s="15" t="s">
        <v>2914</v>
      </c>
    </row>
    <row r="33" spans="1:12" x14ac:dyDescent="0.2">
      <c r="A33" s="43">
        <v>2</v>
      </c>
      <c r="B33" s="17" t="s">
        <v>2875</v>
      </c>
      <c r="C33" s="17" t="s">
        <v>2876</v>
      </c>
      <c r="D33" s="17" t="s">
        <v>485</v>
      </c>
      <c r="E33" s="17" t="str">
        <f>"0,6121"</f>
        <v>0,6121</v>
      </c>
      <c r="F33" s="17" t="s">
        <v>2831</v>
      </c>
      <c r="G33" s="17" t="s">
        <v>2877</v>
      </c>
      <c r="H33" s="25" t="s">
        <v>76</v>
      </c>
      <c r="I33" s="25" t="s">
        <v>2889</v>
      </c>
      <c r="J33" s="31">
        <v>1800</v>
      </c>
      <c r="K33" s="25" t="str">
        <f>"1101,7800"</f>
        <v>1101,7800</v>
      </c>
      <c r="L33" s="17" t="s">
        <v>2855</v>
      </c>
    </row>
    <row r="34" spans="1:12" x14ac:dyDescent="0.2">
      <c r="A34" s="43"/>
      <c r="H34" s="27"/>
      <c r="I34" s="27"/>
      <c r="J34" s="32"/>
      <c r="K34" s="27"/>
    </row>
    <row r="35" spans="1:12" ht="15" x14ac:dyDescent="0.2">
      <c r="A35" s="43"/>
      <c r="B35" s="294" t="s">
        <v>2878</v>
      </c>
      <c r="C35" s="294"/>
      <c r="D35" s="294"/>
      <c r="E35" s="294"/>
      <c r="F35" s="294"/>
      <c r="G35" s="294"/>
      <c r="H35" s="294"/>
      <c r="I35" s="294"/>
      <c r="J35" s="294"/>
      <c r="K35" s="294"/>
    </row>
    <row r="36" spans="1:12" x14ac:dyDescent="0.2">
      <c r="A36" s="43">
        <v>1</v>
      </c>
      <c r="B36" s="15" t="s">
        <v>2879</v>
      </c>
      <c r="C36" s="15" t="s">
        <v>2880</v>
      </c>
      <c r="D36" s="15" t="s">
        <v>2881</v>
      </c>
      <c r="E36" s="15" t="str">
        <f>"0,5805"</f>
        <v>0,5805</v>
      </c>
      <c r="F36" s="15" t="s">
        <v>2831</v>
      </c>
      <c r="G36" s="15" t="s">
        <v>2877</v>
      </c>
      <c r="H36" s="21" t="s">
        <v>71</v>
      </c>
      <c r="I36" s="21" t="s">
        <v>2890</v>
      </c>
      <c r="J36" s="29">
        <v>3960</v>
      </c>
      <c r="K36" s="21" t="str">
        <f>"2298,7800"</f>
        <v>2298,7800</v>
      </c>
      <c r="L36" s="15" t="s">
        <v>2855</v>
      </c>
    </row>
    <row r="37" spans="1:12" x14ac:dyDescent="0.2">
      <c r="A37" s="43">
        <v>1</v>
      </c>
      <c r="B37" s="17" t="s">
        <v>2879</v>
      </c>
      <c r="C37" s="17" t="s">
        <v>2882</v>
      </c>
      <c r="D37" s="17" t="s">
        <v>2881</v>
      </c>
      <c r="E37" s="17" t="str">
        <f>"0,5805"</f>
        <v>0,5805</v>
      </c>
      <c r="F37" s="17" t="s">
        <v>2831</v>
      </c>
      <c r="G37" s="17" t="s">
        <v>2877</v>
      </c>
      <c r="H37" s="25" t="s">
        <v>71</v>
      </c>
      <c r="I37" s="25" t="s">
        <v>2890</v>
      </c>
      <c r="J37" s="31">
        <v>3960</v>
      </c>
      <c r="K37" s="25" t="str">
        <f>"2298,7800"</f>
        <v>2298,7800</v>
      </c>
      <c r="L37" s="17" t="s">
        <v>2855</v>
      </c>
    </row>
    <row r="38" spans="1:12" x14ac:dyDescent="0.2">
      <c r="A38" s="43"/>
      <c r="H38" s="27"/>
      <c r="I38" s="27"/>
      <c r="J38" s="32"/>
      <c r="K38" s="27"/>
    </row>
    <row r="39" spans="1:12" x14ac:dyDescent="0.2">
      <c r="A39" s="43"/>
      <c r="H39" s="27"/>
      <c r="I39" s="27"/>
      <c r="J39" s="32"/>
      <c r="K39" s="27"/>
    </row>
    <row r="40" spans="1:12" x14ac:dyDescent="0.2">
      <c r="A40" s="43"/>
      <c r="H40" s="27"/>
      <c r="I40" s="27"/>
      <c r="J40" s="32"/>
      <c r="K40" s="27"/>
    </row>
    <row r="41" spans="1:12" x14ac:dyDescent="0.2">
      <c r="A41" s="43"/>
      <c r="H41" s="27"/>
      <c r="I41" s="27"/>
      <c r="J41" s="32"/>
      <c r="K41" s="27"/>
    </row>
    <row r="42" spans="1:12" x14ac:dyDescent="0.2">
      <c r="A42" s="43"/>
      <c r="H42" s="27"/>
      <c r="I42" s="27"/>
      <c r="J42" s="32"/>
      <c r="K42" s="27"/>
    </row>
    <row r="43" spans="1:12" x14ac:dyDescent="0.2">
      <c r="A43" s="43"/>
      <c r="H43" s="27"/>
      <c r="I43" s="27"/>
      <c r="J43" s="32"/>
      <c r="K43" s="27"/>
    </row>
    <row r="44" spans="1:12" x14ac:dyDescent="0.2">
      <c r="A44" s="43"/>
      <c r="H44" s="27"/>
      <c r="I44" s="27"/>
      <c r="J44" s="32"/>
      <c r="K44" s="27"/>
    </row>
    <row r="45" spans="1:12" x14ac:dyDescent="0.2">
      <c r="A45" s="43"/>
      <c r="H45" s="27"/>
      <c r="I45" s="27"/>
      <c r="J45" s="32"/>
      <c r="K45" s="27"/>
    </row>
  </sheetData>
  <mergeCells count="48">
    <mergeCell ref="A1:L1"/>
    <mergeCell ref="A2:L2"/>
    <mergeCell ref="A3:L3"/>
    <mergeCell ref="L4:L5"/>
    <mergeCell ref="B6:K6"/>
    <mergeCell ref="A4:A5"/>
    <mergeCell ref="B4:B5"/>
    <mergeCell ref="C4:C5"/>
    <mergeCell ref="D4:D5"/>
    <mergeCell ref="E4:E5"/>
    <mergeCell ref="F4:F5"/>
    <mergeCell ref="G4:G5"/>
    <mergeCell ref="H4:I4"/>
    <mergeCell ref="J4:J5"/>
    <mergeCell ref="K4:K5"/>
    <mergeCell ref="L22:L23"/>
    <mergeCell ref="H13:I13"/>
    <mergeCell ref="J13:J14"/>
    <mergeCell ref="B15:K15"/>
    <mergeCell ref="F13:F14"/>
    <mergeCell ref="G13:G14"/>
    <mergeCell ref="K13:K14"/>
    <mergeCell ref="L13:L14"/>
    <mergeCell ref="A19:L19"/>
    <mergeCell ref="A20:L20"/>
    <mergeCell ref="A21:L21"/>
    <mergeCell ref="A10:L10"/>
    <mergeCell ref="A11:L11"/>
    <mergeCell ref="A12:L12"/>
    <mergeCell ref="A13:A14"/>
    <mergeCell ref="B13:B14"/>
    <mergeCell ref="C13:C14"/>
    <mergeCell ref="D13:D14"/>
    <mergeCell ref="E13:E14"/>
    <mergeCell ref="B24:K24"/>
    <mergeCell ref="B27:K27"/>
    <mergeCell ref="B31:K31"/>
    <mergeCell ref="B35:K35"/>
    <mergeCell ref="A22:A23"/>
    <mergeCell ref="B22:B23"/>
    <mergeCell ref="C22:C23"/>
    <mergeCell ref="D22:D23"/>
    <mergeCell ref="E22:E23"/>
    <mergeCell ref="F22:F23"/>
    <mergeCell ref="G22:G23"/>
    <mergeCell ref="H22:I22"/>
    <mergeCell ref="J22:J23"/>
    <mergeCell ref="K22:K23"/>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topLeftCell="D80" workbookViewId="0">
      <selection sqref="A1:V1"/>
    </sheetView>
  </sheetViews>
  <sheetFormatPr defaultColWidth="8.7109375" defaultRowHeight="12.75" x14ac:dyDescent="0.2"/>
  <cols>
    <col min="1" max="1" width="6.85546875" style="43" bestFit="1" customWidth="1"/>
    <col min="2" max="2" width="35.7109375" style="6" bestFit="1" customWidth="1"/>
    <col min="3" max="3" width="33.42578125" style="6" bestFit="1" customWidth="1"/>
    <col min="4" max="4" width="8.5703125" style="6" bestFit="1" customWidth="1"/>
    <col min="5" max="5" width="6.7109375" style="6" bestFit="1" customWidth="1"/>
    <col min="6" max="6" width="22.140625" style="6" customWidth="1"/>
    <col min="7" max="7" width="44.140625" style="6" bestFit="1" customWidth="1"/>
    <col min="8" max="19" width="5.5703125" style="27" bestFit="1" customWidth="1"/>
    <col min="20" max="20" width="6.42578125" style="32" bestFit="1" customWidth="1"/>
    <col min="21" max="21" width="9.85546875" style="27" bestFit="1" customWidth="1"/>
    <col min="22" max="22" width="24.42578125" style="6" bestFit="1" customWidth="1"/>
    <col min="258" max="258" width="37" bestFit="1" customWidth="1"/>
    <col min="259" max="259" width="30.85546875" bestFit="1" customWidth="1"/>
    <col min="260" max="260" width="7.7109375" bestFit="1" customWidth="1"/>
    <col min="261" max="261" width="6.7109375" bestFit="1" customWidth="1"/>
    <col min="262" max="262" width="17.28515625" bestFit="1" customWidth="1"/>
    <col min="263" max="263" width="35.28515625" bestFit="1" customWidth="1"/>
    <col min="264" max="275" width="5.5703125" bestFit="1" customWidth="1"/>
    <col min="276" max="276" width="6.7109375" bestFit="1" customWidth="1"/>
    <col min="277" max="277" width="8.5703125" bestFit="1" customWidth="1"/>
    <col min="278" max="278" width="30.85546875" bestFit="1" customWidth="1"/>
    <col min="514" max="514" width="37" bestFit="1" customWidth="1"/>
    <col min="515" max="515" width="30.85546875" bestFit="1" customWidth="1"/>
    <col min="516" max="516" width="7.7109375" bestFit="1" customWidth="1"/>
    <col min="517" max="517" width="6.7109375" bestFit="1" customWidth="1"/>
    <col min="518" max="518" width="17.28515625" bestFit="1" customWidth="1"/>
    <col min="519" max="519" width="35.28515625" bestFit="1" customWidth="1"/>
    <col min="520" max="531" width="5.5703125" bestFit="1" customWidth="1"/>
    <col min="532" max="532" width="6.7109375" bestFit="1" customWidth="1"/>
    <col min="533" max="533" width="8.5703125" bestFit="1" customWidth="1"/>
    <col min="534" max="534" width="30.85546875" bestFit="1" customWidth="1"/>
    <col min="770" max="770" width="37" bestFit="1" customWidth="1"/>
    <col min="771" max="771" width="30.85546875" bestFit="1" customWidth="1"/>
    <col min="772" max="772" width="7.7109375" bestFit="1" customWidth="1"/>
    <col min="773" max="773" width="6.7109375" bestFit="1" customWidth="1"/>
    <col min="774" max="774" width="17.28515625" bestFit="1" customWidth="1"/>
    <col min="775" max="775" width="35.28515625" bestFit="1" customWidth="1"/>
    <col min="776" max="787" width="5.5703125" bestFit="1" customWidth="1"/>
    <col min="788" max="788" width="6.7109375" bestFit="1" customWidth="1"/>
    <col min="789" max="789" width="8.5703125" bestFit="1" customWidth="1"/>
    <col min="790" max="790" width="30.85546875" bestFit="1" customWidth="1"/>
    <col min="1026" max="1026" width="37" bestFit="1" customWidth="1"/>
    <col min="1027" max="1027" width="30.85546875" bestFit="1" customWidth="1"/>
    <col min="1028" max="1028" width="7.7109375" bestFit="1" customWidth="1"/>
    <col min="1029" max="1029" width="6.7109375" bestFit="1" customWidth="1"/>
    <col min="1030" max="1030" width="17.28515625" bestFit="1" customWidth="1"/>
    <col min="1031" max="1031" width="35.28515625" bestFit="1" customWidth="1"/>
    <col min="1032" max="1043" width="5.5703125" bestFit="1" customWidth="1"/>
    <col min="1044" max="1044" width="6.7109375" bestFit="1" customWidth="1"/>
    <col min="1045" max="1045" width="8.5703125" bestFit="1" customWidth="1"/>
    <col min="1046" max="1046" width="30.85546875" bestFit="1" customWidth="1"/>
    <col min="1282" max="1282" width="37" bestFit="1" customWidth="1"/>
    <col min="1283" max="1283" width="30.85546875" bestFit="1" customWidth="1"/>
    <col min="1284" max="1284" width="7.7109375" bestFit="1" customWidth="1"/>
    <col min="1285" max="1285" width="6.7109375" bestFit="1" customWidth="1"/>
    <col min="1286" max="1286" width="17.28515625" bestFit="1" customWidth="1"/>
    <col min="1287" max="1287" width="35.28515625" bestFit="1" customWidth="1"/>
    <col min="1288" max="1299" width="5.5703125" bestFit="1" customWidth="1"/>
    <col min="1300" max="1300" width="6.7109375" bestFit="1" customWidth="1"/>
    <col min="1301" max="1301" width="8.5703125" bestFit="1" customWidth="1"/>
    <col min="1302" max="1302" width="30.85546875" bestFit="1" customWidth="1"/>
    <col min="1538" max="1538" width="37" bestFit="1" customWidth="1"/>
    <col min="1539" max="1539" width="30.85546875" bestFit="1" customWidth="1"/>
    <col min="1540" max="1540" width="7.7109375" bestFit="1" customWidth="1"/>
    <col min="1541" max="1541" width="6.7109375" bestFit="1" customWidth="1"/>
    <col min="1542" max="1542" width="17.28515625" bestFit="1" customWidth="1"/>
    <col min="1543" max="1543" width="35.28515625" bestFit="1" customWidth="1"/>
    <col min="1544" max="1555" width="5.5703125" bestFit="1" customWidth="1"/>
    <col min="1556" max="1556" width="6.7109375" bestFit="1" customWidth="1"/>
    <col min="1557" max="1557" width="8.5703125" bestFit="1" customWidth="1"/>
    <col min="1558" max="1558" width="30.85546875" bestFit="1" customWidth="1"/>
    <col min="1794" max="1794" width="37" bestFit="1" customWidth="1"/>
    <col min="1795" max="1795" width="30.85546875" bestFit="1" customWidth="1"/>
    <col min="1796" max="1796" width="7.7109375" bestFit="1" customWidth="1"/>
    <col min="1797" max="1797" width="6.7109375" bestFit="1" customWidth="1"/>
    <col min="1798" max="1798" width="17.28515625" bestFit="1" customWidth="1"/>
    <col min="1799" max="1799" width="35.28515625" bestFit="1" customWidth="1"/>
    <col min="1800" max="1811" width="5.5703125" bestFit="1" customWidth="1"/>
    <col min="1812" max="1812" width="6.7109375" bestFit="1" customWidth="1"/>
    <col min="1813" max="1813" width="8.5703125" bestFit="1" customWidth="1"/>
    <col min="1814" max="1814" width="30.85546875" bestFit="1" customWidth="1"/>
    <col min="2050" max="2050" width="37" bestFit="1" customWidth="1"/>
    <col min="2051" max="2051" width="30.85546875" bestFit="1" customWidth="1"/>
    <col min="2052" max="2052" width="7.7109375" bestFit="1" customWidth="1"/>
    <col min="2053" max="2053" width="6.7109375" bestFit="1" customWidth="1"/>
    <col min="2054" max="2054" width="17.28515625" bestFit="1" customWidth="1"/>
    <col min="2055" max="2055" width="35.28515625" bestFit="1" customWidth="1"/>
    <col min="2056" max="2067" width="5.5703125" bestFit="1" customWidth="1"/>
    <col min="2068" max="2068" width="6.7109375" bestFit="1" customWidth="1"/>
    <col min="2069" max="2069" width="8.5703125" bestFit="1" customWidth="1"/>
    <col min="2070" max="2070" width="30.85546875" bestFit="1" customWidth="1"/>
    <col min="2306" max="2306" width="37" bestFit="1" customWidth="1"/>
    <col min="2307" max="2307" width="30.85546875" bestFit="1" customWidth="1"/>
    <col min="2308" max="2308" width="7.7109375" bestFit="1" customWidth="1"/>
    <col min="2309" max="2309" width="6.7109375" bestFit="1" customWidth="1"/>
    <col min="2310" max="2310" width="17.28515625" bestFit="1" customWidth="1"/>
    <col min="2311" max="2311" width="35.28515625" bestFit="1" customWidth="1"/>
    <col min="2312" max="2323" width="5.5703125" bestFit="1" customWidth="1"/>
    <col min="2324" max="2324" width="6.7109375" bestFit="1" customWidth="1"/>
    <col min="2325" max="2325" width="8.5703125" bestFit="1" customWidth="1"/>
    <col min="2326" max="2326" width="30.85546875" bestFit="1" customWidth="1"/>
    <col min="2562" max="2562" width="37" bestFit="1" customWidth="1"/>
    <col min="2563" max="2563" width="30.85546875" bestFit="1" customWidth="1"/>
    <col min="2564" max="2564" width="7.7109375" bestFit="1" customWidth="1"/>
    <col min="2565" max="2565" width="6.7109375" bestFit="1" customWidth="1"/>
    <col min="2566" max="2566" width="17.28515625" bestFit="1" customWidth="1"/>
    <col min="2567" max="2567" width="35.28515625" bestFit="1" customWidth="1"/>
    <col min="2568" max="2579" width="5.5703125" bestFit="1" customWidth="1"/>
    <col min="2580" max="2580" width="6.7109375" bestFit="1" customWidth="1"/>
    <col min="2581" max="2581" width="8.5703125" bestFit="1" customWidth="1"/>
    <col min="2582" max="2582" width="30.85546875" bestFit="1" customWidth="1"/>
    <col min="2818" max="2818" width="37" bestFit="1" customWidth="1"/>
    <col min="2819" max="2819" width="30.85546875" bestFit="1" customWidth="1"/>
    <col min="2820" max="2820" width="7.7109375" bestFit="1" customWidth="1"/>
    <col min="2821" max="2821" width="6.7109375" bestFit="1" customWidth="1"/>
    <col min="2822" max="2822" width="17.28515625" bestFit="1" customWidth="1"/>
    <col min="2823" max="2823" width="35.28515625" bestFit="1" customWidth="1"/>
    <col min="2824" max="2835" width="5.5703125" bestFit="1" customWidth="1"/>
    <col min="2836" max="2836" width="6.7109375" bestFit="1" customWidth="1"/>
    <col min="2837" max="2837" width="8.5703125" bestFit="1" customWidth="1"/>
    <col min="2838" max="2838" width="30.85546875" bestFit="1" customWidth="1"/>
    <col min="3074" max="3074" width="37" bestFit="1" customWidth="1"/>
    <col min="3075" max="3075" width="30.85546875" bestFit="1" customWidth="1"/>
    <col min="3076" max="3076" width="7.7109375" bestFit="1" customWidth="1"/>
    <col min="3077" max="3077" width="6.7109375" bestFit="1" customWidth="1"/>
    <col min="3078" max="3078" width="17.28515625" bestFit="1" customWidth="1"/>
    <col min="3079" max="3079" width="35.28515625" bestFit="1" customWidth="1"/>
    <col min="3080" max="3091" width="5.5703125" bestFit="1" customWidth="1"/>
    <col min="3092" max="3092" width="6.7109375" bestFit="1" customWidth="1"/>
    <col min="3093" max="3093" width="8.5703125" bestFit="1" customWidth="1"/>
    <col min="3094" max="3094" width="30.85546875" bestFit="1" customWidth="1"/>
    <col min="3330" max="3330" width="37" bestFit="1" customWidth="1"/>
    <col min="3331" max="3331" width="30.85546875" bestFit="1" customWidth="1"/>
    <col min="3332" max="3332" width="7.7109375" bestFit="1" customWidth="1"/>
    <col min="3333" max="3333" width="6.7109375" bestFit="1" customWidth="1"/>
    <col min="3334" max="3334" width="17.28515625" bestFit="1" customWidth="1"/>
    <col min="3335" max="3335" width="35.28515625" bestFit="1" customWidth="1"/>
    <col min="3336" max="3347" width="5.5703125" bestFit="1" customWidth="1"/>
    <col min="3348" max="3348" width="6.7109375" bestFit="1" customWidth="1"/>
    <col min="3349" max="3349" width="8.5703125" bestFit="1" customWidth="1"/>
    <col min="3350" max="3350" width="30.85546875" bestFit="1" customWidth="1"/>
    <col min="3586" max="3586" width="37" bestFit="1" customWidth="1"/>
    <col min="3587" max="3587" width="30.85546875" bestFit="1" customWidth="1"/>
    <col min="3588" max="3588" width="7.7109375" bestFit="1" customWidth="1"/>
    <col min="3589" max="3589" width="6.7109375" bestFit="1" customWidth="1"/>
    <col min="3590" max="3590" width="17.28515625" bestFit="1" customWidth="1"/>
    <col min="3591" max="3591" width="35.28515625" bestFit="1" customWidth="1"/>
    <col min="3592" max="3603" width="5.5703125" bestFit="1" customWidth="1"/>
    <col min="3604" max="3604" width="6.7109375" bestFit="1" customWidth="1"/>
    <col min="3605" max="3605" width="8.5703125" bestFit="1" customWidth="1"/>
    <col min="3606" max="3606" width="30.85546875" bestFit="1" customWidth="1"/>
    <col min="3842" max="3842" width="37" bestFit="1" customWidth="1"/>
    <col min="3843" max="3843" width="30.85546875" bestFit="1" customWidth="1"/>
    <col min="3844" max="3844" width="7.7109375" bestFit="1" customWidth="1"/>
    <col min="3845" max="3845" width="6.7109375" bestFit="1" customWidth="1"/>
    <col min="3846" max="3846" width="17.28515625" bestFit="1" customWidth="1"/>
    <col min="3847" max="3847" width="35.28515625" bestFit="1" customWidth="1"/>
    <col min="3848" max="3859" width="5.5703125" bestFit="1" customWidth="1"/>
    <col min="3860" max="3860" width="6.7109375" bestFit="1" customWidth="1"/>
    <col min="3861" max="3861" width="8.5703125" bestFit="1" customWidth="1"/>
    <col min="3862" max="3862" width="30.85546875" bestFit="1" customWidth="1"/>
    <col min="4098" max="4098" width="37" bestFit="1" customWidth="1"/>
    <col min="4099" max="4099" width="30.85546875" bestFit="1" customWidth="1"/>
    <col min="4100" max="4100" width="7.7109375" bestFit="1" customWidth="1"/>
    <col min="4101" max="4101" width="6.7109375" bestFit="1" customWidth="1"/>
    <col min="4102" max="4102" width="17.28515625" bestFit="1" customWidth="1"/>
    <col min="4103" max="4103" width="35.28515625" bestFit="1" customWidth="1"/>
    <col min="4104" max="4115" width="5.5703125" bestFit="1" customWidth="1"/>
    <col min="4116" max="4116" width="6.7109375" bestFit="1" customWidth="1"/>
    <col min="4117" max="4117" width="8.5703125" bestFit="1" customWidth="1"/>
    <col min="4118" max="4118" width="30.85546875" bestFit="1" customWidth="1"/>
    <col min="4354" max="4354" width="37" bestFit="1" customWidth="1"/>
    <col min="4355" max="4355" width="30.85546875" bestFit="1" customWidth="1"/>
    <col min="4356" max="4356" width="7.7109375" bestFit="1" customWidth="1"/>
    <col min="4357" max="4357" width="6.7109375" bestFit="1" customWidth="1"/>
    <col min="4358" max="4358" width="17.28515625" bestFit="1" customWidth="1"/>
    <col min="4359" max="4359" width="35.28515625" bestFit="1" customWidth="1"/>
    <col min="4360" max="4371" width="5.5703125" bestFit="1" customWidth="1"/>
    <col min="4372" max="4372" width="6.7109375" bestFit="1" customWidth="1"/>
    <col min="4373" max="4373" width="8.5703125" bestFit="1" customWidth="1"/>
    <col min="4374" max="4374" width="30.85546875" bestFit="1" customWidth="1"/>
    <col min="4610" max="4610" width="37" bestFit="1" customWidth="1"/>
    <col min="4611" max="4611" width="30.85546875" bestFit="1" customWidth="1"/>
    <col min="4612" max="4612" width="7.7109375" bestFit="1" customWidth="1"/>
    <col min="4613" max="4613" width="6.7109375" bestFit="1" customWidth="1"/>
    <col min="4614" max="4614" width="17.28515625" bestFit="1" customWidth="1"/>
    <col min="4615" max="4615" width="35.28515625" bestFit="1" customWidth="1"/>
    <col min="4616" max="4627" width="5.5703125" bestFit="1" customWidth="1"/>
    <col min="4628" max="4628" width="6.7109375" bestFit="1" customWidth="1"/>
    <col min="4629" max="4629" width="8.5703125" bestFit="1" customWidth="1"/>
    <col min="4630" max="4630" width="30.85546875" bestFit="1" customWidth="1"/>
    <col min="4866" max="4866" width="37" bestFit="1" customWidth="1"/>
    <col min="4867" max="4867" width="30.85546875" bestFit="1" customWidth="1"/>
    <col min="4868" max="4868" width="7.7109375" bestFit="1" customWidth="1"/>
    <col min="4869" max="4869" width="6.7109375" bestFit="1" customWidth="1"/>
    <col min="4870" max="4870" width="17.28515625" bestFit="1" customWidth="1"/>
    <col min="4871" max="4871" width="35.28515625" bestFit="1" customWidth="1"/>
    <col min="4872" max="4883" width="5.5703125" bestFit="1" customWidth="1"/>
    <col min="4884" max="4884" width="6.7109375" bestFit="1" customWidth="1"/>
    <col min="4885" max="4885" width="8.5703125" bestFit="1" customWidth="1"/>
    <col min="4886" max="4886" width="30.85546875" bestFit="1" customWidth="1"/>
    <col min="5122" max="5122" width="37" bestFit="1" customWidth="1"/>
    <col min="5123" max="5123" width="30.85546875" bestFit="1" customWidth="1"/>
    <col min="5124" max="5124" width="7.7109375" bestFit="1" customWidth="1"/>
    <col min="5125" max="5125" width="6.7109375" bestFit="1" customWidth="1"/>
    <col min="5126" max="5126" width="17.28515625" bestFit="1" customWidth="1"/>
    <col min="5127" max="5127" width="35.28515625" bestFit="1" customWidth="1"/>
    <col min="5128" max="5139" width="5.5703125" bestFit="1" customWidth="1"/>
    <col min="5140" max="5140" width="6.7109375" bestFit="1" customWidth="1"/>
    <col min="5141" max="5141" width="8.5703125" bestFit="1" customWidth="1"/>
    <col min="5142" max="5142" width="30.85546875" bestFit="1" customWidth="1"/>
    <col min="5378" max="5378" width="37" bestFit="1" customWidth="1"/>
    <col min="5379" max="5379" width="30.85546875" bestFit="1" customWidth="1"/>
    <col min="5380" max="5380" width="7.7109375" bestFit="1" customWidth="1"/>
    <col min="5381" max="5381" width="6.7109375" bestFit="1" customWidth="1"/>
    <col min="5382" max="5382" width="17.28515625" bestFit="1" customWidth="1"/>
    <col min="5383" max="5383" width="35.28515625" bestFit="1" customWidth="1"/>
    <col min="5384" max="5395" width="5.5703125" bestFit="1" customWidth="1"/>
    <col min="5396" max="5396" width="6.7109375" bestFit="1" customWidth="1"/>
    <col min="5397" max="5397" width="8.5703125" bestFit="1" customWidth="1"/>
    <col min="5398" max="5398" width="30.85546875" bestFit="1" customWidth="1"/>
    <col min="5634" max="5634" width="37" bestFit="1" customWidth="1"/>
    <col min="5635" max="5635" width="30.85546875" bestFit="1" customWidth="1"/>
    <col min="5636" max="5636" width="7.7109375" bestFit="1" customWidth="1"/>
    <col min="5637" max="5637" width="6.7109375" bestFit="1" customWidth="1"/>
    <col min="5638" max="5638" width="17.28515625" bestFit="1" customWidth="1"/>
    <col min="5639" max="5639" width="35.28515625" bestFit="1" customWidth="1"/>
    <col min="5640" max="5651" width="5.5703125" bestFit="1" customWidth="1"/>
    <col min="5652" max="5652" width="6.7109375" bestFit="1" customWidth="1"/>
    <col min="5653" max="5653" width="8.5703125" bestFit="1" customWidth="1"/>
    <col min="5654" max="5654" width="30.85546875" bestFit="1" customWidth="1"/>
    <col min="5890" max="5890" width="37" bestFit="1" customWidth="1"/>
    <col min="5891" max="5891" width="30.85546875" bestFit="1" customWidth="1"/>
    <col min="5892" max="5892" width="7.7109375" bestFit="1" customWidth="1"/>
    <col min="5893" max="5893" width="6.7109375" bestFit="1" customWidth="1"/>
    <col min="5894" max="5894" width="17.28515625" bestFit="1" customWidth="1"/>
    <col min="5895" max="5895" width="35.28515625" bestFit="1" customWidth="1"/>
    <col min="5896" max="5907" width="5.5703125" bestFit="1" customWidth="1"/>
    <col min="5908" max="5908" width="6.7109375" bestFit="1" customWidth="1"/>
    <col min="5909" max="5909" width="8.5703125" bestFit="1" customWidth="1"/>
    <col min="5910" max="5910" width="30.85546875" bestFit="1" customWidth="1"/>
    <col min="6146" max="6146" width="37" bestFit="1" customWidth="1"/>
    <col min="6147" max="6147" width="30.85546875" bestFit="1" customWidth="1"/>
    <col min="6148" max="6148" width="7.7109375" bestFit="1" customWidth="1"/>
    <col min="6149" max="6149" width="6.7109375" bestFit="1" customWidth="1"/>
    <col min="6150" max="6150" width="17.28515625" bestFit="1" customWidth="1"/>
    <col min="6151" max="6151" width="35.28515625" bestFit="1" customWidth="1"/>
    <col min="6152" max="6163" width="5.5703125" bestFit="1" customWidth="1"/>
    <col min="6164" max="6164" width="6.7109375" bestFit="1" customWidth="1"/>
    <col min="6165" max="6165" width="8.5703125" bestFit="1" customWidth="1"/>
    <col min="6166" max="6166" width="30.85546875" bestFit="1" customWidth="1"/>
    <col min="6402" max="6402" width="37" bestFit="1" customWidth="1"/>
    <col min="6403" max="6403" width="30.85546875" bestFit="1" customWidth="1"/>
    <col min="6404" max="6404" width="7.7109375" bestFit="1" customWidth="1"/>
    <col min="6405" max="6405" width="6.7109375" bestFit="1" customWidth="1"/>
    <col min="6406" max="6406" width="17.28515625" bestFit="1" customWidth="1"/>
    <col min="6407" max="6407" width="35.28515625" bestFit="1" customWidth="1"/>
    <col min="6408" max="6419" width="5.5703125" bestFit="1" customWidth="1"/>
    <col min="6420" max="6420" width="6.7109375" bestFit="1" customWidth="1"/>
    <col min="6421" max="6421" width="8.5703125" bestFit="1" customWidth="1"/>
    <col min="6422" max="6422" width="30.85546875" bestFit="1" customWidth="1"/>
    <col min="6658" max="6658" width="37" bestFit="1" customWidth="1"/>
    <col min="6659" max="6659" width="30.85546875" bestFit="1" customWidth="1"/>
    <col min="6660" max="6660" width="7.7109375" bestFit="1" customWidth="1"/>
    <col min="6661" max="6661" width="6.7109375" bestFit="1" customWidth="1"/>
    <col min="6662" max="6662" width="17.28515625" bestFit="1" customWidth="1"/>
    <col min="6663" max="6663" width="35.28515625" bestFit="1" customWidth="1"/>
    <col min="6664" max="6675" width="5.5703125" bestFit="1" customWidth="1"/>
    <col min="6676" max="6676" width="6.7109375" bestFit="1" customWidth="1"/>
    <col min="6677" max="6677" width="8.5703125" bestFit="1" customWidth="1"/>
    <col min="6678" max="6678" width="30.85546875" bestFit="1" customWidth="1"/>
    <col min="6914" max="6914" width="37" bestFit="1" customWidth="1"/>
    <col min="6915" max="6915" width="30.85546875" bestFit="1" customWidth="1"/>
    <col min="6916" max="6916" width="7.7109375" bestFit="1" customWidth="1"/>
    <col min="6917" max="6917" width="6.7109375" bestFit="1" customWidth="1"/>
    <col min="6918" max="6918" width="17.28515625" bestFit="1" customWidth="1"/>
    <col min="6919" max="6919" width="35.28515625" bestFit="1" customWidth="1"/>
    <col min="6920" max="6931" width="5.5703125" bestFit="1" customWidth="1"/>
    <col min="6932" max="6932" width="6.7109375" bestFit="1" customWidth="1"/>
    <col min="6933" max="6933" width="8.5703125" bestFit="1" customWidth="1"/>
    <col min="6934" max="6934" width="30.85546875" bestFit="1" customWidth="1"/>
    <col min="7170" max="7170" width="37" bestFit="1" customWidth="1"/>
    <col min="7171" max="7171" width="30.85546875" bestFit="1" customWidth="1"/>
    <col min="7172" max="7172" width="7.7109375" bestFit="1" customWidth="1"/>
    <col min="7173" max="7173" width="6.7109375" bestFit="1" customWidth="1"/>
    <col min="7174" max="7174" width="17.28515625" bestFit="1" customWidth="1"/>
    <col min="7175" max="7175" width="35.28515625" bestFit="1" customWidth="1"/>
    <col min="7176" max="7187" width="5.5703125" bestFit="1" customWidth="1"/>
    <col min="7188" max="7188" width="6.7109375" bestFit="1" customWidth="1"/>
    <col min="7189" max="7189" width="8.5703125" bestFit="1" customWidth="1"/>
    <col min="7190" max="7190" width="30.85546875" bestFit="1" customWidth="1"/>
    <col min="7426" max="7426" width="37" bestFit="1" customWidth="1"/>
    <col min="7427" max="7427" width="30.85546875" bestFit="1" customWidth="1"/>
    <col min="7428" max="7428" width="7.7109375" bestFit="1" customWidth="1"/>
    <col min="7429" max="7429" width="6.7109375" bestFit="1" customWidth="1"/>
    <col min="7430" max="7430" width="17.28515625" bestFit="1" customWidth="1"/>
    <col min="7431" max="7431" width="35.28515625" bestFit="1" customWidth="1"/>
    <col min="7432" max="7443" width="5.5703125" bestFit="1" customWidth="1"/>
    <col min="7444" max="7444" width="6.7109375" bestFit="1" customWidth="1"/>
    <col min="7445" max="7445" width="8.5703125" bestFit="1" customWidth="1"/>
    <col min="7446" max="7446" width="30.85546875" bestFit="1" customWidth="1"/>
    <col min="7682" max="7682" width="37" bestFit="1" customWidth="1"/>
    <col min="7683" max="7683" width="30.85546875" bestFit="1" customWidth="1"/>
    <col min="7684" max="7684" width="7.7109375" bestFit="1" customWidth="1"/>
    <col min="7685" max="7685" width="6.7109375" bestFit="1" customWidth="1"/>
    <col min="7686" max="7686" width="17.28515625" bestFit="1" customWidth="1"/>
    <col min="7687" max="7687" width="35.28515625" bestFit="1" customWidth="1"/>
    <col min="7688" max="7699" width="5.5703125" bestFit="1" customWidth="1"/>
    <col min="7700" max="7700" width="6.7109375" bestFit="1" customWidth="1"/>
    <col min="7701" max="7701" width="8.5703125" bestFit="1" customWidth="1"/>
    <col min="7702" max="7702" width="30.85546875" bestFit="1" customWidth="1"/>
    <col min="7938" max="7938" width="37" bestFit="1" customWidth="1"/>
    <col min="7939" max="7939" width="30.85546875" bestFit="1" customWidth="1"/>
    <col min="7940" max="7940" width="7.7109375" bestFit="1" customWidth="1"/>
    <col min="7941" max="7941" width="6.7109375" bestFit="1" customWidth="1"/>
    <col min="7942" max="7942" width="17.28515625" bestFit="1" customWidth="1"/>
    <col min="7943" max="7943" width="35.28515625" bestFit="1" customWidth="1"/>
    <col min="7944" max="7955" width="5.5703125" bestFit="1" customWidth="1"/>
    <col min="7956" max="7956" width="6.7109375" bestFit="1" customWidth="1"/>
    <col min="7957" max="7957" width="8.5703125" bestFit="1" customWidth="1"/>
    <col min="7958" max="7958" width="30.85546875" bestFit="1" customWidth="1"/>
    <col min="8194" max="8194" width="37" bestFit="1" customWidth="1"/>
    <col min="8195" max="8195" width="30.85546875" bestFit="1" customWidth="1"/>
    <col min="8196" max="8196" width="7.7109375" bestFit="1" customWidth="1"/>
    <col min="8197" max="8197" width="6.7109375" bestFit="1" customWidth="1"/>
    <col min="8198" max="8198" width="17.28515625" bestFit="1" customWidth="1"/>
    <col min="8199" max="8199" width="35.28515625" bestFit="1" customWidth="1"/>
    <col min="8200" max="8211" width="5.5703125" bestFit="1" customWidth="1"/>
    <col min="8212" max="8212" width="6.7109375" bestFit="1" customWidth="1"/>
    <col min="8213" max="8213" width="8.5703125" bestFit="1" customWidth="1"/>
    <col min="8214" max="8214" width="30.85546875" bestFit="1" customWidth="1"/>
    <col min="8450" max="8450" width="37" bestFit="1" customWidth="1"/>
    <col min="8451" max="8451" width="30.85546875" bestFit="1" customWidth="1"/>
    <col min="8452" max="8452" width="7.7109375" bestFit="1" customWidth="1"/>
    <col min="8453" max="8453" width="6.7109375" bestFit="1" customWidth="1"/>
    <col min="8454" max="8454" width="17.28515625" bestFit="1" customWidth="1"/>
    <col min="8455" max="8455" width="35.28515625" bestFit="1" customWidth="1"/>
    <col min="8456" max="8467" width="5.5703125" bestFit="1" customWidth="1"/>
    <col min="8468" max="8468" width="6.7109375" bestFit="1" customWidth="1"/>
    <col min="8469" max="8469" width="8.5703125" bestFit="1" customWidth="1"/>
    <col min="8470" max="8470" width="30.85546875" bestFit="1" customWidth="1"/>
    <col min="8706" max="8706" width="37" bestFit="1" customWidth="1"/>
    <col min="8707" max="8707" width="30.85546875" bestFit="1" customWidth="1"/>
    <col min="8708" max="8708" width="7.7109375" bestFit="1" customWidth="1"/>
    <col min="8709" max="8709" width="6.7109375" bestFit="1" customWidth="1"/>
    <col min="8710" max="8710" width="17.28515625" bestFit="1" customWidth="1"/>
    <col min="8711" max="8711" width="35.28515625" bestFit="1" customWidth="1"/>
    <col min="8712" max="8723" width="5.5703125" bestFit="1" customWidth="1"/>
    <col min="8724" max="8724" width="6.7109375" bestFit="1" customWidth="1"/>
    <col min="8725" max="8725" width="8.5703125" bestFit="1" customWidth="1"/>
    <col min="8726" max="8726" width="30.85546875" bestFit="1" customWidth="1"/>
    <col min="8962" max="8962" width="37" bestFit="1" customWidth="1"/>
    <col min="8963" max="8963" width="30.85546875" bestFit="1" customWidth="1"/>
    <col min="8964" max="8964" width="7.7109375" bestFit="1" customWidth="1"/>
    <col min="8965" max="8965" width="6.7109375" bestFit="1" customWidth="1"/>
    <col min="8966" max="8966" width="17.28515625" bestFit="1" customWidth="1"/>
    <col min="8967" max="8967" width="35.28515625" bestFit="1" customWidth="1"/>
    <col min="8968" max="8979" width="5.5703125" bestFit="1" customWidth="1"/>
    <col min="8980" max="8980" width="6.7109375" bestFit="1" customWidth="1"/>
    <col min="8981" max="8981" width="8.5703125" bestFit="1" customWidth="1"/>
    <col min="8982" max="8982" width="30.85546875" bestFit="1" customWidth="1"/>
    <col min="9218" max="9218" width="37" bestFit="1" customWidth="1"/>
    <col min="9219" max="9219" width="30.85546875" bestFit="1" customWidth="1"/>
    <col min="9220" max="9220" width="7.7109375" bestFit="1" customWidth="1"/>
    <col min="9221" max="9221" width="6.7109375" bestFit="1" customWidth="1"/>
    <col min="9222" max="9222" width="17.28515625" bestFit="1" customWidth="1"/>
    <col min="9223" max="9223" width="35.28515625" bestFit="1" customWidth="1"/>
    <col min="9224" max="9235" width="5.5703125" bestFit="1" customWidth="1"/>
    <col min="9236" max="9236" width="6.7109375" bestFit="1" customWidth="1"/>
    <col min="9237" max="9237" width="8.5703125" bestFit="1" customWidth="1"/>
    <col min="9238" max="9238" width="30.85546875" bestFit="1" customWidth="1"/>
    <col min="9474" max="9474" width="37" bestFit="1" customWidth="1"/>
    <col min="9475" max="9475" width="30.85546875" bestFit="1" customWidth="1"/>
    <col min="9476" max="9476" width="7.7109375" bestFit="1" customWidth="1"/>
    <col min="9477" max="9477" width="6.7109375" bestFit="1" customWidth="1"/>
    <col min="9478" max="9478" width="17.28515625" bestFit="1" customWidth="1"/>
    <col min="9479" max="9479" width="35.28515625" bestFit="1" customWidth="1"/>
    <col min="9480" max="9491" width="5.5703125" bestFit="1" customWidth="1"/>
    <col min="9492" max="9492" width="6.7109375" bestFit="1" customWidth="1"/>
    <col min="9493" max="9493" width="8.5703125" bestFit="1" customWidth="1"/>
    <col min="9494" max="9494" width="30.85546875" bestFit="1" customWidth="1"/>
    <col min="9730" max="9730" width="37" bestFit="1" customWidth="1"/>
    <col min="9731" max="9731" width="30.85546875" bestFit="1" customWidth="1"/>
    <col min="9732" max="9732" width="7.7109375" bestFit="1" customWidth="1"/>
    <col min="9733" max="9733" width="6.7109375" bestFit="1" customWidth="1"/>
    <col min="9734" max="9734" width="17.28515625" bestFit="1" customWidth="1"/>
    <col min="9735" max="9735" width="35.28515625" bestFit="1" customWidth="1"/>
    <col min="9736" max="9747" width="5.5703125" bestFit="1" customWidth="1"/>
    <col min="9748" max="9748" width="6.7109375" bestFit="1" customWidth="1"/>
    <col min="9749" max="9749" width="8.5703125" bestFit="1" customWidth="1"/>
    <col min="9750" max="9750" width="30.85546875" bestFit="1" customWidth="1"/>
    <col min="9986" max="9986" width="37" bestFit="1" customWidth="1"/>
    <col min="9987" max="9987" width="30.85546875" bestFit="1" customWidth="1"/>
    <col min="9988" max="9988" width="7.7109375" bestFit="1" customWidth="1"/>
    <col min="9989" max="9989" width="6.7109375" bestFit="1" customWidth="1"/>
    <col min="9990" max="9990" width="17.28515625" bestFit="1" customWidth="1"/>
    <col min="9991" max="9991" width="35.28515625" bestFit="1" customWidth="1"/>
    <col min="9992" max="10003" width="5.5703125" bestFit="1" customWidth="1"/>
    <col min="10004" max="10004" width="6.7109375" bestFit="1" customWidth="1"/>
    <col min="10005" max="10005" width="8.5703125" bestFit="1" customWidth="1"/>
    <col min="10006" max="10006" width="30.85546875" bestFit="1" customWidth="1"/>
    <col min="10242" max="10242" width="37" bestFit="1" customWidth="1"/>
    <col min="10243" max="10243" width="30.85546875" bestFit="1" customWidth="1"/>
    <col min="10244" max="10244" width="7.7109375" bestFit="1" customWidth="1"/>
    <col min="10245" max="10245" width="6.7109375" bestFit="1" customWidth="1"/>
    <col min="10246" max="10246" width="17.28515625" bestFit="1" customWidth="1"/>
    <col min="10247" max="10247" width="35.28515625" bestFit="1" customWidth="1"/>
    <col min="10248" max="10259" width="5.5703125" bestFit="1" customWidth="1"/>
    <col min="10260" max="10260" width="6.7109375" bestFit="1" customWidth="1"/>
    <col min="10261" max="10261" width="8.5703125" bestFit="1" customWidth="1"/>
    <col min="10262" max="10262" width="30.85546875" bestFit="1" customWidth="1"/>
    <col min="10498" max="10498" width="37" bestFit="1" customWidth="1"/>
    <col min="10499" max="10499" width="30.85546875" bestFit="1" customWidth="1"/>
    <col min="10500" max="10500" width="7.7109375" bestFit="1" customWidth="1"/>
    <col min="10501" max="10501" width="6.7109375" bestFit="1" customWidth="1"/>
    <col min="10502" max="10502" width="17.28515625" bestFit="1" customWidth="1"/>
    <col min="10503" max="10503" width="35.28515625" bestFit="1" customWidth="1"/>
    <col min="10504" max="10515" width="5.5703125" bestFit="1" customWidth="1"/>
    <col min="10516" max="10516" width="6.7109375" bestFit="1" customWidth="1"/>
    <col min="10517" max="10517" width="8.5703125" bestFit="1" customWidth="1"/>
    <col min="10518" max="10518" width="30.85546875" bestFit="1" customWidth="1"/>
    <col min="10754" max="10754" width="37" bestFit="1" customWidth="1"/>
    <col min="10755" max="10755" width="30.85546875" bestFit="1" customWidth="1"/>
    <col min="10756" max="10756" width="7.7109375" bestFit="1" customWidth="1"/>
    <col min="10757" max="10757" width="6.7109375" bestFit="1" customWidth="1"/>
    <col min="10758" max="10758" width="17.28515625" bestFit="1" customWidth="1"/>
    <col min="10759" max="10759" width="35.28515625" bestFit="1" customWidth="1"/>
    <col min="10760" max="10771" width="5.5703125" bestFit="1" customWidth="1"/>
    <col min="10772" max="10772" width="6.7109375" bestFit="1" customWidth="1"/>
    <col min="10773" max="10773" width="8.5703125" bestFit="1" customWidth="1"/>
    <col min="10774" max="10774" width="30.85546875" bestFit="1" customWidth="1"/>
    <col min="11010" max="11010" width="37" bestFit="1" customWidth="1"/>
    <col min="11011" max="11011" width="30.85546875" bestFit="1" customWidth="1"/>
    <col min="11012" max="11012" width="7.7109375" bestFit="1" customWidth="1"/>
    <col min="11013" max="11013" width="6.7109375" bestFit="1" customWidth="1"/>
    <col min="11014" max="11014" width="17.28515625" bestFit="1" customWidth="1"/>
    <col min="11015" max="11015" width="35.28515625" bestFit="1" customWidth="1"/>
    <col min="11016" max="11027" width="5.5703125" bestFit="1" customWidth="1"/>
    <col min="11028" max="11028" width="6.7109375" bestFit="1" customWidth="1"/>
    <col min="11029" max="11029" width="8.5703125" bestFit="1" customWidth="1"/>
    <col min="11030" max="11030" width="30.85546875" bestFit="1" customWidth="1"/>
    <col min="11266" max="11266" width="37" bestFit="1" customWidth="1"/>
    <col min="11267" max="11267" width="30.85546875" bestFit="1" customWidth="1"/>
    <col min="11268" max="11268" width="7.7109375" bestFit="1" customWidth="1"/>
    <col min="11269" max="11269" width="6.7109375" bestFit="1" customWidth="1"/>
    <col min="11270" max="11270" width="17.28515625" bestFit="1" customWidth="1"/>
    <col min="11271" max="11271" width="35.28515625" bestFit="1" customWidth="1"/>
    <col min="11272" max="11283" width="5.5703125" bestFit="1" customWidth="1"/>
    <col min="11284" max="11284" width="6.7109375" bestFit="1" customWidth="1"/>
    <col min="11285" max="11285" width="8.5703125" bestFit="1" customWidth="1"/>
    <col min="11286" max="11286" width="30.85546875" bestFit="1" customWidth="1"/>
    <col min="11522" max="11522" width="37" bestFit="1" customWidth="1"/>
    <col min="11523" max="11523" width="30.85546875" bestFit="1" customWidth="1"/>
    <col min="11524" max="11524" width="7.7109375" bestFit="1" customWidth="1"/>
    <col min="11525" max="11525" width="6.7109375" bestFit="1" customWidth="1"/>
    <col min="11526" max="11526" width="17.28515625" bestFit="1" customWidth="1"/>
    <col min="11527" max="11527" width="35.28515625" bestFit="1" customWidth="1"/>
    <col min="11528" max="11539" width="5.5703125" bestFit="1" customWidth="1"/>
    <col min="11540" max="11540" width="6.7109375" bestFit="1" customWidth="1"/>
    <col min="11541" max="11541" width="8.5703125" bestFit="1" customWidth="1"/>
    <col min="11542" max="11542" width="30.85546875" bestFit="1" customWidth="1"/>
    <col min="11778" max="11778" width="37" bestFit="1" customWidth="1"/>
    <col min="11779" max="11779" width="30.85546875" bestFit="1" customWidth="1"/>
    <col min="11780" max="11780" width="7.7109375" bestFit="1" customWidth="1"/>
    <col min="11781" max="11781" width="6.7109375" bestFit="1" customWidth="1"/>
    <col min="11782" max="11782" width="17.28515625" bestFit="1" customWidth="1"/>
    <col min="11783" max="11783" width="35.28515625" bestFit="1" customWidth="1"/>
    <col min="11784" max="11795" width="5.5703125" bestFit="1" customWidth="1"/>
    <col min="11796" max="11796" width="6.7109375" bestFit="1" customWidth="1"/>
    <col min="11797" max="11797" width="8.5703125" bestFit="1" customWidth="1"/>
    <col min="11798" max="11798" width="30.85546875" bestFit="1" customWidth="1"/>
    <col min="12034" max="12034" width="37" bestFit="1" customWidth="1"/>
    <col min="12035" max="12035" width="30.85546875" bestFit="1" customWidth="1"/>
    <col min="12036" max="12036" width="7.7109375" bestFit="1" customWidth="1"/>
    <col min="12037" max="12037" width="6.7109375" bestFit="1" customWidth="1"/>
    <col min="12038" max="12038" width="17.28515625" bestFit="1" customWidth="1"/>
    <col min="12039" max="12039" width="35.28515625" bestFit="1" customWidth="1"/>
    <col min="12040" max="12051" width="5.5703125" bestFit="1" customWidth="1"/>
    <col min="12052" max="12052" width="6.7109375" bestFit="1" customWidth="1"/>
    <col min="12053" max="12053" width="8.5703125" bestFit="1" customWidth="1"/>
    <col min="12054" max="12054" width="30.85546875" bestFit="1" customWidth="1"/>
    <col min="12290" max="12290" width="37" bestFit="1" customWidth="1"/>
    <col min="12291" max="12291" width="30.85546875" bestFit="1" customWidth="1"/>
    <col min="12292" max="12292" width="7.7109375" bestFit="1" customWidth="1"/>
    <col min="12293" max="12293" width="6.7109375" bestFit="1" customWidth="1"/>
    <col min="12294" max="12294" width="17.28515625" bestFit="1" customWidth="1"/>
    <col min="12295" max="12295" width="35.28515625" bestFit="1" customWidth="1"/>
    <col min="12296" max="12307" width="5.5703125" bestFit="1" customWidth="1"/>
    <col min="12308" max="12308" width="6.7109375" bestFit="1" customWidth="1"/>
    <col min="12309" max="12309" width="8.5703125" bestFit="1" customWidth="1"/>
    <col min="12310" max="12310" width="30.85546875" bestFit="1" customWidth="1"/>
    <col min="12546" max="12546" width="37" bestFit="1" customWidth="1"/>
    <col min="12547" max="12547" width="30.85546875" bestFit="1" customWidth="1"/>
    <col min="12548" max="12548" width="7.7109375" bestFit="1" customWidth="1"/>
    <col min="12549" max="12549" width="6.7109375" bestFit="1" customWidth="1"/>
    <col min="12550" max="12550" width="17.28515625" bestFit="1" customWidth="1"/>
    <col min="12551" max="12551" width="35.28515625" bestFit="1" customWidth="1"/>
    <col min="12552" max="12563" width="5.5703125" bestFit="1" customWidth="1"/>
    <col min="12564" max="12564" width="6.7109375" bestFit="1" customWidth="1"/>
    <col min="12565" max="12565" width="8.5703125" bestFit="1" customWidth="1"/>
    <col min="12566" max="12566" width="30.85546875" bestFit="1" customWidth="1"/>
    <col min="12802" max="12802" width="37" bestFit="1" customWidth="1"/>
    <col min="12803" max="12803" width="30.85546875" bestFit="1" customWidth="1"/>
    <col min="12804" max="12804" width="7.7109375" bestFit="1" customWidth="1"/>
    <col min="12805" max="12805" width="6.7109375" bestFit="1" customWidth="1"/>
    <col min="12806" max="12806" width="17.28515625" bestFit="1" customWidth="1"/>
    <col min="12807" max="12807" width="35.28515625" bestFit="1" customWidth="1"/>
    <col min="12808" max="12819" width="5.5703125" bestFit="1" customWidth="1"/>
    <col min="12820" max="12820" width="6.7109375" bestFit="1" customWidth="1"/>
    <col min="12821" max="12821" width="8.5703125" bestFit="1" customWidth="1"/>
    <col min="12822" max="12822" width="30.85546875" bestFit="1" customWidth="1"/>
    <col min="13058" max="13058" width="37" bestFit="1" customWidth="1"/>
    <col min="13059" max="13059" width="30.85546875" bestFit="1" customWidth="1"/>
    <col min="13060" max="13060" width="7.7109375" bestFit="1" customWidth="1"/>
    <col min="13061" max="13061" width="6.7109375" bestFit="1" customWidth="1"/>
    <col min="13062" max="13062" width="17.28515625" bestFit="1" customWidth="1"/>
    <col min="13063" max="13063" width="35.28515625" bestFit="1" customWidth="1"/>
    <col min="13064" max="13075" width="5.5703125" bestFit="1" customWidth="1"/>
    <col min="13076" max="13076" width="6.7109375" bestFit="1" customWidth="1"/>
    <col min="13077" max="13077" width="8.5703125" bestFit="1" customWidth="1"/>
    <col min="13078" max="13078" width="30.85546875" bestFit="1" customWidth="1"/>
    <col min="13314" max="13314" width="37" bestFit="1" customWidth="1"/>
    <col min="13315" max="13315" width="30.85546875" bestFit="1" customWidth="1"/>
    <col min="13316" max="13316" width="7.7109375" bestFit="1" customWidth="1"/>
    <col min="13317" max="13317" width="6.7109375" bestFit="1" customWidth="1"/>
    <col min="13318" max="13318" width="17.28515625" bestFit="1" customWidth="1"/>
    <col min="13319" max="13319" width="35.28515625" bestFit="1" customWidth="1"/>
    <col min="13320" max="13331" width="5.5703125" bestFit="1" customWidth="1"/>
    <col min="13332" max="13332" width="6.7109375" bestFit="1" customWidth="1"/>
    <col min="13333" max="13333" width="8.5703125" bestFit="1" customWidth="1"/>
    <col min="13334" max="13334" width="30.85546875" bestFit="1" customWidth="1"/>
    <col min="13570" max="13570" width="37" bestFit="1" customWidth="1"/>
    <col min="13571" max="13571" width="30.85546875" bestFit="1" customWidth="1"/>
    <col min="13572" max="13572" width="7.7109375" bestFit="1" customWidth="1"/>
    <col min="13573" max="13573" width="6.7109375" bestFit="1" customWidth="1"/>
    <col min="13574" max="13574" width="17.28515625" bestFit="1" customWidth="1"/>
    <col min="13575" max="13575" width="35.28515625" bestFit="1" customWidth="1"/>
    <col min="13576" max="13587" width="5.5703125" bestFit="1" customWidth="1"/>
    <col min="13588" max="13588" width="6.7109375" bestFit="1" customWidth="1"/>
    <col min="13589" max="13589" width="8.5703125" bestFit="1" customWidth="1"/>
    <col min="13590" max="13590" width="30.85546875" bestFit="1" customWidth="1"/>
    <col min="13826" max="13826" width="37" bestFit="1" customWidth="1"/>
    <col min="13827" max="13827" width="30.85546875" bestFit="1" customWidth="1"/>
    <col min="13828" max="13828" width="7.7109375" bestFit="1" customWidth="1"/>
    <col min="13829" max="13829" width="6.7109375" bestFit="1" customWidth="1"/>
    <col min="13830" max="13830" width="17.28515625" bestFit="1" customWidth="1"/>
    <col min="13831" max="13831" width="35.28515625" bestFit="1" customWidth="1"/>
    <col min="13832" max="13843" width="5.5703125" bestFit="1" customWidth="1"/>
    <col min="13844" max="13844" width="6.7109375" bestFit="1" customWidth="1"/>
    <col min="13845" max="13845" width="8.5703125" bestFit="1" customWidth="1"/>
    <col min="13846" max="13846" width="30.85546875" bestFit="1" customWidth="1"/>
    <col min="14082" max="14082" width="37" bestFit="1" customWidth="1"/>
    <col min="14083" max="14083" width="30.85546875" bestFit="1" customWidth="1"/>
    <col min="14084" max="14084" width="7.7109375" bestFit="1" customWidth="1"/>
    <col min="14085" max="14085" width="6.7109375" bestFit="1" customWidth="1"/>
    <col min="14086" max="14086" width="17.28515625" bestFit="1" customWidth="1"/>
    <col min="14087" max="14087" width="35.28515625" bestFit="1" customWidth="1"/>
    <col min="14088" max="14099" width="5.5703125" bestFit="1" customWidth="1"/>
    <col min="14100" max="14100" width="6.7109375" bestFit="1" customWidth="1"/>
    <col min="14101" max="14101" width="8.5703125" bestFit="1" customWidth="1"/>
    <col min="14102" max="14102" width="30.85546875" bestFit="1" customWidth="1"/>
    <col min="14338" max="14338" width="37" bestFit="1" customWidth="1"/>
    <col min="14339" max="14339" width="30.85546875" bestFit="1" customWidth="1"/>
    <col min="14340" max="14340" width="7.7109375" bestFit="1" customWidth="1"/>
    <col min="14341" max="14341" width="6.7109375" bestFit="1" customWidth="1"/>
    <col min="14342" max="14342" width="17.28515625" bestFit="1" customWidth="1"/>
    <col min="14343" max="14343" width="35.28515625" bestFit="1" customWidth="1"/>
    <col min="14344" max="14355" width="5.5703125" bestFit="1" customWidth="1"/>
    <col min="14356" max="14356" width="6.7109375" bestFit="1" customWidth="1"/>
    <col min="14357" max="14357" width="8.5703125" bestFit="1" customWidth="1"/>
    <col min="14358" max="14358" width="30.85546875" bestFit="1" customWidth="1"/>
    <col min="14594" max="14594" width="37" bestFit="1" customWidth="1"/>
    <col min="14595" max="14595" width="30.85546875" bestFit="1" customWidth="1"/>
    <col min="14596" max="14596" width="7.7109375" bestFit="1" customWidth="1"/>
    <col min="14597" max="14597" width="6.7109375" bestFit="1" customWidth="1"/>
    <col min="14598" max="14598" width="17.28515625" bestFit="1" customWidth="1"/>
    <col min="14599" max="14599" width="35.28515625" bestFit="1" customWidth="1"/>
    <col min="14600" max="14611" width="5.5703125" bestFit="1" customWidth="1"/>
    <col min="14612" max="14612" width="6.7109375" bestFit="1" customWidth="1"/>
    <col min="14613" max="14613" width="8.5703125" bestFit="1" customWidth="1"/>
    <col min="14614" max="14614" width="30.85546875" bestFit="1" customWidth="1"/>
    <col min="14850" max="14850" width="37" bestFit="1" customWidth="1"/>
    <col min="14851" max="14851" width="30.85546875" bestFit="1" customWidth="1"/>
    <col min="14852" max="14852" width="7.7109375" bestFit="1" customWidth="1"/>
    <col min="14853" max="14853" width="6.7109375" bestFit="1" customWidth="1"/>
    <col min="14854" max="14854" width="17.28515625" bestFit="1" customWidth="1"/>
    <col min="14855" max="14855" width="35.28515625" bestFit="1" customWidth="1"/>
    <col min="14856" max="14867" width="5.5703125" bestFit="1" customWidth="1"/>
    <col min="14868" max="14868" width="6.7109375" bestFit="1" customWidth="1"/>
    <col min="14869" max="14869" width="8.5703125" bestFit="1" customWidth="1"/>
    <col min="14870" max="14870" width="30.85546875" bestFit="1" customWidth="1"/>
    <col min="15106" max="15106" width="37" bestFit="1" customWidth="1"/>
    <col min="15107" max="15107" width="30.85546875" bestFit="1" customWidth="1"/>
    <col min="15108" max="15108" width="7.7109375" bestFit="1" customWidth="1"/>
    <col min="15109" max="15109" width="6.7109375" bestFit="1" customWidth="1"/>
    <col min="15110" max="15110" width="17.28515625" bestFit="1" customWidth="1"/>
    <col min="15111" max="15111" width="35.28515625" bestFit="1" customWidth="1"/>
    <col min="15112" max="15123" width="5.5703125" bestFit="1" customWidth="1"/>
    <col min="15124" max="15124" width="6.7109375" bestFit="1" customWidth="1"/>
    <col min="15125" max="15125" width="8.5703125" bestFit="1" customWidth="1"/>
    <col min="15126" max="15126" width="30.85546875" bestFit="1" customWidth="1"/>
    <col min="15362" max="15362" width="37" bestFit="1" customWidth="1"/>
    <col min="15363" max="15363" width="30.85546875" bestFit="1" customWidth="1"/>
    <col min="15364" max="15364" width="7.7109375" bestFit="1" customWidth="1"/>
    <col min="15365" max="15365" width="6.7109375" bestFit="1" customWidth="1"/>
    <col min="15366" max="15366" width="17.28515625" bestFit="1" customWidth="1"/>
    <col min="15367" max="15367" width="35.28515625" bestFit="1" customWidth="1"/>
    <col min="15368" max="15379" width="5.5703125" bestFit="1" customWidth="1"/>
    <col min="15380" max="15380" width="6.7109375" bestFit="1" customWidth="1"/>
    <col min="15381" max="15381" width="8.5703125" bestFit="1" customWidth="1"/>
    <col min="15382" max="15382" width="30.85546875" bestFit="1" customWidth="1"/>
    <col min="15618" max="15618" width="37" bestFit="1" customWidth="1"/>
    <col min="15619" max="15619" width="30.85546875" bestFit="1" customWidth="1"/>
    <col min="15620" max="15620" width="7.7109375" bestFit="1" customWidth="1"/>
    <col min="15621" max="15621" width="6.7109375" bestFit="1" customWidth="1"/>
    <col min="15622" max="15622" width="17.28515625" bestFit="1" customWidth="1"/>
    <col min="15623" max="15623" width="35.28515625" bestFit="1" customWidth="1"/>
    <col min="15624" max="15635" width="5.5703125" bestFit="1" customWidth="1"/>
    <col min="15636" max="15636" width="6.7109375" bestFit="1" customWidth="1"/>
    <col min="15637" max="15637" width="8.5703125" bestFit="1" customWidth="1"/>
    <col min="15638" max="15638" width="30.85546875" bestFit="1" customWidth="1"/>
    <col min="15874" max="15874" width="37" bestFit="1" customWidth="1"/>
    <col min="15875" max="15875" width="30.85546875" bestFit="1" customWidth="1"/>
    <col min="15876" max="15876" width="7.7109375" bestFit="1" customWidth="1"/>
    <col min="15877" max="15877" width="6.7109375" bestFit="1" customWidth="1"/>
    <col min="15878" max="15878" width="17.28515625" bestFit="1" customWidth="1"/>
    <col min="15879" max="15879" width="35.28515625" bestFit="1" customWidth="1"/>
    <col min="15880" max="15891" width="5.5703125" bestFit="1" customWidth="1"/>
    <col min="15892" max="15892" width="6.7109375" bestFit="1" customWidth="1"/>
    <col min="15893" max="15893" width="8.5703125" bestFit="1" customWidth="1"/>
    <col min="15894" max="15894" width="30.85546875" bestFit="1" customWidth="1"/>
    <col min="16130" max="16130" width="37" bestFit="1" customWidth="1"/>
    <col min="16131" max="16131" width="30.85546875" bestFit="1" customWidth="1"/>
    <col min="16132" max="16132" width="7.7109375" bestFit="1" customWidth="1"/>
    <col min="16133" max="16133" width="6.7109375" bestFit="1" customWidth="1"/>
    <col min="16134" max="16134" width="17.28515625" bestFit="1" customWidth="1"/>
    <col min="16135" max="16135" width="35.28515625" bestFit="1" customWidth="1"/>
    <col min="16136" max="16147" width="5.5703125" bestFit="1" customWidth="1"/>
    <col min="16148" max="16148" width="6.7109375" bestFit="1" customWidth="1"/>
    <col min="16149" max="16149" width="8.5703125" bestFit="1" customWidth="1"/>
    <col min="16150" max="16150" width="30.85546875" bestFit="1" customWidth="1"/>
  </cols>
  <sheetData>
    <row r="1" spans="1:22" s="1" customFormat="1" ht="30" customHeight="1" x14ac:dyDescent="0.2">
      <c r="A1" s="295" t="s">
        <v>4023</v>
      </c>
      <c r="B1" s="295"/>
      <c r="C1" s="295"/>
      <c r="D1" s="295"/>
      <c r="E1" s="295"/>
      <c r="F1" s="295"/>
      <c r="G1" s="295"/>
      <c r="H1" s="295"/>
      <c r="I1" s="295"/>
      <c r="J1" s="295"/>
      <c r="K1" s="295"/>
      <c r="L1" s="295"/>
      <c r="M1" s="295"/>
      <c r="N1" s="295"/>
      <c r="O1" s="295"/>
      <c r="P1" s="295"/>
      <c r="Q1" s="295"/>
      <c r="R1" s="295"/>
      <c r="S1" s="295"/>
      <c r="T1" s="295"/>
      <c r="U1" s="295"/>
      <c r="V1" s="296"/>
    </row>
    <row r="2" spans="1:22" s="1" customFormat="1" ht="30" x14ac:dyDescent="0.2">
      <c r="A2" s="295" t="s">
        <v>4025</v>
      </c>
      <c r="B2" s="295"/>
      <c r="C2" s="295"/>
      <c r="D2" s="295"/>
      <c r="E2" s="295"/>
      <c r="F2" s="295"/>
      <c r="G2" s="295"/>
      <c r="H2" s="295"/>
      <c r="I2" s="295"/>
      <c r="J2" s="295"/>
      <c r="K2" s="295"/>
      <c r="L2" s="295"/>
      <c r="M2" s="295"/>
      <c r="N2" s="295"/>
      <c r="O2" s="295"/>
      <c r="P2" s="295"/>
      <c r="Q2" s="295"/>
      <c r="R2" s="295"/>
      <c r="S2" s="295"/>
      <c r="T2" s="295"/>
      <c r="U2" s="295"/>
      <c r="V2" s="296"/>
    </row>
    <row r="3" spans="1:22" s="1" customFormat="1" ht="30.75" thickBot="1" x14ac:dyDescent="0.25">
      <c r="A3" s="295" t="s">
        <v>3381</v>
      </c>
      <c r="B3" s="295"/>
      <c r="C3" s="295"/>
      <c r="D3" s="295"/>
      <c r="E3" s="295"/>
      <c r="F3" s="295"/>
      <c r="G3" s="295"/>
      <c r="H3" s="295"/>
      <c r="I3" s="295"/>
      <c r="J3" s="295"/>
      <c r="K3" s="295"/>
      <c r="L3" s="295"/>
      <c r="M3" s="295"/>
      <c r="N3" s="295"/>
      <c r="O3" s="295"/>
      <c r="P3" s="295"/>
      <c r="Q3" s="295"/>
      <c r="R3" s="295"/>
      <c r="S3" s="295"/>
      <c r="T3" s="295"/>
      <c r="U3" s="295"/>
      <c r="V3" s="296"/>
    </row>
    <row r="4" spans="1:22" s="5" customFormat="1" ht="12.75" customHeight="1" x14ac:dyDescent="0.2">
      <c r="A4" s="297" t="s">
        <v>719</v>
      </c>
      <c r="B4" s="300" t="s">
        <v>0</v>
      </c>
      <c r="C4" s="302" t="s">
        <v>3382</v>
      </c>
      <c r="D4" s="302" t="s">
        <v>8</v>
      </c>
      <c r="E4" s="304" t="s">
        <v>9</v>
      </c>
      <c r="F4" s="304" t="s">
        <v>1</v>
      </c>
      <c r="G4" s="305" t="s">
        <v>795</v>
      </c>
      <c r="H4" s="300" t="s">
        <v>2</v>
      </c>
      <c r="I4" s="304"/>
      <c r="J4" s="304"/>
      <c r="K4" s="307"/>
      <c r="L4" s="300" t="s">
        <v>3</v>
      </c>
      <c r="M4" s="304"/>
      <c r="N4" s="304"/>
      <c r="O4" s="307"/>
      <c r="P4" s="300" t="s">
        <v>4</v>
      </c>
      <c r="Q4" s="304"/>
      <c r="R4" s="304"/>
      <c r="S4" s="307"/>
      <c r="T4" s="308" t="s">
        <v>3593</v>
      </c>
      <c r="U4" s="304" t="s">
        <v>6</v>
      </c>
      <c r="V4" s="307" t="s">
        <v>5</v>
      </c>
    </row>
    <row r="5" spans="1:22" s="5" customFormat="1" ht="23.25" customHeight="1" thickBot="1" x14ac:dyDescent="0.25">
      <c r="A5" s="298"/>
      <c r="B5" s="301"/>
      <c r="C5" s="303"/>
      <c r="D5" s="303"/>
      <c r="E5" s="303"/>
      <c r="F5" s="303"/>
      <c r="G5" s="306"/>
      <c r="H5" s="3">
        <v>1</v>
      </c>
      <c r="I5" s="2">
        <v>2</v>
      </c>
      <c r="J5" s="2">
        <v>3</v>
      </c>
      <c r="K5" s="4" t="s">
        <v>7</v>
      </c>
      <c r="L5" s="3">
        <v>1</v>
      </c>
      <c r="M5" s="2">
        <v>2</v>
      </c>
      <c r="N5" s="2">
        <v>3</v>
      </c>
      <c r="O5" s="4" t="s">
        <v>7</v>
      </c>
      <c r="P5" s="3">
        <v>1</v>
      </c>
      <c r="Q5" s="2">
        <v>2</v>
      </c>
      <c r="R5" s="2">
        <v>3</v>
      </c>
      <c r="S5" s="4" t="s">
        <v>7</v>
      </c>
      <c r="T5" s="309"/>
      <c r="U5" s="303"/>
      <c r="V5" s="310"/>
    </row>
    <row r="6" spans="1:22" ht="15" x14ac:dyDescent="0.2">
      <c r="B6" s="299" t="s">
        <v>4004</v>
      </c>
      <c r="C6" s="299"/>
      <c r="D6" s="299"/>
      <c r="E6" s="299"/>
      <c r="F6" s="299"/>
      <c r="G6" s="299"/>
      <c r="H6" s="299"/>
      <c r="I6" s="299"/>
      <c r="J6" s="299"/>
      <c r="K6" s="299"/>
      <c r="L6" s="299"/>
      <c r="M6" s="299"/>
      <c r="N6" s="299"/>
      <c r="O6" s="299"/>
      <c r="P6" s="299"/>
      <c r="Q6" s="299"/>
      <c r="R6" s="299"/>
      <c r="S6" s="299"/>
      <c r="T6" s="299"/>
      <c r="U6" s="299"/>
    </row>
    <row r="7" spans="1:22" x14ac:dyDescent="0.2">
      <c r="A7" s="43">
        <v>1</v>
      </c>
      <c r="B7" s="15" t="s">
        <v>1413</v>
      </c>
      <c r="C7" s="15" t="s">
        <v>1287</v>
      </c>
      <c r="D7" s="15" t="s">
        <v>1288</v>
      </c>
      <c r="E7" s="15" t="str">
        <f>"2,4074"</f>
        <v>2,4074</v>
      </c>
      <c r="F7" s="15" t="s">
        <v>1490</v>
      </c>
      <c r="G7" s="15" t="s">
        <v>3208</v>
      </c>
      <c r="H7" s="35" t="s">
        <v>126</v>
      </c>
      <c r="I7" s="38" t="s">
        <v>25</v>
      </c>
      <c r="J7" s="35" t="s">
        <v>127</v>
      </c>
      <c r="K7" s="35" t="s">
        <v>1289</v>
      </c>
      <c r="L7" s="35" t="s">
        <v>54</v>
      </c>
      <c r="M7" s="35" t="s">
        <v>55</v>
      </c>
      <c r="N7" s="35" t="s">
        <v>1290</v>
      </c>
      <c r="O7" s="38" t="s">
        <v>43</v>
      </c>
      <c r="P7" s="35" t="s">
        <v>126</v>
      </c>
      <c r="Q7" s="35" t="s">
        <v>25</v>
      </c>
      <c r="R7" s="35" t="s">
        <v>155</v>
      </c>
      <c r="S7" s="35" t="s">
        <v>142</v>
      </c>
      <c r="T7" s="29">
        <v>403</v>
      </c>
      <c r="U7" s="21" t="str">
        <f>"970,1822"</f>
        <v>970,1822</v>
      </c>
      <c r="V7" s="15" t="s">
        <v>3233</v>
      </c>
    </row>
    <row r="8" spans="1:22" x14ac:dyDescent="0.2">
      <c r="A8" s="43">
        <v>1</v>
      </c>
      <c r="B8" s="17" t="s">
        <v>1430</v>
      </c>
      <c r="C8" s="17" t="s">
        <v>1291</v>
      </c>
      <c r="D8" s="17" t="s">
        <v>1292</v>
      </c>
      <c r="E8" s="17" t="str">
        <f>"2,5450"</f>
        <v>2,5450</v>
      </c>
      <c r="F8" s="17" t="s">
        <v>1076</v>
      </c>
      <c r="G8" s="17" t="s">
        <v>3210</v>
      </c>
      <c r="H8" s="39" t="s">
        <v>93</v>
      </c>
      <c r="I8" s="39" t="s">
        <v>75</v>
      </c>
      <c r="J8" s="37" t="s">
        <v>75</v>
      </c>
      <c r="K8" s="26"/>
      <c r="L8" s="37" t="s">
        <v>594</v>
      </c>
      <c r="M8" s="39" t="s">
        <v>80</v>
      </c>
      <c r="N8" s="39" t="s">
        <v>80</v>
      </c>
      <c r="O8" s="26"/>
      <c r="P8" s="37" t="s">
        <v>54</v>
      </c>
      <c r="Q8" s="37" t="s">
        <v>55</v>
      </c>
      <c r="R8" s="37" t="s">
        <v>43</v>
      </c>
      <c r="S8" s="26"/>
      <c r="T8" s="31">
        <v>175</v>
      </c>
      <c r="U8" s="25" t="str">
        <f>"828,3975"</f>
        <v>828,3975</v>
      </c>
      <c r="V8" s="17" t="s">
        <v>3391</v>
      </c>
    </row>
    <row r="10" spans="1:22" ht="15" x14ac:dyDescent="0.2">
      <c r="B10" s="294" t="s">
        <v>4014</v>
      </c>
      <c r="C10" s="294"/>
      <c r="D10" s="294"/>
      <c r="E10" s="294"/>
      <c r="F10" s="294"/>
      <c r="G10" s="294"/>
      <c r="H10" s="294"/>
      <c r="I10" s="294"/>
      <c r="J10" s="294"/>
      <c r="K10" s="294"/>
      <c r="L10" s="294"/>
      <c r="M10" s="294"/>
      <c r="N10" s="294"/>
      <c r="O10" s="294"/>
      <c r="P10" s="294"/>
      <c r="Q10" s="294"/>
      <c r="R10" s="294"/>
      <c r="S10" s="294"/>
      <c r="T10" s="294"/>
      <c r="U10" s="294"/>
    </row>
    <row r="11" spans="1:22" x14ac:dyDescent="0.2">
      <c r="A11" s="43">
        <v>1</v>
      </c>
      <c r="B11" s="7" t="s">
        <v>1245</v>
      </c>
      <c r="C11" s="7" t="s">
        <v>1213</v>
      </c>
      <c r="D11" s="7" t="s">
        <v>1214</v>
      </c>
      <c r="E11" s="7" t="str">
        <f>"1,9340"</f>
        <v>1,9340</v>
      </c>
      <c r="F11" s="63" t="s">
        <v>1491</v>
      </c>
      <c r="G11" s="7" t="s">
        <v>3209</v>
      </c>
      <c r="H11" s="34" t="s">
        <v>126</v>
      </c>
      <c r="I11" s="41" t="s">
        <v>25</v>
      </c>
      <c r="J11" s="41" t="s">
        <v>25</v>
      </c>
      <c r="K11" s="20"/>
      <c r="L11" s="34" t="s">
        <v>81</v>
      </c>
      <c r="M11" s="41" t="s">
        <v>46</v>
      </c>
      <c r="N11" s="41" t="s">
        <v>46</v>
      </c>
      <c r="O11" s="20"/>
      <c r="P11" s="34" t="s">
        <v>25</v>
      </c>
      <c r="Q11" s="34" t="s">
        <v>141</v>
      </c>
      <c r="R11" s="34" t="s">
        <v>142</v>
      </c>
      <c r="S11" s="20"/>
      <c r="T11" s="28">
        <v>400</v>
      </c>
      <c r="U11" s="19" t="str">
        <f>"773,6000"</f>
        <v>773,6000</v>
      </c>
      <c r="V11" s="7" t="s">
        <v>1439</v>
      </c>
    </row>
    <row r="13" spans="1:22" ht="15" x14ac:dyDescent="0.2">
      <c r="B13" s="294" t="s">
        <v>4006</v>
      </c>
      <c r="C13" s="294"/>
      <c r="D13" s="294"/>
      <c r="E13" s="294"/>
      <c r="F13" s="294"/>
      <c r="G13" s="294"/>
      <c r="H13" s="294"/>
      <c r="I13" s="294"/>
      <c r="J13" s="294"/>
      <c r="K13" s="294"/>
      <c r="L13" s="294"/>
      <c r="M13" s="294"/>
      <c r="N13" s="294"/>
      <c r="O13" s="294"/>
      <c r="P13" s="294"/>
      <c r="Q13" s="294"/>
      <c r="R13" s="294"/>
      <c r="S13" s="294"/>
      <c r="T13" s="294"/>
      <c r="U13" s="294"/>
    </row>
    <row r="14" spans="1:22" x14ac:dyDescent="0.2">
      <c r="A14" s="43">
        <v>1</v>
      </c>
      <c r="B14" s="15" t="s">
        <v>1431</v>
      </c>
      <c r="C14" s="15" t="s">
        <v>1293</v>
      </c>
      <c r="D14" s="15" t="s">
        <v>1294</v>
      </c>
      <c r="E14" s="15" t="str">
        <f>"1,7926"</f>
        <v>1,7926</v>
      </c>
      <c r="F14" s="15" t="s">
        <v>4020</v>
      </c>
      <c r="G14" s="15" t="s">
        <v>796</v>
      </c>
      <c r="H14" s="35" t="s">
        <v>61</v>
      </c>
      <c r="I14" s="35" t="s">
        <v>66</v>
      </c>
      <c r="J14" s="35" t="s">
        <v>169</v>
      </c>
      <c r="K14" s="22"/>
      <c r="L14" s="35" t="s">
        <v>59</v>
      </c>
      <c r="M14" s="35" t="s">
        <v>93</v>
      </c>
      <c r="N14" s="35" t="s">
        <v>86</v>
      </c>
      <c r="O14" s="22"/>
      <c r="P14" s="35" t="s">
        <v>81</v>
      </c>
      <c r="Q14" s="35" t="s">
        <v>61</v>
      </c>
      <c r="R14" s="35" t="s">
        <v>87</v>
      </c>
      <c r="S14" s="22"/>
      <c r="T14" s="29">
        <v>290</v>
      </c>
      <c r="U14" s="21" t="str">
        <f>"519,8540"</f>
        <v>519,8540</v>
      </c>
      <c r="V14" s="15" t="s">
        <v>1475</v>
      </c>
    </row>
    <row r="15" spans="1:22" x14ac:dyDescent="0.2">
      <c r="A15" s="43">
        <v>1</v>
      </c>
      <c r="B15" s="17" t="s">
        <v>1432</v>
      </c>
      <c r="C15" s="17" t="s">
        <v>1295</v>
      </c>
      <c r="D15" s="17" t="s">
        <v>332</v>
      </c>
      <c r="E15" s="17" t="str">
        <f>"1,7950"</f>
        <v>1,7950</v>
      </c>
      <c r="F15" s="17" t="s">
        <v>4020</v>
      </c>
      <c r="G15" s="17" t="s">
        <v>840</v>
      </c>
      <c r="H15" s="37" t="s">
        <v>69</v>
      </c>
      <c r="I15" s="39" t="s">
        <v>71</v>
      </c>
      <c r="J15" s="37" t="s">
        <v>71</v>
      </c>
      <c r="K15" s="26"/>
      <c r="L15" s="37" t="s">
        <v>93</v>
      </c>
      <c r="M15" s="39" t="s">
        <v>67</v>
      </c>
      <c r="N15" s="39" t="s">
        <v>67</v>
      </c>
      <c r="O15" s="26"/>
      <c r="P15" s="37" t="s">
        <v>76</v>
      </c>
      <c r="Q15" s="37" t="s">
        <v>69</v>
      </c>
      <c r="R15" s="37" t="s">
        <v>71</v>
      </c>
      <c r="S15" s="26"/>
      <c r="T15" s="31">
        <v>295</v>
      </c>
      <c r="U15" s="25" t="str">
        <f>"529,5250"</f>
        <v>529,5250</v>
      </c>
      <c r="V15" s="17" t="s">
        <v>1476</v>
      </c>
    </row>
    <row r="17" spans="1:22" ht="15" x14ac:dyDescent="0.2">
      <c r="B17" s="294" t="s">
        <v>4007</v>
      </c>
      <c r="C17" s="294"/>
      <c r="D17" s="294"/>
      <c r="E17" s="294"/>
      <c r="F17" s="294"/>
      <c r="G17" s="294"/>
      <c r="H17" s="294"/>
      <c r="I17" s="294"/>
      <c r="J17" s="294"/>
      <c r="K17" s="294"/>
      <c r="L17" s="294"/>
      <c r="M17" s="294"/>
      <c r="N17" s="294"/>
      <c r="O17" s="294"/>
      <c r="P17" s="294"/>
      <c r="Q17" s="294"/>
      <c r="R17" s="294"/>
      <c r="S17" s="294"/>
      <c r="T17" s="294"/>
      <c r="U17" s="294"/>
    </row>
    <row r="18" spans="1:22" x14ac:dyDescent="0.2">
      <c r="A18" s="43">
        <v>1</v>
      </c>
      <c r="B18" s="15" t="s">
        <v>1433</v>
      </c>
      <c r="C18" s="15" t="s">
        <v>1296</v>
      </c>
      <c r="D18" s="15" t="s">
        <v>1297</v>
      </c>
      <c r="E18" s="15" t="str">
        <f>"1,6850"</f>
        <v>1,6850</v>
      </c>
      <c r="F18" s="15" t="s">
        <v>1506</v>
      </c>
      <c r="G18" s="15" t="s">
        <v>3182</v>
      </c>
      <c r="H18" s="35" t="s">
        <v>11</v>
      </c>
      <c r="I18" s="35" t="s">
        <v>107</v>
      </c>
      <c r="J18" s="38" t="s">
        <v>381</v>
      </c>
      <c r="K18" s="22"/>
      <c r="L18" s="38" t="s">
        <v>47</v>
      </c>
      <c r="M18" s="35" t="s">
        <v>76</v>
      </c>
      <c r="N18" s="38" t="s">
        <v>97</v>
      </c>
      <c r="O18" s="22"/>
      <c r="P18" s="35" t="s">
        <v>107</v>
      </c>
      <c r="Q18" s="35" t="s">
        <v>135</v>
      </c>
      <c r="R18" s="35" t="s">
        <v>378</v>
      </c>
      <c r="S18" s="35" t="s">
        <v>24</v>
      </c>
      <c r="T18" s="29">
        <v>502.5</v>
      </c>
      <c r="U18" s="21" t="str">
        <f>"846,7125"</f>
        <v>846,7125</v>
      </c>
      <c r="V18" s="15" t="s">
        <v>977</v>
      </c>
    </row>
    <row r="19" spans="1:22" x14ac:dyDescent="0.2">
      <c r="A19" s="43">
        <v>1</v>
      </c>
      <c r="B19" s="17" t="s">
        <v>1298</v>
      </c>
      <c r="C19" s="17" t="s">
        <v>1299</v>
      </c>
      <c r="D19" s="17" t="s">
        <v>1297</v>
      </c>
      <c r="E19" s="17" t="str">
        <f>"1,6850"</f>
        <v>1,6850</v>
      </c>
      <c r="F19" s="17" t="s">
        <v>1506</v>
      </c>
      <c r="G19" s="17" t="s">
        <v>3182</v>
      </c>
      <c r="H19" s="37" t="s">
        <v>11</v>
      </c>
      <c r="I19" s="37" t="s">
        <v>107</v>
      </c>
      <c r="J19" s="39" t="s">
        <v>381</v>
      </c>
      <c r="K19" s="26"/>
      <c r="L19" s="39" t="s">
        <v>47</v>
      </c>
      <c r="M19" s="37" t="s">
        <v>76</v>
      </c>
      <c r="N19" s="39" t="s">
        <v>97</v>
      </c>
      <c r="O19" s="26"/>
      <c r="P19" s="37" t="s">
        <v>107</v>
      </c>
      <c r="Q19" s="37" t="s">
        <v>135</v>
      </c>
      <c r="R19" s="37" t="s">
        <v>378</v>
      </c>
      <c r="S19" s="37" t="s">
        <v>24</v>
      </c>
      <c r="T19" s="31">
        <v>502.5</v>
      </c>
      <c r="U19" s="25" t="str">
        <f>"846,7125"</f>
        <v>846,7125</v>
      </c>
      <c r="V19" s="17" t="s">
        <v>977</v>
      </c>
    </row>
    <row r="21" spans="1:22" ht="15" x14ac:dyDescent="0.2">
      <c r="B21" s="294" t="s">
        <v>4008</v>
      </c>
      <c r="C21" s="294"/>
      <c r="D21" s="294"/>
      <c r="E21" s="294"/>
      <c r="F21" s="294"/>
      <c r="G21" s="294"/>
      <c r="H21" s="294"/>
      <c r="I21" s="294"/>
      <c r="J21" s="294"/>
      <c r="K21" s="294"/>
      <c r="L21" s="294"/>
      <c r="M21" s="294"/>
      <c r="N21" s="294"/>
      <c r="O21" s="294"/>
      <c r="P21" s="294"/>
      <c r="Q21" s="294"/>
      <c r="R21" s="294"/>
      <c r="S21" s="294"/>
      <c r="T21" s="294"/>
      <c r="U21" s="294"/>
    </row>
    <row r="22" spans="1:22" x14ac:dyDescent="0.2">
      <c r="A22" s="43">
        <v>1</v>
      </c>
      <c r="B22" s="7" t="s">
        <v>1434</v>
      </c>
      <c r="C22" s="7" t="s">
        <v>1300</v>
      </c>
      <c r="D22" s="7" t="s">
        <v>570</v>
      </c>
      <c r="E22" s="7" t="str">
        <f>"1,5514"</f>
        <v>1,5514</v>
      </c>
      <c r="F22" s="7" t="s">
        <v>111</v>
      </c>
      <c r="G22" s="7" t="s">
        <v>3211</v>
      </c>
      <c r="H22" s="34" t="s">
        <v>11</v>
      </c>
      <c r="I22" s="34" t="s">
        <v>140</v>
      </c>
      <c r="J22" s="41" t="s">
        <v>143</v>
      </c>
      <c r="K22" s="20"/>
      <c r="L22" s="34" t="s">
        <v>69</v>
      </c>
      <c r="M22" s="34" t="s">
        <v>71</v>
      </c>
      <c r="N22" s="20"/>
      <c r="O22" s="20"/>
      <c r="P22" s="34" t="s">
        <v>143</v>
      </c>
      <c r="Q22" s="20"/>
      <c r="R22" s="20"/>
      <c r="S22" s="20"/>
      <c r="T22" s="28">
        <v>530</v>
      </c>
      <c r="U22" s="19" t="str">
        <f>"822,2420"</f>
        <v>822,2420</v>
      </c>
      <c r="V22" s="7" t="s">
        <v>3232</v>
      </c>
    </row>
    <row r="24" spans="1:22" ht="15" x14ac:dyDescent="0.2">
      <c r="B24" s="294" t="s">
        <v>4006</v>
      </c>
      <c r="C24" s="294"/>
      <c r="D24" s="294"/>
      <c r="E24" s="294"/>
      <c r="F24" s="294"/>
      <c r="G24" s="294"/>
      <c r="H24" s="294"/>
      <c r="I24" s="294"/>
      <c r="J24" s="294"/>
      <c r="K24" s="294"/>
      <c r="L24" s="294"/>
      <c r="M24" s="294"/>
      <c r="N24" s="294"/>
      <c r="O24" s="294"/>
      <c r="P24" s="294"/>
      <c r="Q24" s="294"/>
      <c r="R24" s="294"/>
      <c r="S24" s="294"/>
      <c r="T24" s="294"/>
      <c r="U24" s="294"/>
    </row>
    <row r="25" spans="1:22" x14ac:dyDescent="0.2">
      <c r="A25" s="43">
        <v>1</v>
      </c>
      <c r="B25" s="7" t="s">
        <v>1435</v>
      </c>
      <c r="C25" s="7" t="s">
        <v>1303</v>
      </c>
      <c r="D25" s="7" t="s">
        <v>1304</v>
      </c>
      <c r="E25" s="7" t="str">
        <f>"1,4672"</f>
        <v>1,4672</v>
      </c>
      <c r="F25" s="7" t="s">
        <v>1056</v>
      </c>
      <c r="G25" s="7" t="s">
        <v>796</v>
      </c>
      <c r="H25" s="34" t="s">
        <v>71</v>
      </c>
      <c r="I25" s="41" t="s">
        <v>116</v>
      </c>
      <c r="J25" s="41" t="s">
        <v>116</v>
      </c>
      <c r="K25" s="20"/>
      <c r="L25" s="34" t="s">
        <v>42</v>
      </c>
      <c r="M25" s="34" t="s">
        <v>61</v>
      </c>
      <c r="N25" s="41" t="s">
        <v>97</v>
      </c>
      <c r="O25" s="20"/>
      <c r="P25" s="34" t="s">
        <v>71</v>
      </c>
      <c r="Q25" s="34" t="s">
        <v>105</v>
      </c>
      <c r="R25" s="41" t="s">
        <v>116</v>
      </c>
      <c r="S25" s="20"/>
      <c r="T25" s="28">
        <v>352.5</v>
      </c>
      <c r="U25" s="19" t="str">
        <f>"517,1880"</f>
        <v>517,1880</v>
      </c>
      <c r="V25" s="7" t="s">
        <v>753</v>
      </c>
    </row>
    <row r="27" spans="1:22" ht="15" x14ac:dyDescent="0.2">
      <c r="B27" s="294" t="s">
        <v>4007</v>
      </c>
      <c r="C27" s="294"/>
      <c r="D27" s="294"/>
      <c r="E27" s="294"/>
      <c r="F27" s="294"/>
      <c r="G27" s="294"/>
      <c r="H27" s="294"/>
      <c r="I27" s="294"/>
      <c r="J27" s="294"/>
      <c r="K27" s="294"/>
      <c r="L27" s="294"/>
      <c r="M27" s="294"/>
      <c r="N27" s="294"/>
      <c r="O27" s="294"/>
      <c r="P27" s="294"/>
      <c r="Q27" s="294"/>
      <c r="R27" s="294"/>
      <c r="S27" s="294"/>
      <c r="T27" s="294"/>
      <c r="U27" s="294"/>
    </row>
    <row r="28" spans="1:22" x14ac:dyDescent="0.2">
      <c r="A28" s="43">
        <v>1</v>
      </c>
      <c r="B28" s="15" t="s">
        <v>1436</v>
      </c>
      <c r="C28" s="15" t="s">
        <v>1305</v>
      </c>
      <c r="D28" s="15" t="s">
        <v>122</v>
      </c>
      <c r="E28" s="15" t="str">
        <f>"1,2530"</f>
        <v>1,2530</v>
      </c>
      <c r="F28" s="15" t="s">
        <v>111</v>
      </c>
      <c r="G28" s="15" t="s">
        <v>3177</v>
      </c>
      <c r="H28" s="35" t="s">
        <v>135</v>
      </c>
      <c r="I28" s="35" t="s">
        <v>143</v>
      </c>
      <c r="J28" s="35" t="s">
        <v>187</v>
      </c>
      <c r="K28" s="35" t="s">
        <v>1306</v>
      </c>
      <c r="L28" s="35" t="s">
        <v>70</v>
      </c>
      <c r="M28" s="35" t="s">
        <v>157</v>
      </c>
      <c r="N28" s="38" t="s">
        <v>158</v>
      </c>
      <c r="O28" s="22"/>
      <c r="P28" s="35" t="s">
        <v>253</v>
      </c>
      <c r="Q28" s="35" t="s">
        <v>208</v>
      </c>
      <c r="R28" s="22"/>
      <c r="S28" s="22"/>
      <c r="T28" s="29">
        <v>582.5</v>
      </c>
      <c r="U28" s="21" t="str">
        <f>"729,8725"</f>
        <v>729,8725</v>
      </c>
      <c r="V28" s="15" t="s">
        <v>1307</v>
      </c>
    </row>
    <row r="29" spans="1:22" x14ac:dyDescent="0.2">
      <c r="A29" s="43">
        <v>2</v>
      </c>
      <c r="B29" s="17" t="s">
        <v>1437</v>
      </c>
      <c r="C29" s="17" t="s">
        <v>1215</v>
      </c>
      <c r="D29" s="17" t="s">
        <v>154</v>
      </c>
      <c r="E29" s="17" t="str">
        <f>"1,2428"</f>
        <v>1,2428</v>
      </c>
      <c r="F29" s="17" t="s">
        <v>1056</v>
      </c>
      <c r="G29" s="17" t="s">
        <v>796</v>
      </c>
      <c r="H29" s="37" t="s">
        <v>389</v>
      </c>
      <c r="I29" s="37" t="s">
        <v>296</v>
      </c>
      <c r="J29" s="39" t="s">
        <v>246</v>
      </c>
      <c r="K29" s="26"/>
      <c r="L29" s="37" t="s">
        <v>87</v>
      </c>
      <c r="M29" s="37" t="s">
        <v>71</v>
      </c>
      <c r="N29" s="39" t="s">
        <v>157</v>
      </c>
      <c r="O29" s="26"/>
      <c r="P29" s="37" t="s">
        <v>106</v>
      </c>
      <c r="Q29" s="37" t="s">
        <v>381</v>
      </c>
      <c r="R29" s="39" t="s">
        <v>225</v>
      </c>
      <c r="S29" s="26"/>
      <c r="T29" s="31">
        <v>535</v>
      </c>
      <c r="U29" s="25" t="str">
        <f>"664,8980"</f>
        <v>664,8980</v>
      </c>
      <c r="V29" s="17" t="s">
        <v>3391</v>
      </c>
    </row>
    <row r="31" spans="1:22" ht="15" x14ac:dyDescent="0.2">
      <c r="B31" s="294" t="s">
        <v>4008</v>
      </c>
      <c r="C31" s="294"/>
      <c r="D31" s="294"/>
      <c r="E31" s="294"/>
      <c r="F31" s="294"/>
      <c r="G31" s="294"/>
      <c r="H31" s="294"/>
      <c r="I31" s="294"/>
      <c r="J31" s="294"/>
      <c r="K31" s="294"/>
      <c r="L31" s="294"/>
      <c r="M31" s="294"/>
      <c r="N31" s="294"/>
      <c r="O31" s="294"/>
      <c r="P31" s="294"/>
      <c r="Q31" s="294"/>
      <c r="R31" s="294"/>
      <c r="S31" s="294"/>
      <c r="T31" s="294"/>
      <c r="U31" s="294"/>
    </row>
    <row r="32" spans="1:22" x14ac:dyDescent="0.2">
      <c r="A32" s="43">
        <v>1</v>
      </c>
      <c r="B32" s="15" t="s">
        <v>1438</v>
      </c>
      <c r="C32" s="15" t="s">
        <v>1308</v>
      </c>
      <c r="D32" s="15" t="s">
        <v>407</v>
      </c>
      <c r="E32" s="15" t="str">
        <f>"1,1438"</f>
        <v>1,1438</v>
      </c>
      <c r="F32" s="15" t="s">
        <v>4020</v>
      </c>
      <c r="G32" s="15" t="s">
        <v>796</v>
      </c>
      <c r="H32" s="38" t="s">
        <v>11</v>
      </c>
      <c r="I32" s="38" t="s">
        <v>11</v>
      </c>
      <c r="J32" s="35" t="s">
        <v>11</v>
      </c>
      <c r="K32" s="22"/>
      <c r="L32" s="35" t="s">
        <v>69</v>
      </c>
      <c r="M32" s="35" t="s">
        <v>71</v>
      </c>
      <c r="N32" s="35" t="s">
        <v>112</v>
      </c>
      <c r="O32" s="22"/>
      <c r="P32" s="35" t="s">
        <v>140</v>
      </c>
      <c r="Q32" s="35" t="s">
        <v>24</v>
      </c>
      <c r="R32" s="22"/>
      <c r="S32" s="22"/>
      <c r="T32" s="29">
        <v>525</v>
      </c>
      <c r="U32" s="21" t="str">
        <f>"600,4950"</f>
        <v>600,4950</v>
      </c>
      <c r="V32" s="15" t="s">
        <v>753</v>
      </c>
    </row>
    <row r="33" spans="1:22" x14ac:dyDescent="0.2">
      <c r="A33" s="43">
        <v>1</v>
      </c>
      <c r="B33" s="16" t="s">
        <v>1309</v>
      </c>
      <c r="C33" s="16" t="s">
        <v>1310</v>
      </c>
      <c r="D33" s="16" t="s">
        <v>173</v>
      </c>
      <c r="E33" s="16" t="str">
        <f>"1,1502"</f>
        <v>1,1502</v>
      </c>
      <c r="F33" s="16" t="s">
        <v>4020</v>
      </c>
      <c r="G33" s="16" t="s">
        <v>884</v>
      </c>
      <c r="H33" s="36" t="s">
        <v>166</v>
      </c>
      <c r="I33" s="36" t="s">
        <v>225</v>
      </c>
      <c r="J33" s="36" t="s">
        <v>135</v>
      </c>
      <c r="K33" s="24"/>
      <c r="L33" s="36" t="s">
        <v>105</v>
      </c>
      <c r="M33" s="36" t="s">
        <v>186</v>
      </c>
      <c r="N33" s="40" t="s">
        <v>126</v>
      </c>
      <c r="O33" s="24"/>
      <c r="P33" s="36" t="s">
        <v>187</v>
      </c>
      <c r="Q33" s="36" t="s">
        <v>232</v>
      </c>
      <c r="R33" s="36" t="s">
        <v>188</v>
      </c>
      <c r="S33" s="24"/>
      <c r="T33" s="30">
        <v>580</v>
      </c>
      <c r="U33" s="23" t="str">
        <f>"667,1160"</f>
        <v>667,1160</v>
      </c>
      <c r="V33" s="16" t="s">
        <v>1477</v>
      </c>
    </row>
    <row r="34" spans="1:22" x14ac:dyDescent="0.2">
      <c r="A34" s="43">
        <v>1</v>
      </c>
      <c r="B34" s="16" t="s">
        <v>1439</v>
      </c>
      <c r="C34" s="16" t="s">
        <v>1216</v>
      </c>
      <c r="D34" s="16" t="s">
        <v>22</v>
      </c>
      <c r="E34" s="16" t="str">
        <f>"1,1256"</f>
        <v>1,1256</v>
      </c>
      <c r="F34" s="112" t="s">
        <v>1491</v>
      </c>
      <c r="G34" s="16" t="s">
        <v>3209</v>
      </c>
      <c r="H34" s="36" t="s">
        <v>11</v>
      </c>
      <c r="I34" s="36" t="s">
        <v>140</v>
      </c>
      <c r="J34" s="40" t="s">
        <v>135</v>
      </c>
      <c r="K34" s="24"/>
      <c r="L34" s="36" t="s">
        <v>23</v>
      </c>
      <c r="M34" s="40" t="s">
        <v>126</v>
      </c>
      <c r="N34" s="36" t="s">
        <v>126</v>
      </c>
      <c r="O34" s="24"/>
      <c r="P34" s="36" t="s">
        <v>24</v>
      </c>
      <c r="Q34" s="36" t="s">
        <v>220</v>
      </c>
      <c r="R34" s="36" t="s">
        <v>1311</v>
      </c>
      <c r="S34" s="24"/>
      <c r="T34" s="30">
        <v>586</v>
      </c>
      <c r="U34" s="23" t="str">
        <f>"659,6016"</f>
        <v>659,6016</v>
      </c>
      <c r="V34" s="16" t="s">
        <v>3391</v>
      </c>
    </row>
    <row r="35" spans="1:22" x14ac:dyDescent="0.2">
      <c r="A35" s="43">
        <v>2</v>
      </c>
      <c r="B35" s="17" t="s">
        <v>1440</v>
      </c>
      <c r="C35" s="17" t="s">
        <v>1312</v>
      </c>
      <c r="D35" s="17" t="s">
        <v>173</v>
      </c>
      <c r="E35" s="17" t="str">
        <f>"1,1502"</f>
        <v>1,1502</v>
      </c>
      <c r="F35" s="17" t="s">
        <v>857</v>
      </c>
      <c r="G35" s="17" t="s">
        <v>884</v>
      </c>
      <c r="H35" s="37" t="s">
        <v>166</v>
      </c>
      <c r="I35" s="37" t="s">
        <v>225</v>
      </c>
      <c r="J35" s="37" t="s">
        <v>135</v>
      </c>
      <c r="K35" s="26"/>
      <c r="L35" s="37" t="s">
        <v>105</v>
      </c>
      <c r="M35" s="37" t="s">
        <v>186</v>
      </c>
      <c r="N35" s="39" t="s">
        <v>126</v>
      </c>
      <c r="O35" s="26"/>
      <c r="P35" s="37" t="s">
        <v>187</v>
      </c>
      <c r="Q35" s="37" t="s">
        <v>232</v>
      </c>
      <c r="R35" s="37" t="s">
        <v>188</v>
      </c>
      <c r="S35" s="26"/>
      <c r="T35" s="31">
        <v>580</v>
      </c>
      <c r="U35" s="25" t="str">
        <f>"676,4556"</f>
        <v>676,4556</v>
      </c>
      <c r="V35" s="17" t="s">
        <v>1477</v>
      </c>
    </row>
    <row r="37" spans="1:22" ht="15" x14ac:dyDescent="0.2">
      <c r="B37" s="294" t="s">
        <v>4009</v>
      </c>
      <c r="C37" s="294"/>
      <c r="D37" s="294"/>
      <c r="E37" s="294"/>
      <c r="F37" s="294"/>
      <c r="G37" s="294"/>
      <c r="H37" s="294"/>
      <c r="I37" s="294"/>
      <c r="J37" s="294"/>
      <c r="K37" s="294"/>
      <c r="L37" s="294"/>
      <c r="M37" s="294"/>
      <c r="N37" s="294"/>
      <c r="O37" s="294"/>
      <c r="P37" s="294"/>
      <c r="Q37" s="294"/>
      <c r="R37" s="294"/>
      <c r="S37" s="294"/>
      <c r="T37" s="294"/>
      <c r="U37" s="294"/>
    </row>
    <row r="38" spans="1:22" x14ac:dyDescent="0.2">
      <c r="A38" s="43">
        <v>1</v>
      </c>
      <c r="B38" s="15" t="s">
        <v>1441</v>
      </c>
      <c r="C38" s="15" t="s">
        <v>1313</v>
      </c>
      <c r="D38" s="15" t="s">
        <v>417</v>
      </c>
      <c r="E38" s="15" t="str">
        <f>"1,0306"</f>
        <v>1,0306</v>
      </c>
      <c r="F38" s="113" t="s">
        <v>111</v>
      </c>
      <c r="G38" s="15" t="s">
        <v>3231</v>
      </c>
      <c r="H38" s="35" t="s">
        <v>261</v>
      </c>
      <c r="I38" s="35" t="s">
        <v>35</v>
      </c>
      <c r="J38" s="35" t="s">
        <v>26</v>
      </c>
      <c r="K38" s="22"/>
      <c r="L38" s="35" t="s">
        <v>25</v>
      </c>
      <c r="M38" s="35" t="s">
        <v>141</v>
      </c>
      <c r="N38" s="35" t="s">
        <v>142</v>
      </c>
      <c r="O38" s="22"/>
      <c r="P38" s="35" t="s">
        <v>17</v>
      </c>
      <c r="Q38" s="35" t="s">
        <v>262</v>
      </c>
      <c r="R38" s="35" t="s">
        <v>1314</v>
      </c>
      <c r="S38" s="22"/>
      <c r="T38" s="29">
        <v>751</v>
      </c>
      <c r="U38" s="21" t="str">
        <f>"773,9806"</f>
        <v>773,9806</v>
      </c>
      <c r="V38" s="15" t="s">
        <v>3391</v>
      </c>
    </row>
    <row r="39" spans="1:22" x14ac:dyDescent="0.2">
      <c r="A39" s="43">
        <v>2</v>
      </c>
      <c r="B39" s="16" t="s">
        <v>1442</v>
      </c>
      <c r="C39" s="16" t="s">
        <v>1315</v>
      </c>
      <c r="D39" s="16" t="s">
        <v>201</v>
      </c>
      <c r="E39" s="16" t="str">
        <f>"1,0298"</f>
        <v>1,0298</v>
      </c>
      <c r="F39" s="16" t="s">
        <v>851</v>
      </c>
      <c r="G39" s="16" t="s">
        <v>864</v>
      </c>
      <c r="H39" s="36" t="s">
        <v>143</v>
      </c>
      <c r="I39" s="36" t="s">
        <v>246</v>
      </c>
      <c r="J39" s="36" t="s">
        <v>220</v>
      </c>
      <c r="K39" s="24"/>
      <c r="L39" s="36" t="s">
        <v>104</v>
      </c>
      <c r="M39" s="36" t="s">
        <v>116</v>
      </c>
      <c r="N39" s="36" t="s">
        <v>186</v>
      </c>
      <c r="O39" s="24"/>
      <c r="P39" s="36" t="s">
        <v>143</v>
      </c>
      <c r="Q39" s="36" t="s">
        <v>246</v>
      </c>
      <c r="R39" s="40" t="s">
        <v>144</v>
      </c>
      <c r="S39" s="24"/>
      <c r="T39" s="30">
        <v>602.5</v>
      </c>
      <c r="U39" s="23" t="str">
        <f>"620,4545"</f>
        <v>620,4545</v>
      </c>
      <c r="V39" s="16" t="s">
        <v>780</v>
      </c>
    </row>
    <row r="40" spans="1:22" x14ac:dyDescent="0.2">
      <c r="A40" s="43">
        <v>3</v>
      </c>
      <c r="B40" s="16" t="s">
        <v>1443</v>
      </c>
      <c r="C40" s="16" t="s">
        <v>1316</v>
      </c>
      <c r="D40" s="16" t="s">
        <v>1317</v>
      </c>
      <c r="E40" s="16" t="str">
        <f>"1,0612"</f>
        <v>1,0612</v>
      </c>
      <c r="F40" s="16" t="s">
        <v>1056</v>
      </c>
      <c r="G40" s="16" t="s">
        <v>891</v>
      </c>
      <c r="H40" s="36" t="s">
        <v>106</v>
      </c>
      <c r="I40" s="36" t="s">
        <v>135</v>
      </c>
      <c r="J40" s="36" t="s">
        <v>187</v>
      </c>
      <c r="K40" s="24"/>
      <c r="L40" s="36" t="s">
        <v>69</v>
      </c>
      <c r="M40" s="36" t="s">
        <v>70</v>
      </c>
      <c r="N40" s="36" t="s">
        <v>71</v>
      </c>
      <c r="O40" s="24"/>
      <c r="P40" s="36" t="s">
        <v>187</v>
      </c>
      <c r="Q40" s="40" t="s">
        <v>144</v>
      </c>
      <c r="R40" s="36" t="s">
        <v>144</v>
      </c>
      <c r="S40" s="24"/>
      <c r="T40" s="30">
        <v>565</v>
      </c>
      <c r="U40" s="23" t="str">
        <f>"599,5780"</f>
        <v>599,5780</v>
      </c>
      <c r="V40" s="16" t="s">
        <v>1478</v>
      </c>
    </row>
    <row r="41" spans="1:22" x14ac:dyDescent="0.2">
      <c r="B41" s="16" t="s">
        <v>1318</v>
      </c>
      <c r="C41" s="16" t="s">
        <v>1319</v>
      </c>
      <c r="D41" s="16" t="s">
        <v>1320</v>
      </c>
      <c r="E41" s="16" t="str">
        <f>"1,0708"</f>
        <v>1,0708</v>
      </c>
      <c r="F41" s="16" t="s">
        <v>851</v>
      </c>
      <c r="G41" s="16" t="s">
        <v>864</v>
      </c>
      <c r="H41" s="40" t="s">
        <v>107</v>
      </c>
      <c r="I41" s="36" t="s">
        <v>107</v>
      </c>
      <c r="J41" s="40" t="s">
        <v>24</v>
      </c>
      <c r="K41" s="24"/>
      <c r="L41" s="36" t="s">
        <v>116</v>
      </c>
      <c r="M41" s="36" t="s">
        <v>574</v>
      </c>
      <c r="N41" s="36" t="s">
        <v>148</v>
      </c>
      <c r="O41" s="24"/>
      <c r="P41" s="40" t="s">
        <v>143</v>
      </c>
      <c r="Q41" s="40" t="s">
        <v>296</v>
      </c>
      <c r="R41" s="40" t="s">
        <v>232</v>
      </c>
      <c r="S41" s="24"/>
      <c r="T41" s="47">
        <v>0</v>
      </c>
      <c r="U41" s="23" t="s">
        <v>720</v>
      </c>
      <c r="V41" s="16" t="s">
        <v>1479</v>
      </c>
    </row>
    <row r="42" spans="1:22" ht="12" customHeight="1" x14ac:dyDescent="0.2">
      <c r="B42" s="16" t="s">
        <v>1321</v>
      </c>
      <c r="C42" s="16" t="s">
        <v>1322</v>
      </c>
      <c r="D42" s="16" t="s">
        <v>1218</v>
      </c>
      <c r="E42" s="16" t="str">
        <f>"1,0406"</f>
        <v>1,0406</v>
      </c>
      <c r="F42" s="16" t="s">
        <v>4020</v>
      </c>
      <c r="G42" s="16" t="s">
        <v>850</v>
      </c>
      <c r="H42" s="40" t="s">
        <v>253</v>
      </c>
      <c r="I42" s="40" t="s">
        <v>660</v>
      </c>
      <c r="J42" s="40" t="s">
        <v>660</v>
      </c>
      <c r="K42" s="24"/>
      <c r="L42" s="40"/>
      <c r="M42" s="24"/>
      <c r="N42" s="24"/>
      <c r="O42" s="24"/>
      <c r="P42" s="40"/>
      <c r="Q42" s="24"/>
      <c r="R42" s="24"/>
      <c r="S42" s="24"/>
      <c r="T42" s="47">
        <v>0</v>
      </c>
      <c r="U42" s="23" t="s">
        <v>720</v>
      </c>
      <c r="V42" s="16" t="s">
        <v>1480</v>
      </c>
    </row>
    <row r="43" spans="1:22" x14ac:dyDescent="0.2">
      <c r="A43" s="43">
        <v>1</v>
      </c>
      <c r="B43" s="16" t="s">
        <v>1444</v>
      </c>
      <c r="C43" s="16" t="s">
        <v>1217</v>
      </c>
      <c r="D43" s="16" t="s">
        <v>1218</v>
      </c>
      <c r="E43" s="16" t="str">
        <f>"1,0406"</f>
        <v>1,0406</v>
      </c>
      <c r="F43" s="16" t="s">
        <v>4020</v>
      </c>
      <c r="G43" s="16" t="s">
        <v>796</v>
      </c>
      <c r="H43" s="36" t="s">
        <v>1110</v>
      </c>
      <c r="I43" s="40" t="s">
        <v>1323</v>
      </c>
      <c r="J43" s="40" t="s">
        <v>1323</v>
      </c>
      <c r="K43" s="24"/>
      <c r="L43" s="36" t="s">
        <v>142</v>
      </c>
      <c r="M43" s="36" t="s">
        <v>260</v>
      </c>
      <c r="N43" s="40" t="s">
        <v>206</v>
      </c>
      <c r="O43" s="24"/>
      <c r="P43" s="36" t="s">
        <v>274</v>
      </c>
      <c r="Q43" s="36" t="s">
        <v>275</v>
      </c>
      <c r="R43" s="36" t="s">
        <v>1151</v>
      </c>
      <c r="S43" s="40" t="s">
        <v>1110</v>
      </c>
      <c r="T43" s="30">
        <v>832.5</v>
      </c>
      <c r="U43" s="23" t="str">
        <f>"866,2995"</f>
        <v>866,2995</v>
      </c>
      <c r="V43" s="16" t="s">
        <v>1243</v>
      </c>
    </row>
    <row r="44" spans="1:22" x14ac:dyDescent="0.2">
      <c r="A44" s="43">
        <v>2</v>
      </c>
      <c r="B44" s="16" t="s">
        <v>1445</v>
      </c>
      <c r="C44" s="16" t="s">
        <v>1324</v>
      </c>
      <c r="D44" s="16" t="s">
        <v>426</v>
      </c>
      <c r="E44" s="16" t="str">
        <f>"1,0398"</f>
        <v>1,0398</v>
      </c>
      <c r="F44" s="16" t="s">
        <v>4020</v>
      </c>
      <c r="G44" s="16" t="s">
        <v>3217</v>
      </c>
      <c r="H44" s="36" t="s">
        <v>17</v>
      </c>
      <c r="I44" s="36" t="s">
        <v>35</v>
      </c>
      <c r="J44" s="36" t="s">
        <v>26</v>
      </c>
      <c r="K44" s="24"/>
      <c r="L44" s="36" t="s">
        <v>11</v>
      </c>
      <c r="M44" s="40" t="s">
        <v>106</v>
      </c>
      <c r="N44" s="40" t="s">
        <v>106</v>
      </c>
      <c r="O44" s="24"/>
      <c r="P44" s="36" t="s">
        <v>35</v>
      </c>
      <c r="Q44" s="36" t="s">
        <v>26</v>
      </c>
      <c r="R44" s="36" t="s">
        <v>287</v>
      </c>
      <c r="S44" s="24"/>
      <c r="T44" s="30">
        <v>750</v>
      </c>
      <c r="U44" s="23" t="str">
        <f>"779,8500"</f>
        <v>779,8500</v>
      </c>
      <c r="V44" s="16" t="s">
        <v>1481</v>
      </c>
    </row>
    <row r="45" spans="1:22" x14ac:dyDescent="0.2">
      <c r="A45" s="43">
        <v>3</v>
      </c>
      <c r="B45" s="16" t="s">
        <v>1249</v>
      </c>
      <c r="C45" s="16" t="s">
        <v>1219</v>
      </c>
      <c r="D45" s="16" t="s">
        <v>420</v>
      </c>
      <c r="E45" s="16" t="str">
        <f>"1,0356"</f>
        <v>1,0356</v>
      </c>
      <c r="F45" s="112" t="s">
        <v>1491</v>
      </c>
      <c r="G45" s="16" t="s">
        <v>3212</v>
      </c>
      <c r="H45" s="36" t="s">
        <v>262</v>
      </c>
      <c r="I45" s="36" t="s">
        <v>926</v>
      </c>
      <c r="J45" s="40" t="s">
        <v>1325</v>
      </c>
      <c r="K45" s="24"/>
      <c r="L45" s="36" t="s">
        <v>116</v>
      </c>
      <c r="M45" s="36" t="s">
        <v>126</v>
      </c>
      <c r="N45" s="36" t="s">
        <v>574</v>
      </c>
      <c r="O45" s="24"/>
      <c r="P45" s="36" t="s">
        <v>17</v>
      </c>
      <c r="Q45" s="40" t="s">
        <v>35</v>
      </c>
      <c r="R45" s="36" t="s">
        <v>35</v>
      </c>
      <c r="S45" s="24"/>
      <c r="T45" s="30">
        <v>712.5</v>
      </c>
      <c r="U45" s="23" t="str">
        <f>"737,8650"</f>
        <v>737,8650</v>
      </c>
      <c r="V45" s="16" t="s">
        <v>3207</v>
      </c>
    </row>
    <row r="46" spans="1:22" x14ac:dyDescent="0.2">
      <c r="A46" s="43">
        <v>4</v>
      </c>
      <c r="B46" s="16" t="s">
        <v>1326</v>
      </c>
      <c r="C46" s="16" t="s">
        <v>1327</v>
      </c>
      <c r="D46" s="16" t="s">
        <v>1328</v>
      </c>
      <c r="E46" s="16" t="str">
        <f>"1,0290"</f>
        <v>1,0290</v>
      </c>
      <c r="F46" s="16" t="s">
        <v>1056</v>
      </c>
      <c r="G46" s="16" t="s">
        <v>808</v>
      </c>
      <c r="H46" s="36" t="s">
        <v>17</v>
      </c>
      <c r="I46" s="40" t="s">
        <v>35</v>
      </c>
      <c r="J46" s="40" t="s">
        <v>16</v>
      </c>
      <c r="K46" s="24"/>
      <c r="L46" s="36" t="s">
        <v>148</v>
      </c>
      <c r="M46" s="36" t="s">
        <v>149</v>
      </c>
      <c r="N46" s="40" t="s">
        <v>155</v>
      </c>
      <c r="O46" s="24"/>
      <c r="P46" s="36" t="s">
        <v>35</v>
      </c>
      <c r="Q46" s="36" t="s">
        <v>262</v>
      </c>
      <c r="R46" s="40" t="s">
        <v>1329</v>
      </c>
      <c r="S46" s="24"/>
      <c r="T46" s="30">
        <v>702.5</v>
      </c>
      <c r="U46" s="23" t="str">
        <f>"722,8725"</f>
        <v>722,8725</v>
      </c>
      <c r="V46" s="16" t="s">
        <v>1482</v>
      </c>
    </row>
    <row r="47" spans="1:22" x14ac:dyDescent="0.2">
      <c r="A47" s="43">
        <v>5</v>
      </c>
      <c r="B47" s="16" t="s">
        <v>1250</v>
      </c>
      <c r="C47" s="16" t="s">
        <v>1221</v>
      </c>
      <c r="D47" s="16" t="s">
        <v>1222</v>
      </c>
      <c r="E47" s="16" t="str">
        <f>"1,0348"</f>
        <v>1,0348</v>
      </c>
      <c r="F47" s="16" t="s">
        <v>4020</v>
      </c>
      <c r="G47" s="16" t="s">
        <v>3201</v>
      </c>
      <c r="H47" s="36" t="s">
        <v>208</v>
      </c>
      <c r="I47" s="40" t="s">
        <v>35</v>
      </c>
      <c r="J47" s="40" t="s">
        <v>35</v>
      </c>
      <c r="K47" s="24"/>
      <c r="L47" s="36" t="s">
        <v>126</v>
      </c>
      <c r="M47" s="36" t="s">
        <v>25</v>
      </c>
      <c r="N47" s="23" t="s">
        <v>141</v>
      </c>
      <c r="O47" s="24"/>
      <c r="P47" s="36" t="s">
        <v>246</v>
      </c>
      <c r="Q47" s="36" t="s">
        <v>220</v>
      </c>
      <c r="R47" s="36" t="s">
        <v>253</v>
      </c>
      <c r="S47" s="24"/>
      <c r="T47" s="30">
        <v>650</v>
      </c>
      <c r="U47" s="23" t="str">
        <f>"672,6200"</f>
        <v>672,6200</v>
      </c>
      <c r="V47" s="16" t="s">
        <v>3391</v>
      </c>
    </row>
    <row r="48" spans="1:22" x14ac:dyDescent="0.2">
      <c r="A48" s="43">
        <v>6</v>
      </c>
      <c r="B48" s="16" t="s">
        <v>1446</v>
      </c>
      <c r="C48" s="16" t="s">
        <v>1223</v>
      </c>
      <c r="D48" s="16" t="s">
        <v>201</v>
      </c>
      <c r="E48" s="16" t="str">
        <f>"1,0298"</f>
        <v>1,0298</v>
      </c>
      <c r="F48" s="16" t="s">
        <v>857</v>
      </c>
      <c r="G48" s="16" t="s">
        <v>796</v>
      </c>
      <c r="H48" s="36" t="s">
        <v>187</v>
      </c>
      <c r="I48" s="40" t="s">
        <v>232</v>
      </c>
      <c r="J48" s="40" t="s">
        <v>232</v>
      </c>
      <c r="K48" s="24"/>
      <c r="L48" s="36" t="s">
        <v>186</v>
      </c>
      <c r="M48" s="36" t="s">
        <v>574</v>
      </c>
      <c r="N48" s="40" t="s">
        <v>36</v>
      </c>
      <c r="O48" s="24"/>
      <c r="P48" s="36" t="s">
        <v>24</v>
      </c>
      <c r="Q48" s="36" t="s">
        <v>400</v>
      </c>
      <c r="R48" s="40" t="s">
        <v>144</v>
      </c>
      <c r="S48" s="24"/>
      <c r="T48" s="30">
        <v>590</v>
      </c>
      <c r="U48" s="23" t="str">
        <f>"607,5820"</f>
        <v>607,5820</v>
      </c>
      <c r="V48" s="16" t="s">
        <v>3391</v>
      </c>
    </row>
    <row r="49" spans="1:22" x14ac:dyDescent="0.2">
      <c r="B49" s="16" t="s">
        <v>1318</v>
      </c>
      <c r="C49" s="16" t="s">
        <v>1330</v>
      </c>
      <c r="D49" s="16" t="s">
        <v>1320</v>
      </c>
      <c r="E49" s="16" t="str">
        <f>"1,0708"</f>
        <v>1,0708</v>
      </c>
      <c r="F49" s="16" t="s">
        <v>851</v>
      </c>
      <c r="G49" s="16" t="s">
        <v>3213</v>
      </c>
      <c r="H49" s="40" t="s">
        <v>107</v>
      </c>
      <c r="I49" s="36" t="s">
        <v>107</v>
      </c>
      <c r="J49" s="40" t="s">
        <v>24</v>
      </c>
      <c r="K49" s="24"/>
      <c r="L49" s="36" t="s">
        <v>116</v>
      </c>
      <c r="M49" s="36" t="s">
        <v>574</v>
      </c>
      <c r="N49" s="36" t="s">
        <v>148</v>
      </c>
      <c r="O49" s="24"/>
      <c r="P49" s="40" t="s">
        <v>143</v>
      </c>
      <c r="Q49" s="40" t="s">
        <v>296</v>
      </c>
      <c r="R49" s="40" t="s">
        <v>232</v>
      </c>
      <c r="S49" s="24"/>
      <c r="T49" s="47">
        <v>0</v>
      </c>
      <c r="U49" s="23" t="s">
        <v>720</v>
      </c>
      <c r="V49" s="16" t="s">
        <v>1479</v>
      </c>
    </row>
    <row r="50" spans="1:22" x14ac:dyDescent="0.2">
      <c r="A50" s="43">
        <v>1</v>
      </c>
      <c r="B50" s="16" t="s">
        <v>1447</v>
      </c>
      <c r="C50" s="16" t="s">
        <v>1331</v>
      </c>
      <c r="D50" s="16" t="s">
        <v>1328</v>
      </c>
      <c r="E50" s="16" t="str">
        <f>"1,0290"</f>
        <v>1,0290</v>
      </c>
      <c r="F50" s="16" t="s">
        <v>1056</v>
      </c>
      <c r="G50" s="16" t="s">
        <v>808</v>
      </c>
      <c r="H50" s="36" t="s">
        <v>17</v>
      </c>
      <c r="I50" s="40" t="s">
        <v>35</v>
      </c>
      <c r="J50" s="40" t="s">
        <v>16</v>
      </c>
      <c r="K50" s="24"/>
      <c r="L50" s="36" t="s">
        <v>148</v>
      </c>
      <c r="M50" s="36" t="s">
        <v>149</v>
      </c>
      <c r="N50" s="40" t="s">
        <v>155</v>
      </c>
      <c r="O50" s="24"/>
      <c r="P50" s="36" t="s">
        <v>35</v>
      </c>
      <c r="Q50" s="36" t="s">
        <v>262</v>
      </c>
      <c r="R50" s="40" t="s">
        <v>1329</v>
      </c>
      <c r="S50" s="24"/>
      <c r="T50" s="30">
        <v>702.5</v>
      </c>
      <c r="U50" s="23" t="str">
        <f>"726,4869"</f>
        <v>726,4869</v>
      </c>
      <c r="V50" s="16" t="s">
        <v>1482</v>
      </c>
    </row>
    <row r="51" spans="1:22" x14ac:dyDescent="0.2">
      <c r="A51" s="43">
        <v>2</v>
      </c>
      <c r="B51" s="16" t="s">
        <v>1448</v>
      </c>
      <c r="C51" s="16" t="s">
        <v>1332</v>
      </c>
      <c r="D51" s="16" t="s">
        <v>198</v>
      </c>
      <c r="E51" s="16" t="str">
        <f>"1,0340"</f>
        <v>1,0340</v>
      </c>
      <c r="F51" s="16" t="s">
        <v>4020</v>
      </c>
      <c r="G51" s="16" t="s">
        <v>796</v>
      </c>
      <c r="H51" s="36" t="s">
        <v>11</v>
      </c>
      <c r="I51" s="36" t="s">
        <v>107</v>
      </c>
      <c r="J51" s="36" t="s">
        <v>135</v>
      </c>
      <c r="K51" s="24"/>
      <c r="L51" s="36" t="s">
        <v>126</v>
      </c>
      <c r="M51" s="36" t="s">
        <v>36</v>
      </c>
      <c r="N51" s="40" t="s">
        <v>25</v>
      </c>
      <c r="O51" s="24"/>
      <c r="P51" s="40" t="s">
        <v>11</v>
      </c>
      <c r="Q51" s="36" t="s">
        <v>11</v>
      </c>
      <c r="R51" s="36" t="s">
        <v>166</v>
      </c>
      <c r="S51" s="24"/>
      <c r="T51" s="30">
        <v>550</v>
      </c>
      <c r="U51" s="23" t="str">
        <f>"576,6618"</f>
        <v>576,6618</v>
      </c>
      <c r="V51" s="16" t="s">
        <v>3391</v>
      </c>
    </row>
    <row r="52" spans="1:22" x14ac:dyDescent="0.2">
      <c r="A52" s="43">
        <v>1</v>
      </c>
      <c r="B52" s="16" t="s">
        <v>1449</v>
      </c>
      <c r="C52" s="16" t="s">
        <v>1333</v>
      </c>
      <c r="D52" s="16" t="s">
        <v>192</v>
      </c>
      <c r="E52" s="16" t="str">
        <f>"1,0428"</f>
        <v>1,0428</v>
      </c>
      <c r="F52" s="16" t="s">
        <v>860</v>
      </c>
      <c r="G52" s="16" t="s">
        <v>796</v>
      </c>
      <c r="H52" s="36" t="s">
        <v>106</v>
      </c>
      <c r="I52" s="36" t="s">
        <v>140</v>
      </c>
      <c r="J52" s="40" t="s">
        <v>143</v>
      </c>
      <c r="K52" s="24"/>
      <c r="L52" s="40" t="s">
        <v>112</v>
      </c>
      <c r="M52" s="36" t="s">
        <v>112</v>
      </c>
      <c r="N52" s="36" t="s">
        <v>104</v>
      </c>
      <c r="O52" s="24"/>
      <c r="P52" s="36" t="s">
        <v>140</v>
      </c>
      <c r="Q52" s="36" t="s">
        <v>143</v>
      </c>
      <c r="R52" s="40" t="s">
        <v>24</v>
      </c>
      <c r="S52" s="24"/>
      <c r="T52" s="30">
        <v>540</v>
      </c>
      <c r="U52" s="23" t="str">
        <f>"627,3067"</f>
        <v>627,3067</v>
      </c>
      <c r="V52" s="16" t="s">
        <v>729</v>
      </c>
    </row>
    <row r="53" spans="1:22" x14ac:dyDescent="0.2">
      <c r="A53" s="43">
        <v>1</v>
      </c>
      <c r="B53" s="17" t="s">
        <v>1450</v>
      </c>
      <c r="C53" s="17" t="s">
        <v>1334</v>
      </c>
      <c r="D53" s="17" t="s">
        <v>545</v>
      </c>
      <c r="E53" s="17" t="str">
        <f>"1,0328"</f>
        <v>1,0328</v>
      </c>
      <c r="F53" s="17" t="s">
        <v>464</v>
      </c>
      <c r="G53" s="17" t="s">
        <v>824</v>
      </c>
      <c r="H53" s="37" t="s">
        <v>36</v>
      </c>
      <c r="I53" s="37" t="s">
        <v>106</v>
      </c>
      <c r="J53" s="39" t="s">
        <v>225</v>
      </c>
      <c r="K53" s="26"/>
      <c r="L53" s="37" t="s">
        <v>81</v>
      </c>
      <c r="M53" s="37" t="s">
        <v>65</v>
      </c>
      <c r="N53" s="37" t="s">
        <v>1335</v>
      </c>
      <c r="O53" s="37" t="s">
        <v>1336</v>
      </c>
      <c r="P53" s="37" t="s">
        <v>116</v>
      </c>
      <c r="Q53" s="37" t="s">
        <v>155</v>
      </c>
      <c r="R53" s="26"/>
      <c r="S53" s="26"/>
      <c r="T53" s="31">
        <v>450.5</v>
      </c>
      <c r="U53" s="25" t="str">
        <f>"535,0678"</f>
        <v>535,0678</v>
      </c>
      <c r="V53" s="17" t="s">
        <v>3391</v>
      </c>
    </row>
    <row r="55" spans="1:22" ht="15" x14ac:dyDescent="0.2">
      <c r="B55" s="294" t="s">
        <v>4010</v>
      </c>
      <c r="C55" s="294"/>
      <c r="D55" s="294"/>
      <c r="E55" s="294"/>
      <c r="F55" s="294"/>
      <c r="G55" s="294"/>
      <c r="H55" s="294"/>
      <c r="I55" s="294"/>
      <c r="J55" s="294"/>
      <c r="K55" s="294"/>
      <c r="L55" s="294"/>
      <c r="M55" s="294"/>
      <c r="N55" s="294"/>
      <c r="O55" s="294"/>
      <c r="P55" s="294"/>
      <c r="Q55" s="294"/>
      <c r="R55" s="294"/>
      <c r="S55" s="294"/>
      <c r="T55" s="294"/>
      <c r="U55" s="294"/>
    </row>
    <row r="56" spans="1:22" x14ac:dyDescent="0.2">
      <c r="A56" s="43">
        <v>1</v>
      </c>
      <c r="B56" s="15" t="s">
        <v>1451</v>
      </c>
      <c r="C56" s="15" t="s">
        <v>1337</v>
      </c>
      <c r="D56" s="15" t="s">
        <v>564</v>
      </c>
      <c r="E56" s="15" t="str">
        <f>"0,9704"</f>
        <v>0,9704</v>
      </c>
      <c r="F56" s="15" t="s">
        <v>831</v>
      </c>
      <c r="G56" s="15" t="s">
        <v>3218</v>
      </c>
      <c r="H56" s="35" t="s">
        <v>144</v>
      </c>
      <c r="I56" s="35" t="s">
        <v>37</v>
      </c>
      <c r="J56" s="35" t="s">
        <v>17</v>
      </c>
      <c r="K56" s="22"/>
      <c r="L56" s="35" t="s">
        <v>126</v>
      </c>
      <c r="M56" s="35" t="s">
        <v>25</v>
      </c>
      <c r="N56" s="35" t="s">
        <v>127</v>
      </c>
      <c r="O56" s="22"/>
      <c r="P56" s="35" t="s">
        <v>37</v>
      </c>
      <c r="Q56" s="35" t="s">
        <v>15</v>
      </c>
      <c r="R56" s="38" t="s">
        <v>26</v>
      </c>
      <c r="S56" s="22"/>
      <c r="T56" s="29">
        <v>685</v>
      </c>
      <c r="U56" s="21" t="str">
        <f>"664,7240"</f>
        <v>664,7240</v>
      </c>
      <c r="V56" s="15" t="s">
        <v>3391</v>
      </c>
    </row>
    <row r="57" spans="1:22" x14ac:dyDescent="0.2">
      <c r="A57" s="43">
        <v>1</v>
      </c>
      <c r="B57" s="16" t="s">
        <v>1452</v>
      </c>
      <c r="C57" s="16" t="s">
        <v>1338</v>
      </c>
      <c r="D57" s="16" t="s">
        <v>1263</v>
      </c>
      <c r="E57" s="16" t="str">
        <f>"0,9694"</f>
        <v>0,9694</v>
      </c>
      <c r="F57" s="16" t="s">
        <v>4020</v>
      </c>
      <c r="G57" s="16" t="s">
        <v>807</v>
      </c>
      <c r="H57" s="36" t="s">
        <v>26</v>
      </c>
      <c r="I57" s="36" t="s">
        <v>926</v>
      </c>
      <c r="J57" s="36" t="s">
        <v>1339</v>
      </c>
      <c r="K57" s="24"/>
      <c r="L57" s="36" t="s">
        <v>127</v>
      </c>
      <c r="M57" s="36" t="s">
        <v>156</v>
      </c>
      <c r="N57" s="36" t="s">
        <v>206</v>
      </c>
      <c r="O57" s="24"/>
      <c r="P57" s="36" t="s">
        <v>26</v>
      </c>
      <c r="Q57" s="36" t="s">
        <v>274</v>
      </c>
      <c r="R57" s="40" t="s">
        <v>1340</v>
      </c>
      <c r="S57" s="24"/>
      <c r="T57" s="30">
        <v>785</v>
      </c>
      <c r="U57" s="23" t="str">
        <f>"760,9790"</f>
        <v>760,9790</v>
      </c>
      <c r="V57" s="16" t="s">
        <v>1483</v>
      </c>
    </row>
    <row r="58" spans="1:22" x14ac:dyDescent="0.2">
      <c r="A58" s="43">
        <v>2</v>
      </c>
      <c r="B58" s="16" t="s">
        <v>1453</v>
      </c>
      <c r="C58" s="16" t="s">
        <v>1341</v>
      </c>
      <c r="D58" s="16" t="s">
        <v>1342</v>
      </c>
      <c r="E58" s="16" t="str">
        <f>"0,9830"</f>
        <v>0,9830</v>
      </c>
      <c r="F58" s="16" t="s">
        <v>4020</v>
      </c>
      <c r="G58" s="16" t="s">
        <v>3219</v>
      </c>
      <c r="H58" s="36" t="s">
        <v>16</v>
      </c>
      <c r="I58" s="36" t="s">
        <v>926</v>
      </c>
      <c r="J58" s="40" t="s">
        <v>274</v>
      </c>
      <c r="K58" s="24"/>
      <c r="L58" s="36" t="s">
        <v>11</v>
      </c>
      <c r="M58" s="36" t="s">
        <v>107</v>
      </c>
      <c r="N58" s="40" t="s">
        <v>166</v>
      </c>
      <c r="O58" s="24"/>
      <c r="P58" s="36" t="s">
        <v>16</v>
      </c>
      <c r="Q58" s="36" t="s">
        <v>262</v>
      </c>
      <c r="R58" s="36" t="s">
        <v>287</v>
      </c>
      <c r="S58" s="24"/>
      <c r="T58" s="30">
        <v>775</v>
      </c>
      <c r="U58" s="23" t="str">
        <f>"761,8250"</f>
        <v>761,8250</v>
      </c>
      <c r="V58" s="16" t="s">
        <v>1484</v>
      </c>
    </row>
    <row r="59" spans="1:22" x14ac:dyDescent="0.2">
      <c r="A59" s="43">
        <v>3</v>
      </c>
      <c r="B59" s="16" t="s">
        <v>1454</v>
      </c>
      <c r="C59" s="16" t="s">
        <v>1343</v>
      </c>
      <c r="D59" s="16" t="s">
        <v>463</v>
      </c>
      <c r="E59" s="16" t="str">
        <f>"0,9900"</f>
        <v>0,9900</v>
      </c>
      <c r="F59" s="16" t="s">
        <v>4020</v>
      </c>
      <c r="G59" s="16" t="s">
        <v>3220</v>
      </c>
      <c r="H59" s="36" t="s">
        <v>220</v>
      </c>
      <c r="I59" s="36" t="s">
        <v>37</v>
      </c>
      <c r="J59" s="40" t="s">
        <v>374</v>
      </c>
      <c r="K59" s="24"/>
      <c r="L59" s="36" t="s">
        <v>141</v>
      </c>
      <c r="M59" s="36" t="s">
        <v>156</v>
      </c>
      <c r="N59" s="36" t="s">
        <v>206</v>
      </c>
      <c r="O59" s="24"/>
      <c r="P59" s="36" t="s">
        <v>37</v>
      </c>
      <c r="Q59" s="36" t="s">
        <v>16</v>
      </c>
      <c r="R59" s="36" t="s">
        <v>926</v>
      </c>
      <c r="S59" s="24"/>
      <c r="T59" s="30">
        <v>727.5</v>
      </c>
      <c r="U59" s="23" t="str">
        <f>"720,2250"</f>
        <v>720,2250</v>
      </c>
      <c r="V59" s="16" t="s">
        <v>1483</v>
      </c>
    </row>
    <row r="60" spans="1:22" x14ac:dyDescent="0.2">
      <c r="A60" s="43">
        <v>4</v>
      </c>
      <c r="B60" s="16" t="s">
        <v>1455</v>
      </c>
      <c r="C60" s="16" t="s">
        <v>1344</v>
      </c>
      <c r="D60" s="16" t="s">
        <v>211</v>
      </c>
      <c r="E60" s="16" t="str">
        <f>"0,9964"</f>
        <v>0,9964</v>
      </c>
      <c r="F60" s="16" t="s">
        <v>854</v>
      </c>
      <c r="G60" s="16" t="s">
        <v>3221</v>
      </c>
      <c r="H60" s="36" t="s">
        <v>135</v>
      </c>
      <c r="I60" s="36" t="s">
        <v>187</v>
      </c>
      <c r="J60" s="36" t="s">
        <v>246</v>
      </c>
      <c r="K60" s="24"/>
      <c r="L60" s="36" t="s">
        <v>23</v>
      </c>
      <c r="M60" s="36" t="s">
        <v>126</v>
      </c>
      <c r="N60" s="36" t="s">
        <v>36</v>
      </c>
      <c r="O60" s="24"/>
      <c r="P60" s="36" t="s">
        <v>17</v>
      </c>
      <c r="Q60" s="49" t="s">
        <v>16</v>
      </c>
      <c r="R60" s="36" t="s">
        <v>16</v>
      </c>
      <c r="S60" s="24"/>
      <c r="T60" s="30">
        <v>650</v>
      </c>
      <c r="U60" s="23" t="str">
        <f>"647,6600"</f>
        <v>647,6600</v>
      </c>
      <c r="V60" s="16" t="s">
        <v>775</v>
      </c>
    </row>
    <row r="61" spans="1:22" x14ac:dyDescent="0.2">
      <c r="A61" s="43">
        <v>5</v>
      </c>
      <c r="B61" s="16" t="s">
        <v>1456</v>
      </c>
      <c r="C61" s="16" t="s">
        <v>1345</v>
      </c>
      <c r="D61" s="16" t="s">
        <v>566</v>
      </c>
      <c r="E61" s="16" t="str">
        <f>"0,9782"</f>
        <v>0,9782</v>
      </c>
      <c r="F61" s="16" t="s">
        <v>1491</v>
      </c>
      <c r="G61" s="16" t="s">
        <v>3222</v>
      </c>
      <c r="H61" s="36" t="s">
        <v>24</v>
      </c>
      <c r="I61" s="36" t="s">
        <v>188</v>
      </c>
      <c r="J61" s="40" t="s">
        <v>253</v>
      </c>
      <c r="K61" s="24"/>
      <c r="L61" s="36" t="s">
        <v>116</v>
      </c>
      <c r="M61" s="36" t="s">
        <v>126</v>
      </c>
      <c r="N61" s="40" t="s">
        <v>36</v>
      </c>
      <c r="O61" s="24"/>
      <c r="P61" s="36" t="s">
        <v>24</v>
      </c>
      <c r="Q61" s="40" t="s">
        <v>144</v>
      </c>
      <c r="R61" s="40" t="s">
        <v>144</v>
      </c>
      <c r="S61" s="24"/>
      <c r="T61" s="30">
        <v>597.5</v>
      </c>
      <c r="U61" s="23" t="str">
        <f>"584,4745"</f>
        <v>584,4745</v>
      </c>
      <c r="V61" s="16" t="s">
        <v>3391</v>
      </c>
    </row>
    <row r="62" spans="1:22" x14ac:dyDescent="0.2">
      <c r="A62" s="43">
        <v>1</v>
      </c>
      <c r="B62" s="16" t="s">
        <v>1457</v>
      </c>
      <c r="C62" s="16" t="s">
        <v>1346</v>
      </c>
      <c r="D62" s="16" t="s">
        <v>1347</v>
      </c>
      <c r="E62" s="16" t="str">
        <f>"0,9728"</f>
        <v>0,9728</v>
      </c>
      <c r="F62" s="16" t="s">
        <v>4020</v>
      </c>
      <c r="G62" s="16" t="s">
        <v>799</v>
      </c>
      <c r="H62" s="36" t="s">
        <v>140</v>
      </c>
      <c r="I62" s="40" t="s">
        <v>187</v>
      </c>
      <c r="J62" s="36" t="s">
        <v>187</v>
      </c>
      <c r="K62" s="24"/>
      <c r="L62" s="36" t="s">
        <v>36</v>
      </c>
      <c r="M62" s="36" t="s">
        <v>127</v>
      </c>
      <c r="N62" s="36" t="s">
        <v>142</v>
      </c>
      <c r="O62" s="24"/>
      <c r="P62" s="36" t="s">
        <v>187</v>
      </c>
      <c r="Q62" s="36" t="s">
        <v>220</v>
      </c>
      <c r="R62" s="40" t="s">
        <v>37</v>
      </c>
      <c r="S62" s="24"/>
      <c r="T62" s="30">
        <v>620</v>
      </c>
      <c r="U62" s="23" t="str">
        <f>"611,5799"</f>
        <v>611,5799</v>
      </c>
      <c r="V62" s="16" t="s">
        <v>3391</v>
      </c>
    </row>
    <row r="63" spans="1:22" x14ac:dyDescent="0.2">
      <c r="A63" s="43">
        <v>1</v>
      </c>
      <c r="B63" s="17" t="s">
        <v>1458</v>
      </c>
      <c r="C63" s="17" t="s">
        <v>462</v>
      </c>
      <c r="D63" s="17" t="s">
        <v>445</v>
      </c>
      <c r="E63" s="17" t="str">
        <f>"0,9924"</f>
        <v>0,9924</v>
      </c>
      <c r="F63" s="17" t="s">
        <v>464</v>
      </c>
      <c r="G63" s="17" t="s">
        <v>3214</v>
      </c>
      <c r="H63" s="37" t="s">
        <v>127</v>
      </c>
      <c r="I63" s="37" t="s">
        <v>142</v>
      </c>
      <c r="J63" s="37" t="s">
        <v>11</v>
      </c>
      <c r="K63" s="26"/>
      <c r="L63" s="37" t="s">
        <v>46</v>
      </c>
      <c r="M63" s="37" t="s">
        <v>61</v>
      </c>
      <c r="N63" s="39" t="s">
        <v>76</v>
      </c>
      <c r="O63" s="26"/>
      <c r="P63" s="37" t="s">
        <v>127</v>
      </c>
      <c r="Q63" s="37" t="s">
        <v>11</v>
      </c>
      <c r="R63" s="37" t="s">
        <v>166</v>
      </c>
      <c r="S63" s="26"/>
      <c r="T63" s="31">
        <v>470</v>
      </c>
      <c r="U63" s="25" t="str">
        <f>"536,3922"</f>
        <v>536,3922</v>
      </c>
      <c r="V63" s="17" t="s">
        <v>3391</v>
      </c>
    </row>
    <row r="65" spans="1:22" ht="15" x14ac:dyDescent="0.2">
      <c r="B65" s="294" t="s">
        <v>4011</v>
      </c>
      <c r="C65" s="294"/>
      <c r="D65" s="294"/>
      <c r="E65" s="294"/>
      <c r="F65" s="294"/>
      <c r="G65" s="294"/>
      <c r="H65" s="294"/>
      <c r="I65" s="294"/>
      <c r="J65" s="294"/>
      <c r="K65" s="294"/>
      <c r="L65" s="294"/>
      <c r="M65" s="294"/>
      <c r="N65" s="294"/>
      <c r="O65" s="294"/>
      <c r="P65" s="294"/>
      <c r="Q65" s="294"/>
      <c r="R65" s="294"/>
      <c r="S65" s="294"/>
      <c r="T65" s="294"/>
      <c r="U65" s="294"/>
    </row>
    <row r="66" spans="1:22" x14ac:dyDescent="0.2">
      <c r="B66" s="15" t="s">
        <v>1348</v>
      </c>
      <c r="C66" s="15" t="s">
        <v>1349</v>
      </c>
      <c r="D66" s="15" t="s">
        <v>1350</v>
      </c>
      <c r="E66" s="15" t="str">
        <f>"0,9166"</f>
        <v>0,9166</v>
      </c>
      <c r="F66" s="15" t="s">
        <v>4020</v>
      </c>
      <c r="G66" s="15" t="s">
        <v>801</v>
      </c>
      <c r="H66" s="35" t="s">
        <v>253</v>
      </c>
      <c r="I66" s="35" t="s">
        <v>37</v>
      </c>
      <c r="J66" s="38" t="s">
        <v>17</v>
      </c>
      <c r="K66" s="22"/>
      <c r="L66" s="38" t="s">
        <v>116</v>
      </c>
      <c r="M66" s="38" t="s">
        <v>116</v>
      </c>
      <c r="N66" s="38" t="s">
        <v>116</v>
      </c>
      <c r="O66" s="22"/>
      <c r="P66" s="38"/>
      <c r="Q66" s="22"/>
      <c r="R66" s="22"/>
      <c r="S66" s="22"/>
      <c r="T66" s="56">
        <v>0</v>
      </c>
      <c r="U66" s="21" t="s">
        <v>720</v>
      </c>
      <c r="V66" s="15" t="s">
        <v>1485</v>
      </c>
    </row>
    <row r="67" spans="1:22" x14ac:dyDescent="0.2">
      <c r="A67" s="43">
        <v>1</v>
      </c>
      <c r="B67" s="16" t="s">
        <v>1351</v>
      </c>
      <c r="C67" s="16" t="s">
        <v>1352</v>
      </c>
      <c r="D67" s="16" t="s">
        <v>1353</v>
      </c>
      <c r="E67" s="16" t="str">
        <f>"0,9382"</f>
        <v>0,9382</v>
      </c>
      <c r="F67" s="16" t="s">
        <v>859</v>
      </c>
      <c r="G67" s="16" t="s">
        <v>3223</v>
      </c>
      <c r="H67" s="36" t="s">
        <v>143</v>
      </c>
      <c r="I67" s="36" t="s">
        <v>246</v>
      </c>
      <c r="J67" s="40" t="s">
        <v>253</v>
      </c>
      <c r="K67" s="24"/>
      <c r="L67" s="36" t="s">
        <v>36</v>
      </c>
      <c r="M67" s="36" t="s">
        <v>149</v>
      </c>
      <c r="N67" s="36" t="s">
        <v>141</v>
      </c>
      <c r="O67" s="24"/>
      <c r="P67" s="36" t="s">
        <v>143</v>
      </c>
      <c r="Q67" s="36" t="s">
        <v>144</v>
      </c>
      <c r="R67" s="36" t="s">
        <v>253</v>
      </c>
      <c r="S67" s="24"/>
      <c r="T67" s="30">
        <v>630</v>
      </c>
      <c r="U67" s="23" t="str">
        <f>"591,0660"</f>
        <v>591,0660</v>
      </c>
      <c r="V67" s="16" t="s">
        <v>730</v>
      </c>
    </row>
    <row r="68" spans="1:22" x14ac:dyDescent="0.2">
      <c r="A68" s="43">
        <v>1</v>
      </c>
      <c r="B68" s="16" t="s">
        <v>1354</v>
      </c>
      <c r="C68" s="16" t="s">
        <v>1355</v>
      </c>
      <c r="D68" s="16" t="s">
        <v>1356</v>
      </c>
      <c r="E68" s="16" t="str">
        <f>"0,9258"</f>
        <v>0,9258</v>
      </c>
      <c r="F68" s="16" t="s">
        <v>4020</v>
      </c>
      <c r="G68" s="16" t="s">
        <v>796</v>
      </c>
      <c r="H68" s="40" t="s">
        <v>208</v>
      </c>
      <c r="I68" s="36" t="s">
        <v>208</v>
      </c>
      <c r="J68" s="40" t="s">
        <v>261</v>
      </c>
      <c r="K68" s="24"/>
      <c r="L68" s="36" t="s">
        <v>141</v>
      </c>
      <c r="M68" s="36" t="s">
        <v>156</v>
      </c>
      <c r="N68" s="36" t="s">
        <v>207</v>
      </c>
      <c r="O68" s="24"/>
      <c r="P68" s="40" t="s">
        <v>208</v>
      </c>
      <c r="Q68" s="36" t="s">
        <v>208</v>
      </c>
      <c r="R68" s="36" t="s">
        <v>261</v>
      </c>
      <c r="S68" s="24"/>
      <c r="T68" s="30">
        <v>687.5</v>
      </c>
      <c r="U68" s="23" t="str">
        <f>"636,4875"</f>
        <v>636,4875</v>
      </c>
      <c r="V68" s="16" t="s">
        <v>1357</v>
      </c>
    </row>
    <row r="69" spans="1:22" x14ac:dyDescent="0.2">
      <c r="A69" s="43">
        <v>1</v>
      </c>
      <c r="B69" s="16" t="s">
        <v>1358</v>
      </c>
      <c r="C69" s="16" t="s">
        <v>1359</v>
      </c>
      <c r="D69" s="16" t="s">
        <v>1360</v>
      </c>
      <c r="E69" s="16" t="str">
        <f>"0,9332"</f>
        <v>0,9332</v>
      </c>
      <c r="F69" s="16" t="s">
        <v>4020</v>
      </c>
      <c r="G69" s="16" t="s">
        <v>889</v>
      </c>
      <c r="H69" s="36" t="s">
        <v>15</v>
      </c>
      <c r="I69" s="40" t="s">
        <v>16</v>
      </c>
      <c r="J69" s="36" t="s">
        <v>16</v>
      </c>
      <c r="K69" s="24"/>
      <c r="L69" s="36" t="s">
        <v>127</v>
      </c>
      <c r="M69" s="36" t="s">
        <v>142</v>
      </c>
      <c r="N69" s="40" t="s">
        <v>156</v>
      </c>
      <c r="O69" s="24"/>
      <c r="P69" s="36" t="s">
        <v>16</v>
      </c>
      <c r="Q69" s="40" t="s">
        <v>262</v>
      </c>
      <c r="R69" s="40" t="s">
        <v>262</v>
      </c>
      <c r="S69" s="24"/>
      <c r="T69" s="30">
        <v>720</v>
      </c>
      <c r="U69" s="23" t="str">
        <f>"671,9040"</f>
        <v>671,9040</v>
      </c>
      <c r="V69" s="16" t="s">
        <v>3391</v>
      </c>
    </row>
    <row r="70" spans="1:22" x14ac:dyDescent="0.2">
      <c r="A70" s="43">
        <v>2</v>
      </c>
      <c r="B70" s="16" t="s">
        <v>1361</v>
      </c>
      <c r="C70" s="16" t="s">
        <v>1362</v>
      </c>
      <c r="D70" s="16" t="s">
        <v>571</v>
      </c>
      <c r="E70" s="16" t="str">
        <f>"0,9286"</f>
        <v>0,9286</v>
      </c>
      <c r="F70" s="16" t="s">
        <v>4020</v>
      </c>
      <c r="G70" s="16" t="s">
        <v>3220</v>
      </c>
      <c r="H70" s="36" t="s">
        <v>24</v>
      </c>
      <c r="I70" s="36" t="s">
        <v>220</v>
      </c>
      <c r="J70" s="36" t="s">
        <v>253</v>
      </c>
      <c r="K70" s="24"/>
      <c r="L70" s="36" t="s">
        <v>36</v>
      </c>
      <c r="M70" s="36" t="s">
        <v>127</v>
      </c>
      <c r="N70" s="36" t="s">
        <v>142</v>
      </c>
      <c r="O70" s="24"/>
      <c r="P70" s="36" t="s">
        <v>144</v>
      </c>
      <c r="Q70" s="36" t="s">
        <v>253</v>
      </c>
      <c r="R70" s="36" t="s">
        <v>37</v>
      </c>
      <c r="S70" s="24"/>
      <c r="T70" s="30">
        <v>660</v>
      </c>
      <c r="U70" s="23" t="str">
        <f>"612,8760"</f>
        <v>612,8760</v>
      </c>
      <c r="V70" s="16" t="s">
        <v>1483</v>
      </c>
    </row>
    <row r="71" spans="1:22" x14ac:dyDescent="0.2">
      <c r="A71" s="43">
        <v>3</v>
      </c>
      <c r="B71" s="16" t="s">
        <v>1363</v>
      </c>
      <c r="C71" s="16" t="s">
        <v>1364</v>
      </c>
      <c r="D71" s="16" t="s">
        <v>1268</v>
      </c>
      <c r="E71" s="16" t="str">
        <f>"0,9298"</f>
        <v>0,9298</v>
      </c>
      <c r="F71" s="16" t="s">
        <v>854</v>
      </c>
      <c r="G71" s="16" t="s">
        <v>3224</v>
      </c>
      <c r="H71" s="36" t="s">
        <v>246</v>
      </c>
      <c r="I71" s="40" t="s">
        <v>144</v>
      </c>
      <c r="J71" s="36" t="s">
        <v>220</v>
      </c>
      <c r="K71" s="24"/>
      <c r="L71" s="36" t="s">
        <v>126</v>
      </c>
      <c r="M71" s="36" t="s">
        <v>25</v>
      </c>
      <c r="N71" s="36" t="s">
        <v>127</v>
      </c>
      <c r="O71" s="24"/>
      <c r="P71" s="36" t="s">
        <v>143</v>
      </c>
      <c r="Q71" s="36" t="s">
        <v>246</v>
      </c>
      <c r="R71" s="36" t="s">
        <v>144</v>
      </c>
      <c r="S71" s="24"/>
      <c r="T71" s="30">
        <v>625</v>
      </c>
      <c r="U71" s="23" t="str">
        <f>"581,1250"</f>
        <v>581,1250</v>
      </c>
      <c r="V71" s="16" t="s">
        <v>775</v>
      </c>
    </row>
    <row r="72" spans="1:22" x14ac:dyDescent="0.2">
      <c r="A72" s="43">
        <v>4</v>
      </c>
      <c r="B72" s="16" t="s">
        <v>1365</v>
      </c>
      <c r="C72" s="16" t="s">
        <v>1366</v>
      </c>
      <c r="D72" s="16" t="s">
        <v>1367</v>
      </c>
      <c r="E72" s="16" t="str">
        <f>"0,9524"</f>
        <v>0,9524</v>
      </c>
      <c r="F72" s="16" t="s">
        <v>4020</v>
      </c>
      <c r="G72" s="16" t="s">
        <v>796</v>
      </c>
      <c r="H72" s="36" t="s">
        <v>220</v>
      </c>
      <c r="I72" s="36" t="s">
        <v>37</v>
      </c>
      <c r="J72" s="24"/>
      <c r="K72" s="24"/>
      <c r="L72" s="36" t="s">
        <v>76</v>
      </c>
      <c r="M72" s="40" t="s">
        <v>65</v>
      </c>
      <c r="N72" s="24"/>
      <c r="O72" s="24"/>
      <c r="P72" s="36" t="s">
        <v>187</v>
      </c>
      <c r="Q72" s="36" t="s">
        <v>144</v>
      </c>
      <c r="R72" s="40" t="s">
        <v>220</v>
      </c>
      <c r="S72" s="24"/>
      <c r="T72" s="30">
        <v>580</v>
      </c>
      <c r="U72" s="23" t="str">
        <f>"552,3920"</f>
        <v>552,3920</v>
      </c>
      <c r="V72" s="16" t="s">
        <v>767</v>
      </c>
    </row>
    <row r="73" spans="1:22" x14ac:dyDescent="0.2">
      <c r="A73" s="43">
        <v>5</v>
      </c>
      <c r="B73" s="16" t="s">
        <v>1368</v>
      </c>
      <c r="C73" s="16" t="s">
        <v>1369</v>
      </c>
      <c r="D73" s="16" t="s">
        <v>1356</v>
      </c>
      <c r="E73" s="16" t="str">
        <f>"0,9258"</f>
        <v>0,9258</v>
      </c>
      <c r="F73" s="16" t="s">
        <v>4020</v>
      </c>
      <c r="G73" s="16" t="s">
        <v>3225</v>
      </c>
      <c r="H73" s="36" t="s">
        <v>11</v>
      </c>
      <c r="I73" s="40" t="s">
        <v>140</v>
      </c>
      <c r="J73" s="36" t="s">
        <v>143</v>
      </c>
      <c r="K73" s="24"/>
      <c r="L73" s="36" t="s">
        <v>71</v>
      </c>
      <c r="M73" s="36" t="s">
        <v>104</v>
      </c>
      <c r="N73" s="36" t="s">
        <v>116</v>
      </c>
      <c r="O73" s="24"/>
      <c r="P73" s="36" t="s">
        <v>107</v>
      </c>
      <c r="Q73" s="36" t="s">
        <v>143</v>
      </c>
      <c r="R73" s="40" t="s">
        <v>246</v>
      </c>
      <c r="S73" s="24"/>
      <c r="T73" s="30">
        <v>560</v>
      </c>
      <c r="U73" s="23" t="str">
        <f>"518,4480"</f>
        <v>518,4480</v>
      </c>
      <c r="V73" s="16" t="s">
        <v>1486</v>
      </c>
    </row>
    <row r="74" spans="1:22" x14ac:dyDescent="0.2">
      <c r="A74" s="43">
        <v>1</v>
      </c>
      <c r="B74" s="16" t="s">
        <v>1358</v>
      </c>
      <c r="C74" s="16" t="s">
        <v>1371</v>
      </c>
      <c r="D74" s="16" t="s">
        <v>1360</v>
      </c>
      <c r="E74" s="16" t="str">
        <f>"0,9332"</f>
        <v>0,9332</v>
      </c>
      <c r="F74" s="16" t="s">
        <v>4020</v>
      </c>
      <c r="G74" s="16" t="s">
        <v>889</v>
      </c>
      <c r="H74" s="36" t="s">
        <v>15</v>
      </c>
      <c r="I74" s="40" t="s">
        <v>16</v>
      </c>
      <c r="J74" s="36" t="s">
        <v>16</v>
      </c>
      <c r="K74" s="24"/>
      <c r="L74" s="36" t="s">
        <v>127</v>
      </c>
      <c r="M74" s="36" t="s">
        <v>142</v>
      </c>
      <c r="N74" s="40" t="s">
        <v>156</v>
      </c>
      <c r="O74" s="24"/>
      <c r="P74" s="36" t="s">
        <v>16</v>
      </c>
      <c r="Q74" s="40" t="s">
        <v>262</v>
      </c>
      <c r="R74" s="40" t="s">
        <v>262</v>
      </c>
      <c r="S74" s="24"/>
      <c r="T74" s="30">
        <v>720</v>
      </c>
      <c r="U74" s="23" t="str">
        <f>"671,9040"</f>
        <v>671,9040</v>
      </c>
      <c r="V74" s="16" t="s">
        <v>3391</v>
      </c>
    </row>
    <row r="75" spans="1:22" x14ac:dyDescent="0.2">
      <c r="A75" s="43">
        <v>1</v>
      </c>
      <c r="B75" s="16" t="s">
        <v>1372</v>
      </c>
      <c r="C75" s="16" t="s">
        <v>1373</v>
      </c>
      <c r="D75" s="16" t="s">
        <v>473</v>
      </c>
      <c r="E75" s="16" t="str">
        <f>"0,9198"</f>
        <v>0,9198</v>
      </c>
      <c r="F75" s="16" t="s">
        <v>4020</v>
      </c>
      <c r="G75" s="16" t="s">
        <v>3187</v>
      </c>
      <c r="H75" s="36" t="s">
        <v>17</v>
      </c>
      <c r="I75" s="36" t="s">
        <v>35</v>
      </c>
      <c r="J75" s="36" t="s">
        <v>16</v>
      </c>
      <c r="K75" s="24"/>
      <c r="L75" s="36" t="s">
        <v>142</v>
      </c>
      <c r="M75" s="40" t="s">
        <v>11</v>
      </c>
      <c r="N75" s="40" t="s">
        <v>11</v>
      </c>
      <c r="O75" s="24"/>
      <c r="P75" s="36" t="s">
        <v>17</v>
      </c>
      <c r="Q75" s="40" t="s">
        <v>35</v>
      </c>
      <c r="R75" s="36" t="s">
        <v>35</v>
      </c>
      <c r="S75" s="24"/>
      <c r="T75" s="30">
        <v>715</v>
      </c>
      <c r="U75" s="23" t="str">
        <f>"756,3055"</f>
        <v>756,3055</v>
      </c>
      <c r="V75" s="16" t="s">
        <v>3391</v>
      </c>
    </row>
    <row r="76" spans="1:22" x14ac:dyDescent="0.2">
      <c r="A76" s="43">
        <v>1</v>
      </c>
      <c r="B76" s="16" t="s">
        <v>1361</v>
      </c>
      <c r="C76" s="16" t="s">
        <v>1374</v>
      </c>
      <c r="D76" s="16" t="s">
        <v>571</v>
      </c>
      <c r="E76" s="16" t="str">
        <f>"0,9286"</f>
        <v>0,9286</v>
      </c>
      <c r="F76" s="16" t="s">
        <v>4020</v>
      </c>
      <c r="G76" s="16" t="s">
        <v>3220</v>
      </c>
      <c r="H76" s="36" t="s">
        <v>24</v>
      </c>
      <c r="I76" s="36" t="s">
        <v>220</v>
      </c>
      <c r="J76" s="36" t="s">
        <v>253</v>
      </c>
      <c r="K76" s="24"/>
      <c r="L76" s="36" t="s">
        <v>36</v>
      </c>
      <c r="M76" s="36" t="s">
        <v>127</v>
      </c>
      <c r="N76" s="36" t="s">
        <v>142</v>
      </c>
      <c r="O76" s="24"/>
      <c r="P76" s="36" t="s">
        <v>144</v>
      </c>
      <c r="Q76" s="36" t="s">
        <v>253</v>
      </c>
      <c r="R76" s="36" t="s">
        <v>37</v>
      </c>
      <c r="S76" s="24"/>
      <c r="T76" s="30">
        <v>660</v>
      </c>
      <c r="U76" s="23" t="str">
        <f>"780,1912"</f>
        <v>780,1912</v>
      </c>
      <c r="V76" s="16" t="s">
        <v>1483</v>
      </c>
    </row>
    <row r="77" spans="1:22" x14ac:dyDescent="0.2">
      <c r="A77" s="43">
        <v>1</v>
      </c>
      <c r="B77" s="17" t="s">
        <v>1375</v>
      </c>
      <c r="C77" s="17" t="s">
        <v>1376</v>
      </c>
      <c r="D77" s="17" t="s">
        <v>1377</v>
      </c>
      <c r="E77" s="17" t="str">
        <f>"0,9266"</f>
        <v>0,9266</v>
      </c>
      <c r="F77" s="17" t="s">
        <v>856</v>
      </c>
      <c r="G77" s="17" t="s">
        <v>800</v>
      </c>
      <c r="H77" s="39" t="s">
        <v>24</v>
      </c>
      <c r="I77" s="37" t="s">
        <v>144</v>
      </c>
      <c r="J77" s="37" t="s">
        <v>202</v>
      </c>
      <c r="K77" s="26"/>
      <c r="L77" s="37" t="s">
        <v>70</v>
      </c>
      <c r="M77" s="37" t="s">
        <v>157</v>
      </c>
      <c r="N77" s="37" t="s">
        <v>158</v>
      </c>
      <c r="O77" s="26"/>
      <c r="P77" s="37" t="s">
        <v>144</v>
      </c>
      <c r="Q77" s="37" t="s">
        <v>221</v>
      </c>
      <c r="R77" s="39" t="s">
        <v>374</v>
      </c>
      <c r="S77" s="26"/>
      <c r="T77" s="31">
        <v>622.5</v>
      </c>
      <c r="U77" s="25" t="str">
        <f>"778,6915"</f>
        <v>778,6915</v>
      </c>
      <c r="V77" s="17" t="s">
        <v>737</v>
      </c>
    </row>
    <row r="79" spans="1:22" ht="15" x14ac:dyDescent="0.2">
      <c r="B79" s="294" t="s">
        <v>4012</v>
      </c>
      <c r="C79" s="294"/>
      <c r="D79" s="294"/>
      <c r="E79" s="294"/>
      <c r="F79" s="294"/>
      <c r="G79" s="294"/>
      <c r="H79" s="294"/>
      <c r="I79" s="294"/>
      <c r="J79" s="294"/>
      <c r="K79" s="294"/>
      <c r="L79" s="294"/>
      <c r="M79" s="294"/>
      <c r="N79" s="294"/>
      <c r="O79" s="294"/>
      <c r="P79" s="294"/>
      <c r="Q79" s="294"/>
      <c r="R79" s="294"/>
      <c r="S79" s="294"/>
      <c r="T79" s="294"/>
      <c r="U79" s="294"/>
    </row>
    <row r="80" spans="1:22" x14ac:dyDescent="0.2">
      <c r="A80" s="43">
        <v>1</v>
      </c>
      <c r="B80" s="15" t="s">
        <v>1459</v>
      </c>
      <c r="C80" s="15" t="s">
        <v>1378</v>
      </c>
      <c r="D80" s="15" t="s">
        <v>499</v>
      </c>
      <c r="E80" s="15" t="str">
        <f>"0,8920"</f>
        <v>0,8920</v>
      </c>
      <c r="F80" s="15" t="s">
        <v>4020</v>
      </c>
      <c r="G80" s="15" t="s">
        <v>796</v>
      </c>
      <c r="H80" s="35" t="s">
        <v>143</v>
      </c>
      <c r="I80" s="35" t="s">
        <v>246</v>
      </c>
      <c r="J80" s="38" t="s">
        <v>253</v>
      </c>
      <c r="K80" s="22"/>
      <c r="L80" s="35" t="s">
        <v>70</v>
      </c>
      <c r="M80" s="35" t="s">
        <v>157</v>
      </c>
      <c r="N80" s="38" t="s">
        <v>104</v>
      </c>
      <c r="O80" s="22"/>
      <c r="P80" s="35" t="s">
        <v>142</v>
      </c>
      <c r="Q80" s="35" t="s">
        <v>11</v>
      </c>
      <c r="R80" s="35" t="s">
        <v>107</v>
      </c>
      <c r="S80" s="22"/>
      <c r="T80" s="29">
        <v>537.5</v>
      </c>
      <c r="U80" s="21" t="str">
        <f>"479,4500"</f>
        <v>479,4500</v>
      </c>
      <c r="V80" s="15" t="s">
        <v>1487</v>
      </c>
    </row>
    <row r="81" spans="1:22" x14ac:dyDescent="0.2">
      <c r="A81" s="43">
        <v>1</v>
      </c>
      <c r="B81" s="16" t="s">
        <v>1460</v>
      </c>
      <c r="C81" s="16" t="s">
        <v>1213</v>
      </c>
      <c r="D81" s="16" t="s">
        <v>1229</v>
      </c>
      <c r="E81" s="16" t="str">
        <f>"0,9082"</f>
        <v>0,9082</v>
      </c>
      <c r="F81" s="16" t="s">
        <v>4020</v>
      </c>
      <c r="G81" s="16" t="s">
        <v>796</v>
      </c>
      <c r="H81" s="36" t="s">
        <v>1151</v>
      </c>
      <c r="I81" s="36" t="s">
        <v>1379</v>
      </c>
      <c r="J81" s="40" t="s">
        <v>685</v>
      </c>
      <c r="K81" s="24"/>
      <c r="L81" s="36" t="s">
        <v>260</v>
      </c>
      <c r="M81" s="36" t="s">
        <v>106</v>
      </c>
      <c r="N81" s="40" t="s">
        <v>207</v>
      </c>
      <c r="O81" s="24"/>
      <c r="P81" s="36" t="s">
        <v>262</v>
      </c>
      <c r="Q81" s="36" t="s">
        <v>1380</v>
      </c>
      <c r="R81" s="36" t="s">
        <v>274</v>
      </c>
      <c r="S81" s="24"/>
      <c r="T81" s="30">
        <v>822.5</v>
      </c>
      <c r="U81" s="23" t="str">
        <f>"746,9945"</f>
        <v>746,9945</v>
      </c>
      <c r="V81" s="16" t="s">
        <v>1488</v>
      </c>
    </row>
    <row r="82" spans="1:22" x14ac:dyDescent="0.2">
      <c r="A82" s="43">
        <v>2</v>
      </c>
      <c r="B82" s="16" t="s">
        <v>1461</v>
      </c>
      <c r="C82" s="16" t="s">
        <v>1381</v>
      </c>
      <c r="D82" s="16" t="s">
        <v>1382</v>
      </c>
      <c r="E82" s="16" t="str">
        <f>"0,8890"</f>
        <v>0,8890</v>
      </c>
      <c r="F82" s="16" t="s">
        <v>14</v>
      </c>
      <c r="G82" s="16" t="s">
        <v>822</v>
      </c>
      <c r="H82" s="36" t="s">
        <v>679</v>
      </c>
      <c r="I82" s="36" t="s">
        <v>1007</v>
      </c>
      <c r="J82" s="40" t="s">
        <v>1110</v>
      </c>
      <c r="K82" s="24"/>
      <c r="L82" s="36" t="s">
        <v>225</v>
      </c>
      <c r="M82" s="36" t="s">
        <v>187</v>
      </c>
      <c r="N82" s="40" t="s">
        <v>232</v>
      </c>
      <c r="O82" s="24"/>
      <c r="P82" s="36" t="s">
        <v>35</v>
      </c>
      <c r="Q82" s="36" t="s">
        <v>26</v>
      </c>
      <c r="R82" s="40" t="s">
        <v>1380</v>
      </c>
      <c r="S82" s="24"/>
      <c r="T82" s="30">
        <v>815</v>
      </c>
      <c r="U82" s="23" t="str">
        <f>"724,5350"</f>
        <v>724,5350</v>
      </c>
      <c r="V82" s="16" t="s">
        <v>774</v>
      </c>
    </row>
    <row r="83" spans="1:22" x14ac:dyDescent="0.2">
      <c r="A83" s="43">
        <v>3</v>
      </c>
      <c r="B83" s="16" t="s">
        <v>1462</v>
      </c>
      <c r="C83" s="16" t="s">
        <v>1383</v>
      </c>
      <c r="D83" s="16" t="s">
        <v>1384</v>
      </c>
      <c r="E83" s="16" t="str">
        <f>"0,8942"</f>
        <v>0,8942</v>
      </c>
      <c r="F83" s="16" t="s">
        <v>4020</v>
      </c>
      <c r="G83" s="16" t="s">
        <v>3226</v>
      </c>
      <c r="H83" s="36" t="s">
        <v>16</v>
      </c>
      <c r="I83" s="36" t="s">
        <v>287</v>
      </c>
      <c r="J83" s="36" t="s">
        <v>274</v>
      </c>
      <c r="K83" s="24"/>
      <c r="L83" s="36" t="s">
        <v>156</v>
      </c>
      <c r="M83" s="36" t="s">
        <v>106</v>
      </c>
      <c r="N83" s="36" t="s">
        <v>224</v>
      </c>
      <c r="O83" s="24"/>
      <c r="P83" s="36" t="s">
        <v>26</v>
      </c>
      <c r="Q83" s="36" t="s">
        <v>926</v>
      </c>
      <c r="R83" s="36" t="s">
        <v>274</v>
      </c>
      <c r="S83" s="24"/>
      <c r="T83" s="30">
        <v>792.5</v>
      </c>
      <c r="U83" s="23" t="str">
        <f>"708,6535"</f>
        <v>708,6535</v>
      </c>
      <c r="V83" s="16" t="s">
        <v>776</v>
      </c>
    </row>
    <row r="84" spans="1:22" x14ac:dyDescent="0.2">
      <c r="A84" s="43">
        <v>4</v>
      </c>
      <c r="B84" s="16" t="s">
        <v>1463</v>
      </c>
      <c r="C84" s="16" t="s">
        <v>1385</v>
      </c>
      <c r="D84" s="16" t="s">
        <v>1386</v>
      </c>
      <c r="E84" s="16" t="str">
        <f>"0,9022"</f>
        <v>0,9022</v>
      </c>
      <c r="F84" s="16" t="s">
        <v>1387</v>
      </c>
      <c r="G84" s="16" t="s">
        <v>3215</v>
      </c>
      <c r="H84" s="36" t="s">
        <v>16</v>
      </c>
      <c r="I84" s="36" t="s">
        <v>262</v>
      </c>
      <c r="J84" s="40" t="s">
        <v>287</v>
      </c>
      <c r="K84" s="24"/>
      <c r="L84" s="40" t="s">
        <v>141</v>
      </c>
      <c r="M84" s="40" t="s">
        <v>141</v>
      </c>
      <c r="N84" s="36" t="s">
        <v>141</v>
      </c>
      <c r="O84" s="24"/>
      <c r="P84" s="36" t="s">
        <v>262</v>
      </c>
      <c r="Q84" s="36" t="s">
        <v>926</v>
      </c>
      <c r="R84" s="36" t="s">
        <v>644</v>
      </c>
      <c r="S84" s="24"/>
      <c r="T84" s="30">
        <v>755</v>
      </c>
      <c r="U84" s="23" t="str">
        <f>"681,1610"</f>
        <v>681,1610</v>
      </c>
      <c r="V84" s="16" t="s">
        <v>3391</v>
      </c>
    </row>
    <row r="85" spans="1:22" x14ac:dyDescent="0.2">
      <c r="A85" s="43">
        <v>5</v>
      </c>
      <c r="B85" s="16" t="s">
        <v>1464</v>
      </c>
      <c r="C85" s="16" t="s">
        <v>1388</v>
      </c>
      <c r="D85" s="16" t="s">
        <v>910</v>
      </c>
      <c r="E85" s="16" t="str">
        <f>"0,8994"</f>
        <v>0,8994</v>
      </c>
      <c r="F85" s="16" t="s">
        <v>4020</v>
      </c>
      <c r="G85" s="16" t="s">
        <v>796</v>
      </c>
      <c r="H85" s="40" t="s">
        <v>261</v>
      </c>
      <c r="I85" s="40" t="s">
        <v>15</v>
      </c>
      <c r="J85" s="36" t="s">
        <v>35</v>
      </c>
      <c r="K85" s="24"/>
      <c r="L85" s="40" t="s">
        <v>142</v>
      </c>
      <c r="M85" s="36" t="s">
        <v>239</v>
      </c>
      <c r="N85" s="36" t="s">
        <v>156</v>
      </c>
      <c r="O85" s="24"/>
      <c r="P85" s="36" t="s">
        <v>16</v>
      </c>
      <c r="Q85" s="40" t="s">
        <v>262</v>
      </c>
      <c r="R85" s="36" t="s">
        <v>262</v>
      </c>
      <c r="S85" s="24"/>
      <c r="T85" s="30">
        <v>730</v>
      </c>
      <c r="U85" s="23" t="str">
        <f>"656,5620"</f>
        <v>656,5620</v>
      </c>
      <c r="V85" s="16" t="s">
        <v>3391</v>
      </c>
    </row>
    <row r="86" spans="1:22" x14ac:dyDescent="0.2">
      <c r="A86" s="43">
        <v>6</v>
      </c>
      <c r="B86" s="16" t="s">
        <v>1389</v>
      </c>
      <c r="C86" s="16" t="s">
        <v>1390</v>
      </c>
      <c r="D86" s="16" t="s">
        <v>1382</v>
      </c>
      <c r="E86" s="16" t="str">
        <f>"0,8890"</f>
        <v>0,8890</v>
      </c>
      <c r="F86" s="16" t="s">
        <v>4020</v>
      </c>
      <c r="G86" s="16" t="s">
        <v>3227</v>
      </c>
      <c r="H86" s="36" t="s">
        <v>208</v>
      </c>
      <c r="I86" s="36" t="s">
        <v>273</v>
      </c>
      <c r="J86" s="36" t="s">
        <v>928</v>
      </c>
      <c r="K86" s="24"/>
      <c r="L86" s="36" t="s">
        <v>106</v>
      </c>
      <c r="M86" s="36" t="s">
        <v>140</v>
      </c>
      <c r="N86" s="36" t="s">
        <v>135</v>
      </c>
      <c r="O86" s="24"/>
      <c r="P86" s="36" t="s">
        <v>208</v>
      </c>
      <c r="Q86" s="40" t="s">
        <v>17</v>
      </c>
      <c r="R86" s="40" t="s">
        <v>17</v>
      </c>
      <c r="S86" s="24"/>
      <c r="T86" s="30">
        <v>717.5</v>
      </c>
      <c r="U86" s="23" t="str">
        <f>"637,8575"</f>
        <v>637,8575</v>
      </c>
      <c r="V86" s="16" t="s">
        <v>3391</v>
      </c>
    </row>
    <row r="87" spans="1:22" x14ac:dyDescent="0.2">
      <c r="A87" s="43">
        <v>7</v>
      </c>
      <c r="B87" s="16" t="s">
        <v>1465</v>
      </c>
      <c r="C87" s="16" t="s">
        <v>1391</v>
      </c>
      <c r="D87" s="16" t="s">
        <v>269</v>
      </c>
      <c r="E87" s="16" t="str">
        <f>"0,9090"</f>
        <v>0,9090</v>
      </c>
      <c r="F87" s="16" t="s">
        <v>1392</v>
      </c>
      <c r="G87" s="16" t="s">
        <v>3216</v>
      </c>
      <c r="H87" s="36" t="s">
        <v>253</v>
      </c>
      <c r="I87" s="40" t="s">
        <v>261</v>
      </c>
      <c r="J87" s="36" t="s">
        <v>261</v>
      </c>
      <c r="K87" s="24"/>
      <c r="L87" s="36" t="s">
        <v>23</v>
      </c>
      <c r="M87" s="36" t="s">
        <v>126</v>
      </c>
      <c r="N87" s="36" t="s">
        <v>148</v>
      </c>
      <c r="O87" s="24"/>
      <c r="P87" s="36" t="s">
        <v>35</v>
      </c>
      <c r="Q87" s="36" t="s">
        <v>262</v>
      </c>
      <c r="R87" s="36" t="s">
        <v>1380</v>
      </c>
      <c r="S87" s="24"/>
      <c r="T87" s="30">
        <v>700</v>
      </c>
      <c r="U87" s="23" t="str">
        <f>"636,3000"</f>
        <v>636,3000</v>
      </c>
      <c r="V87" s="16" t="s">
        <v>3391</v>
      </c>
    </row>
    <row r="88" spans="1:22" x14ac:dyDescent="0.2">
      <c r="A88" s="43">
        <v>8</v>
      </c>
      <c r="B88" s="16" t="s">
        <v>1466</v>
      </c>
      <c r="C88" s="16" t="s">
        <v>1230</v>
      </c>
      <c r="D88" s="16" t="s">
        <v>265</v>
      </c>
      <c r="E88" s="16" t="str">
        <f>"0,8850"</f>
        <v>0,8850</v>
      </c>
      <c r="F88" s="16" t="s">
        <v>4020</v>
      </c>
      <c r="G88" s="16" t="s">
        <v>796</v>
      </c>
      <c r="H88" s="36" t="s">
        <v>144</v>
      </c>
      <c r="I88" s="40" t="s">
        <v>208</v>
      </c>
      <c r="J88" s="36" t="s">
        <v>37</v>
      </c>
      <c r="K88" s="24"/>
      <c r="L88" s="36" t="s">
        <v>127</v>
      </c>
      <c r="M88" s="36" t="s">
        <v>156</v>
      </c>
      <c r="N88" s="40" t="s">
        <v>106</v>
      </c>
      <c r="O88" s="24"/>
      <c r="P88" s="36" t="s">
        <v>24</v>
      </c>
      <c r="Q88" s="40" t="s">
        <v>253</v>
      </c>
      <c r="R88" s="40" t="s">
        <v>253</v>
      </c>
      <c r="S88" s="24"/>
      <c r="T88" s="30">
        <v>645</v>
      </c>
      <c r="U88" s="23" t="str">
        <f>"570,8250"</f>
        <v>570,8250</v>
      </c>
      <c r="V88" s="16" t="s">
        <v>1244</v>
      </c>
    </row>
    <row r="89" spans="1:22" x14ac:dyDescent="0.2">
      <c r="A89" s="43">
        <v>9</v>
      </c>
      <c r="B89" s="16" t="s">
        <v>1467</v>
      </c>
      <c r="C89" s="16" t="s">
        <v>1393</v>
      </c>
      <c r="D89" s="16" t="s">
        <v>1394</v>
      </c>
      <c r="E89" s="16" t="str">
        <f>"0,8902"</f>
        <v>0,8902</v>
      </c>
      <c r="F89" s="16" t="s">
        <v>855</v>
      </c>
      <c r="G89" s="16" t="s">
        <v>796</v>
      </c>
      <c r="H89" s="40" t="s">
        <v>246</v>
      </c>
      <c r="I89" s="36" t="s">
        <v>246</v>
      </c>
      <c r="J89" s="24"/>
      <c r="K89" s="24"/>
      <c r="L89" s="36" t="s">
        <v>148</v>
      </c>
      <c r="M89" s="36" t="s">
        <v>155</v>
      </c>
      <c r="N89" s="40" t="s">
        <v>239</v>
      </c>
      <c r="O89" s="24"/>
      <c r="P89" s="40" t="s">
        <v>187</v>
      </c>
      <c r="Q89" s="36" t="s">
        <v>187</v>
      </c>
      <c r="R89" s="40" t="s">
        <v>15</v>
      </c>
      <c r="S89" s="24"/>
      <c r="T89" s="30">
        <v>602.5</v>
      </c>
      <c r="U89" s="23" t="str">
        <f>"536,3455"</f>
        <v>536,3455</v>
      </c>
      <c r="V89" s="16" t="s">
        <v>3391</v>
      </c>
    </row>
    <row r="90" spans="1:22" x14ac:dyDescent="0.2">
      <c r="B90" s="16" t="s">
        <v>1256</v>
      </c>
      <c r="C90" s="16" t="s">
        <v>1257</v>
      </c>
      <c r="D90" s="16" t="s">
        <v>1258</v>
      </c>
      <c r="E90" s="16" t="str">
        <f>"0,8980"</f>
        <v>0,8980</v>
      </c>
      <c r="F90" s="16" t="s">
        <v>4020</v>
      </c>
      <c r="G90" s="16" t="s">
        <v>3228</v>
      </c>
      <c r="H90" s="40" t="s">
        <v>17</v>
      </c>
      <c r="I90" s="40" t="s">
        <v>17</v>
      </c>
      <c r="J90" s="24"/>
      <c r="K90" s="24"/>
      <c r="L90" s="40"/>
      <c r="M90" s="24"/>
      <c r="N90" s="24"/>
      <c r="O90" s="24"/>
      <c r="P90" s="40"/>
      <c r="Q90" s="24"/>
      <c r="R90" s="24"/>
      <c r="S90" s="24"/>
      <c r="T90" s="47">
        <v>0</v>
      </c>
      <c r="U90" s="23" t="s">
        <v>720</v>
      </c>
      <c r="V90" s="16" t="s">
        <v>3391</v>
      </c>
    </row>
    <row r="91" spans="1:22" x14ac:dyDescent="0.2">
      <c r="A91" s="43">
        <v>1</v>
      </c>
      <c r="B91" s="16" t="s">
        <v>1395</v>
      </c>
      <c r="C91" s="16" t="s">
        <v>1396</v>
      </c>
      <c r="D91" s="16" t="s">
        <v>269</v>
      </c>
      <c r="E91" s="16" t="str">
        <f>"0,9090"</f>
        <v>0,9090</v>
      </c>
      <c r="F91" s="16" t="s">
        <v>1392</v>
      </c>
      <c r="G91" s="16" t="s">
        <v>3216</v>
      </c>
      <c r="H91" s="36" t="s">
        <v>253</v>
      </c>
      <c r="I91" s="40" t="s">
        <v>261</v>
      </c>
      <c r="J91" s="36" t="s">
        <v>261</v>
      </c>
      <c r="K91" s="24"/>
      <c r="L91" s="36" t="s">
        <v>23</v>
      </c>
      <c r="M91" s="36" t="s">
        <v>126</v>
      </c>
      <c r="N91" s="36" t="s">
        <v>148</v>
      </c>
      <c r="O91" s="24"/>
      <c r="P91" s="36" t="s">
        <v>35</v>
      </c>
      <c r="Q91" s="36" t="s">
        <v>262</v>
      </c>
      <c r="R91" s="36" t="s">
        <v>1380</v>
      </c>
      <c r="S91" s="24"/>
      <c r="T91" s="30">
        <v>700</v>
      </c>
      <c r="U91" s="23" t="str">
        <f>"636,3000"</f>
        <v>636,3000</v>
      </c>
      <c r="V91" s="16" t="s">
        <v>3391</v>
      </c>
    </row>
    <row r="92" spans="1:22" x14ac:dyDescent="0.2">
      <c r="A92" s="43">
        <v>1</v>
      </c>
      <c r="B92" s="16" t="s">
        <v>1468</v>
      </c>
      <c r="C92" s="16" t="s">
        <v>1397</v>
      </c>
      <c r="D92" s="16" t="s">
        <v>1382</v>
      </c>
      <c r="E92" s="16" t="str">
        <f>"0,8890"</f>
        <v>0,8890</v>
      </c>
      <c r="F92" s="16" t="s">
        <v>4020</v>
      </c>
      <c r="G92" s="16" t="s">
        <v>3227</v>
      </c>
      <c r="H92" s="36" t="s">
        <v>208</v>
      </c>
      <c r="I92" s="36" t="s">
        <v>273</v>
      </c>
      <c r="J92" s="36" t="s">
        <v>928</v>
      </c>
      <c r="K92" s="24"/>
      <c r="L92" s="36" t="s">
        <v>106</v>
      </c>
      <c r="M92" s="36" t="s">
        <v>140</v>
      </c>
      <c r="N92" s="36" t="s">
        <v>135</v>
      </c>
      <c r="O92" s="24"/>
      <c r="P92" s="36" t="s">
        <v>208</v>
      </c>
      <c r="Q92" s="40" t="s">
        <v>17</v>
      </c>
      <c r="R92" s="40" t="s">
        <v>17</v>
      </c>
      <c r="S92" s="24"/>
      <c r="T92" s="30">
        <v>717.5</v>
      </c>
      <c r="U92" s="23" t="str">
        <f>"676,1289"</f>
        <v>676,1289</v>
      </c>
      <c r="V92" s="16" t="s">
        <v>3391</v>
      </c>
    </row>
    <row r="93" spans="1:22" x14ac:dyDescent="0.2">
      <c r="A93" s="43">
        <v>1</v>
      </c>
      <c r="B93" s="17" t="s">
        <v>1469</v>
      </c>
      <c r="C93" s="17" t="s">
        <v>668</v>
      </c>
      <c r="D93" s="17" t="s">
        <v>1398</v>
      </c>
      <c r="E93" s="17" t="str">
        <f>"0,8988"</f>
        <v>0,8988</v>
      </c>
      <c r="F93" s="17" t="s">
        <v>464</v>
      </c>
      <c r="G93" s="17" t="s">
        <v>824</v>
      </c>
      <c r="H93" s="37" t="s">
        <v>141</v>
      </c>
      <c r="I93" s="39" t="s">
        <v>166</v>
      </c>
      <c r="J93" s="37" t="s">
        <v>166</v>
      </c>
      <c r="K93" s="26"/>
      <c r="L93" s="37" t="s">
        <v>186</v>
      </c>
      <c r="M93" s="39" t="s">
        <v>148</v>
      </c>
      <c r="N93" s="39" t="s">
        <v>148</v>
      </c>
      <c r="O93" s="26"/>
      <c r="P93" s="37" t="s">
        <v>156</v>
      </c>
      <c r="Q93" s="37" t="s">
        <v>140</v>
      </c>
      <c r="R93" s="39" t="s">
        <v>143</v>
      </c>
      <c r="S93" s="26"/>
      <c r="T93" s="31">
        <v>537.5</v>
      </c>
      <c r="U93" s="25" t="str">
        <f>"555,5708"</f>
        <v>555,5708</v>
      </c>
      <c r="V93" s="17" t="s">
        <v>3391</v>
      </c>
    </row>
    <row r="95" spans="1:22" ht="15" x14ac:dyDescent="0.2">
      <c r="B95" s="294" t="s">
        <v>4013</v>
      </c>
      <c r="C95" s="294"/>
      <c r="D95" s="294"/>
      <c r="E95" s="294"/>
      <c r="F95" s="294"/>
      <c r="G95" s="294"/>
      <c r="H95" s="294"/>
      <c r="I95" s="294"/>
      <c r="J95" s="294"/>
      <c r="K95" s="294"/>
      <c r="L95" s="294"/>
      <c r="M95" s="294"/>
      <c r="N95" s="294"/>
      <c r="O95" s="294"/>
      <c r="P95" s="294"/>
      <c r="Q95" s="294"/>
      <c r="R95" s="294"/>
      <c r="S95" s="294"/>
      <c r="T95" s="294"/>
      <c r="U95" s="294"/>
    </row>
    <row r="96" spans="1:22" x14ac:dyDescent="0.2">
      <c r="A96" s="43">
        <v>1</v>
      </c>
      <c r="B96" s="15" t="s">
        <v>1470</v>
      </c>
      <c r="C96" s="15" t="s">
        <v>1399</v>
      </c>
      <c r="D96" s="15" t="s">
        <v>1400</v>
      </c>
      <c r="E96" s="15" t="str">
        <f>"0,8652"</f>
        <v>0,8652</v>
      </c>
      <c r="F96" s="15" t="s">
        <v>4020</v>
      </c>
      <c r="G96" s="15" t="s">
        <v>880</v>
      </c>
      <c r="H96" s="38" t="s">
        <v>276</v>
      </c>
      <c r="I96" s="35" t="s">
        <v>1110</v>
      </c>
      <c r="J96" s="38" t="s">
        <v>1401</v>
      </c>
      <c r="K96" s="22"/>
      <c r="L96" s="35" t="s">
        <v>135</v>
      </c>
      <c r="M96" s="35" t="s">
        <v>296</v>
      </c>
      <c r="N96" s="35" t="s">
        <v>246</v>
      </c>
      <c r="O96" s="22"/>
      <c r="P96" s="35" t="s">
        <v>1340</v>
      </c>
      <c r="Q96" s="35" t="s">
        <v>1402</v>
      </c>
      <c r="R96" s="38" t="s">
        <v>1151</v>
      </c>
      <c r="S96" s="22"/>
      <c r="T96" s="29">
        <v>876</v>
      </c>
      <c r="U96" s="21" t="str">
        <f>"757,9152"</f>
        <v>757,9152</v>
      </c>
      <c r="V96" s="15" t="s">
        <v>1489</v>
      </c>
    </row>
    <row r="97" spans="1:22" x14ac:dyDescent="0.2">
      <c r="A97" s="43">
        <v>1</v>
      </c>
      <c r="B97" s="16" t="s">
        <v>1403</v>
      </c>
      <c r="C97" s="16" t="s">
        <v>1404</v>
      </c>
      <c r="D97" s="16" t="s">
        <v>1400</v>
      </c>
      <c r="E97" s="16" t="str">
        <f>"0,8652"</f>
        <v>0,8652</v>
      </c>
      <c r="F97" s="16" t="s">
        <v>4020</v>
      </c>
      <c r="G97" s="16" t="s">
        <v>880</v>
      </c>
      <c r="H97" s="40" t="s">
        <v>276</v>
      </c>
      <c r="I97" s="36" t="s">
        <v>1110</v>
      </c>
      <c r="J97" s="40" t="s">
        <v>1401</v>
      </c>
      <c r="K97" s="24"/>
      <c r="L97" s="36" t="s">
        <v>135</v>
      </c>
      <c r="M97" s="36" t="s">
        <v>296</v>
      </c>
      <c r="N97" s="36" t="s">
        <v>246</v>
      </c>
      <c r="O97" s="24"/>
      <c r="P97" s="36" t="s">
        <v>1340</v>
      </c>
      <c r="Q97" s="36" t="s">
        <v>1402</v>
      </c>
      <c r="R97" s="40" t="s">
        <v>1151</v>
      </c>
      <c r="S97" s="24"/>
      <c r="T97" s="30">
        <v>876</v>
      </c>
      <c r="U97" s="23" t="str">
        <f>"757,9152"</f>
        <v>757,9152</v>
      </c>
      <c r="V97" s="16" t="s">
        <v>1489</v>
      </c>
    </row>
    <row r="98" spans="1:22" x14ac:dyDescent="0.2">
      <c r="A98" s="43">
        <v>2</v>
      </c>
      <c r="B98" s="16" t="s">
        <v>1253</v>
      </c>
      <c r="C98" s="16" t="s">
        <v>1231</v>
      </c>
      <c r="D98" s="16" t="s">
        <v>1232</v>
      </c>
      <c r="E98" s="16" t="str">
        <f>"0,8674"</f>
        <v>0,8674</v>
      </c>
      <c r="F98" s="16" t="s">
        <v>492</v>
      </c>
      <c r="G98" s="16" t="s">
        <v>3200</v>
      </c>
      <c r="H98" s="36" t="s">
        <v>1007</v>
      </c>
      <c r="I98" s="40" t="s">
        <v>1110</v>
      </c>
      <c r="J98" s="40" t="s">
        <v>1110</v>
      </c>
      <c r="K98" s="24"/>
      <c r="L98" s="36" t="s">
        <v>187</v>
      </c>
      <c r="M98" s="40" t="s">
        <v>246</v>
      </c>
      <c r="N98" s="40" t="s">
        <v>246</v>
      </c>
      <c r="O98" s="24"/>
      <c r="P98" s="36" t="s">
        <v>274</v>
      </c>
      <c r="Q98" s="36" t="s">
        <v>679</v>
      </c>
      <c r="R98" s="40" t="s">
        <v>275</v>
      </c>
      <c r="S98" s="24"/>
      <c r="T98" s="30">
        <v>845</v>
      </c>
      <c r="U98" s="23" t="str">
        <f>"732,9530"</f>
        <v>732,9530</v>
      </c>
      <c r="V98" s="16" t="s">
        <v>3206</v>
      </c>
    </row>
    <row r="99" spans="1:22" x14ac:dyDescent="0.2">
      <c r="A99" s="43">
        <v>3</v>
      </c>
      <c r="B99" s="16" t="s">
        <v>1471</v>
      </c>
      <c r="C99" s="16" t="s">
        <v>1233</v>
      </c>
      <c r="D99" s="16" t="s">
        <v>1234</v>
      </c>
      <c r="E99" s="16" t="str">
        <f>"0,8660"</f>
        <v>0,8660</v>
      </c>
      <c r="F99" s="16" t="s">
        <v>492</v>
      </c>
      <c r="G99" s="16" t="s">
        <v>829</v>
      </c>
      <c r="H99" s="36" t="s">
        <v>17</v>
      </c>
      <c r="I99" s="36" t="s">
        <v>16</v>
      </c>
      <c r="J99" s="36" t="s">
        <v>970</v>
      </c>
      <c r="K99" s="24"/>
      <c r="L99" s="36" t="s">
        <v>141</v>
      </c>
      <c r="M99" s="36" t="s">
        <v>239</v>
      </c>
      <c r="N99" s="40" t="s">
        <v>11</v>
      </c>
      <c r="O99" s="24"/>
      <c r="P99" s="36" t="s">
        <v>1339</v>
      </c>
      <c r="Q99" s="36" t="s">
        <v>684</v>
      </c>
      <c r="R99" s="36" t="s">
        <v>1007</v>
      </c>
      <c r="S99" s="24"/>
      <c r="T99" s="30">
        <v>775</v>
      </c>
      <c r="U99" s="23" t="str">
        <f>"671,1500"</f>
        <v>671,1500</v>
      </c>
      <c r="V99" s="16" t="s">
        <v>815</v>
      </c>
    </row>
    <row r="100" spans="1:22" x14ac:dyDescent="0.2">
      <c r="A100" s="43">
        <v>4</v>
      </c>
      <c r="B100" s="16" t="s">
        <v>1472</v>
      </c>
      <c r="C100" s="16" t="s">
        <v>1405</v>
      </c>
      <c r="D100" s="16" t="s">
        <v>1406</v>
      </c>
      <c r="E100" s="16" t="str">
        <f>"0,8734"</f>
        <v>0,8734</v>
      </c>
      <c r="F100" s="16" t="s">
        <v>4020</v>
      </c>
      <c r="G100" s="16" t="s">
        <v>3229</v>
      </c>
      <c r="H100" s="36" t="s">
        <v>26</v>
      </c>
      <c r="I100" s="36" t="s">
        <v>274</v>
      </c>
      <c r="J100" s="40" t="s">
        <v>1007</v>
      </c>
      <c r="K100" s="24"/>
      <c r="L100" s="36" t="s">
        <v>142</v>
      </c>
      <c r="M100" s="36" t="s">
        <v>107</v>
      </c>
      <c r="N100" s="40" t="s">
        <v>166</v>
      </c>
      <c r="O100" s="24"/>
      <c r="P100" s="36" t="s">
        <v>37</v>
      </c>
      <c r="Q100" s="36" t="s">
        <v>35</v>
      </c>
      <c r="R100" s="24"/>
      <c r="S100" s="24"/>
      <c r="T100" s="30">
        <v>760</v>
      </c>
      <c r="U100" s="23" t="str">
        <f>"663,7840"</f>
        <v>663,7840</v>
      </c>
      <c r="V100" s="16" t="s">
        <v>733</v>
      </c>
    </row>
    <row r="101" spans="1:22" x14ac:dyDescent="0.2">
      <c r="A101" s="43">
        <v>1</v>
      </c>
      <c r="B101" s="17" t="s">
        <v>1235</v>
      </c>
      <c r="C101" s="17" t="s">
        <v>1236</v>
      </c>
      <c r="D101" s="17" t="s">
        <v>1232</v>
      </c>
      <c r="E101" s="17" t="str">
        <f>"0,8674"</f>
        <v>0,8674</v>
      </c>
      <c r="F101" s="17" t="s">
        <v>492</v>
      </c>
      <c r="G101" s="17" t="s">
        <v>3200</v>
      </c>
      <c r="H101" s="37" t="s">
        <v>1007</v>
      </c>
      <c r="I101" s="39" t="s">
        <v>1110</v>
      </c>
      <c r="J101" s="39" t="s">
        <v>1110</v>
      </c>
      <c r="K101" s="26"/>
      <c r="L101" s="37" t="s">
        <v>187</v>
      </c>
      <c r="M101" s="39" t="s">
        <v>246</v>
      </c>
      <c r="N101" s="39" t="s">
        <v>246</v>
      </c>
      <c r="O101" s="26"/>
      <c r="P101" s="37" t="s">
        <v>274</v>
      </c>
      <c r="Q101" s="37" t="s">
        <v>679</v>
      </c>
      <c r="R101" s="39" t="s">
        <v>275</v>
      </c>
      <c r="S101" s="26"/>
      <c r="T101" s="31">
        <v>845</v>
      </c>
      <c r="U101" s="25" t="str">
        <f>"732,9530"</f>
        <v>732,9530</v>
      </c>
      <c r="V101" s="17" t="s">
        <v>3206</v>
      </c>
    </row>
    <row r="103" spans="1:22" ht="15" x14ac:dyDescent="0.2">
      <c r="B103" s="294" t="s">
        <v>4016</v>
      </c>
      <c r="C103" s="294"/>
      <c r="D103" s="294"/>
      <c r="E103" s="294"/>
      <c r="F103" s="294"/>
      <c r="G103" s="294"/>
      <c r="H103" s="294"/>
      <c r="I103" s="294"/>
      <c r="J103" s="294"/>
      <c r="K103" s="294"/>
      <c r="L103" s="294"/>
      <c r="M103" s="294"/>
      <c r="N103" s="294"/>
      <c r="O103" s="294"/>
      <c r="P103" s="294"/>
      <c r="Q103" s="294"/>
      <c r="R103" s="294"/>
      <c r="S103" s="294"/>
      <c r="T103" s="294"/>
      <c r="U103" s="294"/>
    </row>
    <row r="104" spans="1:22" x14ac:dyDescent="0.2">
      <c r="A104" s="43">
        <v>1</v>
      </c>
      <c r="B104" s="15" t="s">
        <v>1474</v>
      </c>
      <c r="C104" s="15" t="s">
        <v>1407</v>
      </c>
      <c r="D104" s="15" t="s">
        <v>1408</v>
      </c>
      <c r="E104" s="15" t="str">
        <f>"0,8530"</f>
        <v>0,8530</v>
      </c>
      <c r="F104" s="15" t="s">
        <v>1392</v>
      </c>
      <c r="G104" s="15" t="s">
        <v>3216</v>
      </c>
      <c r="H104" s="35" t="s">
        <v>35</v>
      </c>
      <c r="I104" s="35" t="s">
        <v>262</v>
      </c>
      <c r="J104" s="35" t="s">
        <v>274</v>
      </c>
      <c r="K104" s="22"/>
      <c r="L104" s="35" t="s">
        <v>23</v>
      </c>
      <c r="M104" s="35" t="s">
        <v>126</v>
      </c>
      <c r="N104" s="35" t="s">
        <v>25</v>
      </c>
      <c r="O104" s="22"/>
      <c r="P104" s="35" t="s">
        <v>35</v>
      </c>
      <c r="Q104" s="35" t="s">
        <v>287</v>
      </c>
      <c r="R104" s="38" t="s">
        <v>274</v>
      </c>
      <c r="S104" s="22"/>
      <c r="T104" s="29">
        <v>745</v>
      </c>
      <c r="U104" s="21" t="str">
        <f>"635,4850"</f>
        <v>635,4850</v>
      </c>
      <c r="V104" s="15" t="s">
        <v>3391</v>
      </c>
    </row>
    <row r="105" spans="1:22" x14ac:dyDescent="0.2">
      <c r="A105" s="43">
        <v>1</v>
      </c>
      <c r="B105" s="16" t="s">
        <v>1409</v>
      </c>
      <c r="C105" s="16" t="s">
        <v>1410</v>
      </c>
      <c r="D105" s="16" t="s">
        <v>1408</v>
      </c>
      <c r="E105" s="16" t="str">
        <f>"0,8530"</f>
        <v>0,8530</v>
      </c>
      <c r="F105" s="16" t="s">
        <v>1392</v>
      </c>
      <c r="G105" s="16" t="s">
        <v>3216</v>
      </c>
      <c r="H105" s="36" t="s">
        <v>35</v>
      </c>
      <c r="I105" s="36" t="s">
        <v>262</v>
      </c>
      <c r="J105" s="36" t="s">
        <v>274</v>
      </c>
      <c r="K105" s="24"/>
      <c r="L105" s="36" t="s">
        <v>23</v>
      </c>
      <c r="M105" s="36" t="s">
        <v>126</v>
      </c>
      <c r="N105" s="36" t="s">
        <v>25</v>
      </c>
      <c r="O105" s="24"/>
      <c r="P105" s="36" t="s">
        <v>35</v>
      </c>
      <c r="Q105" s="36" t="s">
        <v>287</v>
      </c>
      <c r="R105" s="40" t="s">
        <v>274</v>
      </c>
      <c r="S105" s="24"/>
      <c r="T105" s="30">
        <v>745</v>
      </c>
      <c r="U105" s="23" t="str">
        <f>"635,4850"</f>
        <v>635,4850</v>
      </c>
      <c r="V105" s="16" t="s">
        <v>3391</v>
      </c>
    </row>
    <row r="106" spans="1:22" x14ac:dyDescent="0.2">
      <c r="A106" s="43">
        <v>1</v>
      </c>
      <c r="B106" s="17" t="s">
        <v>1473</v>
      </c>
      <c r="C106" s="17" t="s">
        <v>1411</v>
      </c>
      <c r="D106" s="17" t="s">
        <v>1412</v>
      </c>
      <c r="E106" s="17" t="str">
        <f>"0,8410"</f>
        <v>0,8410</v>
      </c>
      <c r="F106" s="17" t="s">
        <v>4020</v>
      </c>
      <c r="G106" s="17" t="s">
        <v>3230</v>
      </c>
      <c r="H106" s="37" t="s">
        <v>1151</v>
      </c>
      <c r="I106" s="39" t="s">
        <v>677</v>
      </c>
      <c r="J106" s="37" t="s">
        <v>677</v>
      </c>
      <c r="K106" s="26"/>
      <c r="L106" s="37" t="s">
        <v>143</v>
      </c>
      <c r="M106" s="37" t="s">
        <v>246</v>
      </c>
      <c r="N106" s="37" t="s">
        <v>220</v>
      </c>
      <c r="O106" s="26"/>
      <c r="P106" s="37" t="s">
        <v>1007</v>
      </c>
      <c r="Q106" s="37" t="s">
        <v>677</v>
      </c>
      <c r="R106" s="39" t="s">
        <v>1021</v>
      </c>
      <c r="S106" s="26"/>
      <c r="T106" s="31">
        <v>915</v>
      </c>
      <c r="U106" s="25" t="str">
        <f>"769,5150"</f>
        <v>769,5150</v>
      </c>
      <c r="V106" s="17" t="s">
        <v>3391</v>
      </c>
    </row>
    <row r="108" spans="1:22" ht="18" x14ac:dyDescent="0.25">
      <c r="B108" s="8" t="s">
        <v>4022</v>
      </c>
      <c r="C108" s="8"/>
    </row>
    <row r="109" spans="1:22" ht="18.75" x14ac:dyDescent="0.3">
      <c r="B109" s="242" t="s">
        <v>3499</v>
      </c>
      <c r="C109" s="8"/>
    </row>
    <row r="110" spans="1:22" ht="14.25" x14ac:dyDescent="0.2">
      <c r="B110" s="11"/>
      <c r="C110" s="12" t="s">
        <v>18</v>
      </c>
    </row>
    <row r="111" spans="1:22" ht="15" x14ac:dyDescent="0.2">
      <c r="B111" s="13" t="s">
        <v>0</v>
      </c>
      <c r="C111" s="13" t="s">
        <v>19</v>
      </c>
      <c r="D111" s="13" t="s">
        <v>20</v>
      </c>
      <c r="E111" s="13" t="s">
        <v>3593</v>
      </c>
      <c r="F111" s="13" t="s">
        <v>9</v>
      </c>
    </row>
    <row r="112" spans="1:22" x14ac:dyDescent="0.2">
      <c r="A112" s="43">
        <v>1</v>
      </c>
      <c r="B112" s="10" t="s">
        <v>1237</v>
      </c>
      <c r="C112" s="18" t="s">
        <v>18</v>
      </c>
      <c r="D112" s="27" t="s">
        <v>43</v>
      </c>
      <c r="E112" s="27" t="s">
        <v>1415</v>
      </c>
      <c r="F112" s="27" t="s">
        <v>1416</v>
      </c>
    </row>
    <row r="113" spans="1:6" x14ac:dyDescent="0.2">
      <c r="A113" s="43">
        <v>2</v>
      </c>
      <c r="B113" s="10" t="s">
        <v>1417</v>
      </c>
      <c r="C113" s="18" t="s">
        <v>18</v>
      </c>
      <c r="D113" s="27" t="s">
        <v>43</v>
      </c>
      <c r="E113" s="27" t="s">
        <v>1009</v>
      </c>
      <c r="F113" s="27" t="s">
        <v>1418</v>
      </c>
    </row>
    <row r="114" spans="1:6" x14ac:dyDescent="0.2">
      <c r="A114" s="43">
        <v>3</v>
      </c>
      <c r="B114" s="10" t="s">
        <v>1419</v>
      </c>
      <c r="C114" s="18" t="s">
        <v>18</v>
      </c>
      <c r="D114" s="27" t="s">
        <v>46</v>
      </c>
      <c r="E114" s="27" t="s">
        <v>1420</v>
      </c>
      <c r="F114" s="27" t="s">
        <v>1421</v>
      </c>
    </row>
    <row r="116" spans="1:6" ht="14.25" x14ac:dyDescent="0.2">
      <c r="B116" s="11"/>
      <c r="C116" s="12" t="s">
        <v>310</v>
      </c>
    </row>
    <row r="117" spans="1:6" ht="15" x14ac:dyDescent="0.2">
      <c r="B117" s="13" t="s">
        <v>0</v>
      </c>
      <c r="C117" s="13" t="s">
        <v>19</v>
      </c>
      <c r="D117" s="13" t="s">
        <v>20</v>
      </c>
      <c r="E117" s="13" t="s">
        <v>3593</v>
      </c>
      <c r="F117" s="13" t="s">
        <v>9</v>
      </c>
    </row>
    <row r="118" spans="1:6" x14ac:dyDescent="0.2">
      <c r="A118" s="43">
        <v>1</v>
      </c>
      <c r="B118" s="10" t="s">
        <v>1361</v>
      </c>
      <c r="C118" s="18" t="s">
        <v>313</v>
      </c>
      <c r="D118" s="27" t="s">
        <v>76</v>
      </c>
      <c r="E118" s="27" t="s">
        <v>1422</v>
      </c>
      <c r="F118" s="27" t="s">
        <v>1423</v>
      </c>
    </row>
    <row r="119" spans="1:6" x14ac:dyDescent="0.2">
      <c r="A119" s="43">
        <v>2</v>
      </c>
      <c r="B119" s="10" t="s">
        <v>1375</v>
      </c>
      <c r="C119" s="18" t="s">
        <v>313</v>
      </c>
      <c r="D119" s="27" t="s">
        <v>76</v>
      </c>
      <c r="E119" s="27" t="s">
        <v>1424</v>
      </c>
      <c r="F119" s="27" t="s">
        <v>1425</v>
      </c>
    </row>
    <row r="120" spans="1:6" x14ac:dyDescent="0.2">
      <c r="A120" s="43">
        <v>3</v>
      </c>
      <c r="B120" s="10" t="s">
        <v>1426</v>
      </c>
      <c r="C120" s="18" t="s">
        <v>312</v>
      </c>
      <c r="D120" s="27" t="s">
        <v>116</v>
      </c>
      <c r="E120" s="27" t="s">
        <v>1427</v>
      </c>
      <c r="F120" s="27" t="s">
        <v>1428</v>
      </c>
    </row>
  </sheetData>
  <mergeCells count="30">
    <mergeCell ref="A1:V1"/>
    <mergeCell ref="A2:V2"/>
    <mergeCell ref="A3:V3"/>
    <mergeCell ref="B55:U55"/>
    <mergeCell ref="B65:U65"/>
    <mergeCell ref="V4:V5"/>
    <mergeCell ref="C4:C5"/>
    <mergeCell ref="D4:D5"/>
    <mergeCell ref="E4:E5"/>
    <mergeCell ref="F4:F5"/>
    <mergeCell ref="G4:G5"/>
    <mergeCell ref="H4:K4"/>
    <mergeCell ref="L4:O4"/>
    <mergeCell ref="P4:S4"/>
    <mergeCell ref="B79:U79"/>
    <mergeCell ref="B95:U95"/>
    <mergeCell ref="B103:U103"/>
    <mergeCell ref="A4:A5"/>
    <mergeCell ref="B17:U17"/>
    <mergeCell ref="B21:U21"/>
    <mergeCell ref="B24:U24"/>
    <mergeCell ref="B27:U27"/>
    <mergeCell ref="B31:U31"/>
    <mergeCell ref="B37:U37"/>
    <mergeCell ref="T4:T5"/>
    <mergeCell ref="U4:U5"/>
    <mergeCell ref="B6:U6"/>
    <mergeCell ref="B10:U10"/>
    <mergeCell ref="B13:U13"/>
    <mergeCell ref="B4:B5"/>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sqref="A1:N1"/>
    </sheetView>
  </sheetViews>
  <sheetFormatPr defaultColWidth="8.7109375" defaultRowHeight="12.75" x14ac:dyDescent="0.2"/>
  <cols>
    <col min="1" max="1" width="8.7109375" style="43"/>
    <col min="2" max="2" width="22.7109375" style="6" customWidth="1"/>
    <col min="3" max="3" width="29.140625" style="6" customWidth="1"/>
    <col min="4" max="4" width="10.5703125" style="6" bestFit="1" customWidth="1"/>
    <col min="5" max="5" width="8.42578125" style="6" bestFit="1" customWidth="1"/>
    <col min="6" max="6" width="22.7109375" style="6" bestFit="1" customWidth="1"/>
    <col min="7" max="7" width="36.7109375" style="6" customWidth="1"/>
    <col min="8" max="8" width="5.5703125" style="27" bestFit="1" customWidth="1"/>
    <col min="9" max="9" width="4.28515625" style="27" customWidth="1"/>
    <col min="10" max="10" width="4.5703125" style="27" customWidth="1"/>
    <col min="11" max="11" width="4.5703125" style="27" bestFit="1" customWidth="1"/>
    <col min="12" max="12" width="11.5703125" style="32" customWidth="1"/>
    <col min="13" max="13" width="8.5703125" style="27" bestFit="1" customWidth="1"/>
    <col min="14" max="14" width="17.5703125" style="6" bestFit="1" customWidth="1"/>
    <col min="258" max="258" width="26" bestFit="1" customWidth="1"/>
    <col min="259" max="259" width="21.42578125" bestFit="1" customWidth="1"/>
    <col min="260" max="260" width="10.5703125" bestFit="1" customWidth="1"/>
    <col min="261" max="261" width="8.42578125" bestFit="1" customWidth="1"/>
    <col min="262" max="262" width="22.7109375" bestFit="1" customWidth="1"/>
    <col min="263" max="263" width="32.7109375" bestFit="1" customWidth="1"/>
    <col min="264" max="264" width="5.5703125" bestFit="1" customWidth="1"/>
    <col min="265" max="266" width="2.140625" bestFit="1" customWidth="1"/>
    <col min="267" max="267" width="4.5703125" bestFit="1" customWidth="1"/>
    <col min="268" max="268" width="7.85546875" bestFit="1" customWidth="1"/>
    <col min="269" max="269" width="8.5703125" bestFit="1" customWidth="1"/>
    <col min="270" max="270" width="17.5703125" bestFit="1" customWidth="1"/>
    <col min="514" max="514" width="26" bestFit="1" customWidth="1"/>
    <col min="515" max="515" width="21.42578125" bestFit="1" customWidth="1"/>
    <col min="516" max="516" width="10.5703125" bestFit="1" customWidth="1"/>
    <col min="517" max="517" width="8.42578125" bestFit="1" customWidth="1"/>
    <col min="518" max="518" width="22.7109375" bestFit="1" customWidth="1"/>
    <col min="519" max="519" width="32.7109375" bestFit="1" customWidth="1"/>
    <col min="520" max="520" width="5.5703125" bestFit="1" customWidth="1"/>
    <col min="521" max="522" width="2.140625" bestFit="1" customWidth="1"/>
    <col min="523" max="523" width="4.5703125" bestFit="1" customWidth="1"/>
    <col min="524" max="524" width="7.85546875" bestFit="1" customWidth="1"/>
    <col min="525" max="525" width="8.5703125" bestFit="1" customWidth="1"/>
    <col min="526" max="526" width="17.5703125" bestFit="1" customWidth="1"/>
    <col min="770" max="770" width="26" bestFit="1" customWidth="1"/>
    <col min="771" max="771" width="21.42578125" bestFit="1" customWidth="1"/>
    <col min="772" max="772" width="10.5703125" bestFit="1" customWidth="1"/>
    <col min="773" max="773" width="8.42578125" bestFit="1" customWidth="1"/>
    <col min="774" max="774" width="22.7109375" bestFit="1" customWidth="1"/>
    <col min="775" max="775" width="32.7109375" bestFit="1" customWidth="1"/>
    <col min="776" max="776" width="5.5703125" bestFit="1" customWidth="1"/>
    <col min="777" max="778" width="2.140625" bestFit="1" customWidth="1"/>
    <col min="779" max="779" width="4.5703125" bestFit="1" customWidth="1"/>
    <col min="780" max="780" width="7.85546875" bestFit="1" customWidth="1"/>
    <col min="781" max="781" width="8.5703125" bestFit="1" customWidth="1"/>
    <col min="782" max="782" width="17.5703125" bestFit="1" customWidth="1"/>
    <col min="1026" max="1026" width="26" bestFit="1" customWidth="1"/>
    <col min="1027" max="1027" width="21.42578125" bestFit="1" customWidth="1"/>
    <col min="1028" max="1028" width="10.5703125" bestFit="1" customWidth="1"/>
    <col min="1029" max="1029" width="8.42578125" bestFit="1" customWidth="1"/>
    <col min="1030" max="1030" width="22.7109375" bestFit="1" customWidth="1"/>
    <col min="1031" max="1031" width="32.7109375" bestFit="1" customWidth="1"/>
    <col min="1032" max="1032" width="5.5703125" bestFit="1" customWidth="1"/>
    <col min="1033" max="1034" width="2.140625" bestFit="1" customWidth="1"/>
    <col min="1035" max="1035" width="4.5703125" bestFit="1" customWidth="1"/>
    <col min="1036" max="1036" width="7.85546875" bestFit="1" customWidth="1"/>
    <col min="1037" max="1037" width="8.5703125" bestFit="1" customWidth="1"/>
    <col min="1038" max="1038" width="17.5703125" bestFit="1" customWidth="1"/>
    <col min="1282" max="1282" width="26" bestFit="1" customWidth="1"/>
    <col min="1283" max="1283" width="21.42578125" bestFit="1" customWidth="1"/>
    <col min="1284" max="1284" width="10.5703125" bestFit="1" customWidth="1"/>
    <col min="1285" max="1285" width="8.42578125" bestFit="1" customWidth="1"/>
    <col min="1286" max="1286" width="22.7109375" bestFit="1" customWidth="1"/>
    <col min="1287" max="1287" width="32.7109375" bestFit="1" customWidth="1"/>
    <col min="1288" max="1288" width="5.5703125" bestFit="1" customWidth="1"/>
    <col min="1289" max="1290" width="2.140625" bestFit="1" customWidth="1"/>
    <col min="1291" max="1291" width="4.5703125" bestFit="1" customWidth="1"/>
    <col min="1292" max="1292" width="7.85546875" bestFit="1" customWidth="1"/>
    <col min="1293" max="1293" width="8.5703125" bestFit="1" customWidth="1"/>
    <col min="1294" max="1294" width="17.5703125" bestFit="1" customWidth="1"/>
    <col min="1538" max="1538" width="26" bestFit="1" customWidth="1"/>
    <col min="1539" max="1539" width="21.42578125" bestFit="1" customWidth="1"/>
    <col min="1540" max="1540" width="10.5703125" bestFit="1" customWidth="1"/>
    <col min="1541" max="1541" width="8.42578125" bestFit="1" customWidth="1"/>
    <col min="1542" max="1542" width="22.7109375" bestFit="1" customWidth="1"/>
    <col min="1543" max="1543" width="32.7109375" bestFit="1" customWidth="1"/>
    <col min="1544" max="1544" width="5.5703125" bestFit="1" customWidth="1"/>
    <col min="1545" max="1546" width="2.140625" bestFit="1" customWidth="1"/>
    <col min="1547" max="1547" width="4.5703125" bestFit="1" customWidth="1"/>
    <col min="1548" max="1548" width="7.85546875" bestFit="1" customWidth="1"/>
    <col min="1549" max="1549" width="8.5703125" bestFit="1" customWidth="1"/>
    <col min="1550" max="1550" width="17.5703125" bestFit="1" customWidth="1"/>
    <col min="1794" max="1794" width="26" bestFit="1" customWidth="1"/>
    <col min="1795" max="1795" width="21.42578125" bestFit="1" customWidth="1"/>
    <col min="1796" max="1796" width="10.5703125" bestFit="1" customWidth="1"/>
    <col min="1797" max="1797" width="8.42578125" bestFit="1" customWidth="1"/>
    <col min="1798" max="1798" width="22.7109375" bestFit="1" customWidth="1"/>
    <col min="1799" max="1799" width="32.7109375" bestFit="1" customWidth="1"/>
    <col min="1800" max="1800" width="5.5703125" bestFit="1" customWidth="1"/>
    <col min="1801" max="1802" width="2.140625" bestFit="1" customWidth="1"/>
    <col min="1803" max="1803" width="4.5703125" bestFit="1" customWidth="1"/>
    <col min="1804" max="1804" width="7.85546875" bestFit="1" customWidth="1"/>
    <col min="1805" max="1805" width="8.5703125" bestFit="1" customWidth="1"/>
    <col min="1806" max="1806" width="17.5703125" bestFit="1" customWidth="1"/>
    <col min="2050" max="2050" width="26" bestFit="1" customWidth="1"/>
    <col min="2051" max="2051" width="21.42578125" bestFit="1" customWidth="1"/>
    <col min="2052" max="2052" width="10.5703125" bestFit="1" customWidth="1"/>
    <col min="2053" max="2053" width="8.42578125" bestFit="1" customWidth="1"/>
    <col min="2054" max="2054" width="22.7109375" bestFit="1" customWidth="1"/>
    <col min="2055" max="2055" width="32.7109375" bestFit="1" customWidth="1"/>
    <col min="2056" max="2056" width="5.5703125" bestFit="1" customWidth="1"/>
    <col min="2057" max="2058" width="2.140625" bestFit="1" customWidth="1"/>
    <col min="2059" max="2059" width="4.5703125" bestFit="1" customWidth="1"/>
    <col min="2060" max="2060" width="7.85546875" bestFit="1" customWidth="1"/>
    <col min="2061" max="2061" width="8.5703125" bestFit="1" customWidth="1"/>
    <col min="2062" max="2062" width="17.5703125" bestFit="1" customWidth="1"/>
    <col min="2306" max="2306" width="26" bestFit="1" customWidth="1"/>
    <col min="2307" max="2307" width="21.42578125" bestFit="1" customWidth="1"/>
    <col min="2308" max="2308" width="10.5703125" bestFit="1" customWidth="1"/>
    <col min="2309" max="2309" width="8.42578125" bestFit="1" customWidth="1"/>
    <col min="2310" max="2310" width="22.7109375" bestFit="1" customWidth="1"/>
    <col min="2311" max="2311" width="32.7109375" bestFit="1" customWidth="1"/>
    <col min="2312" max="2312" width="5.5703125" bestFit="1" customWidth="1"/>
    <col min="2313" max="2314" width="2.140625" bestFit="1" customWidth="1"/>
    <col min="2315" max="2315" width="4.5703125" bestFit="1" customWidth="1"/>
    <col min="2316" max="2316" width="7.85546875" bestFit="1" customWidth="1"/>
    <col min="2317" max="2317" width="8.5703125" bestFit="1" customWidth="1"/>
    <col min="2318" max="2318" width="17.5703125" bestFit="1" customWidth="1"/>
    <col min="2562" max="2562" width="26" bestFit="1" customWidth="1"/>
    <col min="2563" max="2563" width="21.42578125" bestFit="1" customWidth="1"/>
    <col min="2564" max="2564" width="10.5703125" bestFit="1" customWidth="1"/>
    <col min="2565" max="2565" width="8.42578125" bestFit="1" customWidth="1"/>
    <col min="2566" max="2566" width="22.7109375" bestFit="1" customWidth="1"/>
    <col min="2567" max="2567" width="32.7109375" bestFit="1" customWidth="1"/>
    <col min="2568" max="2568" width="5.5703125" bestFit="1" customWidth="1"/>
    <col min="2569" max="2570" width="2.140625" bestFit="1" customWidth="1"/>
    <col min="2571" max="2571" width="4.5703125" bestFit="1" customWidth="1"/>
    <col min="2572" max="2572" width="7.85546875" bestFit="1" customWidth="1"/>
    <col min="2573" max="2573" width="8.5703125" bestFit="1" customWidth="1"/>
    <col min="2574" max="2574" width="17.5703125" bestFit="1" customWidth="1"/>
    <col min="2818" max="2818" width="26" bestFit="1" customWidth="1"/>
    <col min="2819" max="2819" width="21.42578125" bestFit="1" customWidth="1"/>
    <col min="2820" max="2820" width="10.5703125" bestFit="1" customWidth="1"/>
    <col min="2821" max="2821" width="8.42578125" bestFit="1" customWidth="1"/>
    <col min="2822" max="2822" width="22.7109375" bestFit="1" customWidth="1"/>
    <col min="2823" max="2823" width="32.7109375" bestFit="1" customWidth="1"/>
    <col min="2824" max="2824" width="5.5703125" bestFit="1" customWidth="1"/>
    <col min="2825" max="2826" width="2.140625" bestFit="1" customWidth="1"/>
    <col min="2827" max="2827" width="4.5703125" bestFit="1" customWidth="1"/>
    <col min="2828" max="2828" width="7.85546875" bestFit="1" customWidth="1"/>
    <col min="2829" max="2829" width="8.5703125" bestFit="1" customWidth="1"/>
    <col min="2830" max="2830" width="17.5703125" bestFit="1" customWidth="1"/>
    <col min="3074" max="3074" width="26" bestFit="1" customWidth="1"/>
    <col min="3075" max="3075" width="21.42578125" bestFit="1" customWidth="1"/>
    <col min="3076" max="3076" width="10.5703125" bestFit="1" customWidth="1"/>
    <col min="3077" max="3077" width="8.42578125" bestFit="1" customWidth="1"/>
    <col min="3078" max="3078" width="22.7109375" bestFit="1" customWidth="1"/>
    <col min="3079" max="3079" width="32.7109375" bestFit="1" customWidth="1"/>
    <col min="3080" max="3080" width="5.5703125" bestFit="1" customWidth="1"/>
    <col min="3081" max="3082" width="2.140625" bestFit="1" customWidth="1"/>
    <col min="3083" max="3083" width="4.5703125" bestFit="1" customWidth="1"/>
    <col min="3084" max="3084" width="7.85546875" bestFit="1" customWidth="1"/>
    <col min="3085" max="3085" width="8.5703125" bestFit="1" customWidth="1"/>
    <col min="3086" max="3086" width="17.5703125" bestFit="1" customWidth="1"/>
    <col min="3330" max="3330" width="26" bestFit="1" customWidth="1"/>
    <col min="3331" max="3331" width="21.42578125" bestFit="1" customWidth="1"/>
    <col min="3332" max="3332" width="10.5703125" bestFit="1" customWidth="1"/>
    <col min="3333" max="3333" width="8.42578125" bestFit="1" customWidth="1"/>
    <col min="3334" max="3334" width="22.7109375" bestFit="1" customWidth="1"/>
    <col min="3335" max="3335" width="32.7109375" bestFit="1" customWidth="1"/>
    <col min="3336" max="3336" width="5.5703125" bestFit="1" customWidth="1"/>
    <col min="3337" max="3338" width="2.140625" bestFit="1" customWidth="1"/>
    <col min="3339" max="3339" width="4.5703125" bestFit="1" customWidth="1"/>
    <col min="3340" max="3340" width="7.85546875" bestFit="1" customWidth="1"/>
    <col min="3341" max="3341" width="8.5703125" bestFit="1" customWidth="1"/>
    <col min="3342" max="3342" width="17.5703125" bestFit="1" customWidth="1"/>
    <col min="3586" max="3586" width="26" bestFit="1" customWidth="1"/>
    <col min="3587" max="3587" width="21.42578125" bestFit="1" customWidth="1"/>
    <col min="3588" max="3588" width="10.5703125" bestFit="1" customWidth="1"/>
    <col min="3589" max="3589" width="8.42578125" bestFit="1" customWidth="1"/>
    <col min="3590" max="3590" width="22.7109375" bestFit="1" customWidth="1"/>
    <col min="3591" max="3591" width="32.7109375" bestFit="1" customWidth="1"/>
    <col min="3592" max="3592" width="5.5703125" bestFit="1" customWidth="1"/>
    <col min="3593" max="3594" width="2.140625" bestFit="1" customWidth="1"/>
    <col min="3595" max="3595" width="4.5703125" bestFit="1" customWidth="1"/>
    <col min="3596" max="3596" width="7.85546875" bestFit="1" customWidth="1"/>
    <col min="3597" max="3597" width="8.5703125" bestFit="1" customWidth="1"/>
    <col min="3598" max="3598" width="17.5703125" bestFit="1" customWidth="1"/>
    <col min="3842" max="3842" width="26" bestFit="1" customWidth="1"/>
    <col min="3843" max="3843" width="21.42578125" bestFit="1" customWidth="1"/>
    <col min="3844" max="3844" width="10.5703125" bestFit="1" customWidth="1"/>
    <col min="3845" max="3845" width="8.42578125" bestFit="1" customWidth="1"/>
    <col min="3846" max="3846" width="22.7109375" bestFit="1" customWidth="1"/>
    <col min="3847" max="3847" width="32.7109375" bestFit="1" customWidth="1"/>
    <col min="3848" max="3848" width="5.5703125" bestFit="1" customWidth="1"/>
    <col min="3849" max="3850" width="2.140625" bestFit="1" customWidth="1"/>
    <col min="3851" max="3851" width="4.5703125" bestFit="1" customWidth="1"/>
    <col min="3852" max="3852" width="7.85546875" bestFit="1" customWidth="1"/>
    <col min="3853" max="3853" width="8.5703125" bestFit="1" customWidth="1"/>
    <col min="3854" max="3854" width="17.5703125" bestFit="1" customWidth="1"/>
    <col min="4098" max="4098" width="26" bestFit="1" customWidth="1"/>
    <col min="4099" max="4099" width="21.42578125" bestFit="1" customWidth="1"/>
    <col min="4100" max="4100" width="10.5703125" bestFit="1" customWidth="1"/>
    <col min="4101" max="4101" width="8.42578125" bestFit="1" customWidth="1"/>
    <col min="4102" max="4102" width="22.7109375" bestFit="1" customWidth="1"/>
    <col min="4103" max="4103" width="32.7109375" bestFit="1" customWidth="1"/>
    <col min="4104" max="4104" width="5.5703125" bestFit="1" customWidth="1"/>
    <col min="4105" max="4106" width="2.140625" bestFit="1" customWidth="1"/>
    <col min="4107" max="4107" width="4.5703125" bestFit="1" customWidth="1"/>
    <col min="4108" max="4108" width="7.85546875" bestFit="1" customWidth="1"/>
    <col min="4109" max="4109" width="8.5703125" bestFit="1" customWidth="1"/>
    <col min="4110" max="4110" width="17.5703125" bestFit="1" customWidth="1"/>
    <col min="4354" max="4354" width="26" bestFit="1" customWidth="1"/>
    <col min="4355" max="4355" width="21.42578125" bestFit="1" customWidth="1"/>
    <col min="4356" max="4356" width="10.5703125" bestFit="1" customWidth="1"/>
    <col min="4357" max="4357" width="8.42578125" bestFit="1" customWidth="1"/>
    <col min="4358" max="4358" width="22.7109375" bestFit="1" customWidth="1"/>
    <col min="4359" max="4359" width="32.7109375" bestFit="1" customWidth="1"/>
    <col min="4360" max="4360" width="5.5703125" bestFit="1" customWidth="1"/>
    <col min="4361" max="4362" width="2.140625" bestFit="1" customWidth="1"/>
    <col min="4363" max="4363" width="4.5703125" bestFit="1" customWidth="1"/>
    <col min="4364" max="4364" width="7.85546875" bestFit="1" customWidth="1"/>
    <col min="4365" max="4365" width="8.5703125" bestFit="1" customWidth="1"/>
    <col min="4366" max="4366" width="17.5703125" bestFit="1" customWidth="1"/>
    <col min="4610" max="4610" width="26" bestFit="1" customWidth="1"/>
    <col min="4611" max="4611" width="21.42578125" bestFit="1" customWidth="1"/>
    <col min="4612" max="4612" width="10.5703125" bestFit="1" customWidth="1"/>
    <col min="4613" max="4613" width="8.42578125" bestFit="1" customWidth="1"/>
    <col min="4614" max="4614" width="22.7109375" bestFit="1" customWidth="1"/>
    <col min="4615" max="4615" width="32.7109375" bestFit="1" customWidth="1"/>
    <col min="4616" max="4616" width="5.5703125" bestFit="1" customWidth="1"/>
    <col min="4617" max="4618" width="2.140625" bestFit="1" customWidth="1"/>
    <col min="4619" max="4619" width="4.5703125" bestFit="1" customWidth="1"/>
    <col min="4620" max="4620" width="7.85546875" bestFit="1" customWidth="1"/>
    <col min="4621" max="4621" width="8.5703125" bestFit="1" customWidth="1"/>
    <col min="4622" max="4622" width="17.5703125" bestFit="1" customWidth="1"/>
    <col min="4866" max="4866" width="26" bestFit="1" customWidth="1"/>
    <col min="4867" max="4867" width="21.42578125" bestFit="1" customWidth="1"/>
    <col min="4868" max="4868" width="10.5703125" bestFit="1" customWidth="1"/>
    <col min="4869" max="4869" width="8.42578125" bestFit="1" customWidth="1"/>
    <col min="4870" max="4870" width="22.7109375" bestFit="1" customWidth="1"/>
    <col min="4871" max="4871" width="32.7109375" bestFit="1" customWidth="1"/>
    <col min="4872" max="4872" width="5.5703125" bestFit="1" customWidth="1"/>
    <col min="4873" max="4874" width="2.140625" bestFit="1" customWidth="1"/>
    <col min="4875" max="4875" width="4.5703125" bestFit="1" customWidth="1"/>
    <col min="4876" max="4876" width="7.85546875" bestFit="1" customWidth="1"/>
    <col min="4877" max="4877" width="8.5703125" bestFit="1" customWidth="1"/>
    <col min="4878" max="4878" width="17.5703125" bestFit="1" customWidth="1"/>
    <col min="5122" max="5122" width="26" bestFit="1" customWidth="1"/>
    <col min="5123" max="5123" width="21.42578125" bestFit="1" customWidth="1"/>
    <col min="5124" max="5124" width="10.5703125" bestFit="1" customWidth="1"/>
    <col min="5125" max="5125" width="8.42578125" bestFit="1" customWidth="1"/>
    <col min="5126" max="5126" width="22.7109375" bestFit="1" customWidth="1"/>
    <col min="5127" max="5127" width="32.7109375" bestFit="1" customWidth="1"/>
    <col min="5128" max="5128" width="5.5703125" bestFit="1" customWidth="1"/>
    <col min="5129" max="5130" width="2.140625" bestFit="1" customWidth="1"/>
    <col min="5131" max="5131" width="4.5703125" bestFit="1" customWidth="1"/>
    <col min="5132" max="5132" width="7.85546875" bestFit="1" customWidth="1"/>
    <col min="5133" max="5133" width="8.5703125" bestFit="1" customWidth="1"/>
    <col min="5134" max="5134" width="17.5703125" bestFit="1" customWidth="1"/>
    <col min="5378" max="5378" width="26" bestFit="1" customWidth="1"/>
    <col min="5379" max="5379" width="21.42578125" bestFit="1" customWidth="1"/>
    <col min="5380" max="5380" width="10.5703125" bestFit="1" customWidth="1"/>
    <col min="5381" max="5381" width="8.42578125" bestFit="1" customWidth="1"/>
    <col min="5382" max="5382" width="22.7109375" bestFit="1" customWidth="1"/>
    <col min="5383" max="5383" width="32.7109375" bestFit="1" customWidth="1"/>
    <col min="5384" max="5384" width="5.5703125" bestFit="1" customWidth="1"/>
    <col min="5385" max="5386" width="2.140625" bestFit="1" customWidth="1"/>
    <col min="5387" max="5387" width="4.5703125" bestFit="1" customWidth="1"/>
    <col min="5388" max="5388" width="7.85546875" bestFit="1" customWidth="1"/>
    <col min="5389" max="5389" width="8.5703125" bestFit="1" customWidth="1"/>
    <col min="5390" max="5390" width="17.5703125" bestFit="1" customWidth="1"/>
    <col min="5634" max="5634" width="26" bestFit="1" customWidth="1"/>
    <col min="5635" max="5635" width="21.42578125" bestFit="1" customWidth="1"/>
    <col min="5636" max="5636" width="10.5703125" bestFit="1" customWidth="1"/>
    <col min="5637" max="5637" width="8.42578125" bestFit="1" customWidth="1"/>
    <col min="5638" max="5638" width="22.7109375" bestFit="1" customWidth="1"/>
    <col min="5639" max="5639" width="32.7109375" bestFit="1" customWidth="1"/>
    <col min="5640" max="5640" width="5.5703125" bestFit="1" customWidth="1"/>
    <col min="5641" max="5642" width="2.140625" bestFit="1" customWidth="1"/>
    <col min="5643" max="5643" width="4.5703125" bestFit="1" customWidth="1"/>
    <col min="5644" max="5644" width="7.85546875" bestFit="1" customWidth="1"/>
    <col min="5645" max="5645" width="8.5703125" bestFit="1" customWidth="1"/>
    <col min="5646" max="5646" width="17.5703125" bestFit="1" customWidth="1"/>
    <col min="5890" max="5890" width="26" bestFit="1" customWidth="1"/>
    <col min="5891" max="5891" width="21.42578125" bestFit="1" customWidth="1"/>
    <col min="5892" max="5892" width="10.5703125" bestFit="1" customWidth="1"/>
    <col min="5893" max="5893" width="8.42578125" bestFit="1" customWidth="1"/>
    <col min="5894" max="5894" width="22.7109375" bestFit="1" customWidth="1"/>
    <col min="5895" max="5895" width="32.7109375" bestFit="1" customWidth="1"/>
    <col min="5896" max="5896" width="5.5703125" bestFit="1" customWidth="1"/>
    <col min="5897" max="5898" width="2.140625" bestFit="1" customWidth="1"/>
    <col min="5899" max="5899" width="4.5703125" bestFit="1" customWidth="1"/>
    <col min="5900" max="5900" width="7.85546875" bestFit="1" customWidth="1"/>
    <col min="5901" max="5901" width="8.5703125" bestFit="1" customWidth="1"/>
    <col min="5902" max="5902" width="17.5703125" bestFit="1" customWidth="1"/>
    <col min="6146" max="6146" width="26" bestFit="1" customWidth="1"/>
    <col min="6147" max="6147" width="21.42578125" bestFit="1" customWidth="1"/>
    <col min="6148" max="6148" width="10.5703125" bestFit="1" customWidth="1"/>
    <col min="6149" max="6149" width="8.42578125" bestFit="1" customWidth="1"/>
    <col min="6150" max="6150" width="22.7109375" bestFit="1" customWidth="1"/>
    <col min="6151" max="6151" width="32.7109375" bestFit="1" customWidth="1"/>
    <col min="6152" max="6152" width="5.5703125" bestFit="1" customWidth="1"/>
    <col min="6153" max="6154" width="2.140625" bestFit="1" customWidth="1"/>
    <col min="6155" max="6155" width="4.5703125" bestFit="1" customWidth="1"/>
    <col min="6156" max="6156" width="7.85546875" bestFit="1" customWidth="1"/>
    <col min="6157" max="6157" width="8.5703125" bestFit="1" customWidth="1"/>
    <col min="6158" max="6158" width="17.5703125" bestFit="1" customWidth="1"/>
    <col min="6402" max="6402" width="26" bestFit="1" customWidth="1"/>
    <col min="6403" max="6403" width="21.42578125" bestFit="1" customWidth="1"/>
    <col min="6404" max="6404" width="10.5703125" bestFit="1" customWidth="1"/>
    <col min="6405" max="6405" width="8.42578125" bestFit="1" customWidth="1"/>
    <col min="6406" max="6406" width="22.7109375" bestFit="1" customWidth="1"/>
    <col min="6407" max="6407" width="32.7109375" bestFit="1" customWidth="1"/>
    <col min="6408" max="6408" width="5.5703125" bestFit="1" customWidth="1"/>
    <col min="6409" max="6410" width="2.140625" bestFit="1" customWidth="1"/>
    <col min="6411" max="6411" width="4.5703125" bestFit="1" customWidth="1"/>
    <col min="6412" max="6412" width="7.85546875" bestFit="1" customWidth="1"/>
    <col min="6413" max="6413" width="8.5703125" bestFit="1" customWidth="1"/>
    <col min="6414" max="6414" width="17.5703125" bestFit="1" customWidth="1"/>
    <col min="6658" max="6658" width="26" bestFit="1" customWidth="1"/>
    <col min="6659" max="6659" width="21.42578125" bestFit="1" customWidth="1"/>
    <col min="6660" max="6660" width="10.5703125" bestFit="1" customWidth="1"/>
    <col min="6661" max="6661" width="8.42578125" bestFit="1" customWidth="1"/>
    <col min="6662" max="6662" width="22.7109375" bestFit="1" customWidth="1"/>
    <col min="6663" max="6663" width="32.7109375" bestFit="1" customWidth="1"/>
    <col min="6664" max="6664" width="5.5703125" bestFit="1" customWidth="1"/>
    <col min="6665" max="6666" width="2.140625" bestFit="1" customWidth="1"/>
    <col min="6667" max="6667" width="4.5703125" bestFit="1" customWidth="1"/>
    <col min="6668" max="6668" width="7.85546875" bestFit="1" customWidth="1"/>
    <col min="6669" max="6669" width="8.5703125" bestFit="1" customWidth="1"/>
    <col min="6670" max="6670" width="17.5703125" bestFit="1" customWidth="1"/>
    <col min="6914" max="6914" width="26" bestFit="1" customWidth="1"/>
    <col min="6915" max="6915" width="21.42578125" bestFit="1" customWidth="1"/>
    <col min="6916" max="6916" width="10.5703125" bestFit="1" customWidth="1"/>
    <col min="6917" max="6917" width="8.42578125" bestFit="1" customWidth="1"/>
    <col min="6918" max="6918" width="22.7109375" bestFit="1" customWidth="1"/>
    <col min="6919" max="6919" width="32.7109375" bestFit="1" customWidth="1"/>
    <col min="6920" max="6920" width="5.5703125" bestFit="1" customWidth="1"/>
    <col min="6921" max="6922" width="2.140625" bestFit="1" customWidth="1"/>
    <col min="6923" max="6923" width="4.5703125" bestFit="1" customWidth="1"/>
    <col min="6924" max="6924" width="7.85546875" bestFit="1" customWidth="1"/>
    <col min="6925" max="6925" width="8.5703125" bestFit="1" customWidth="1"/>
    <col min="6926" max="6926" width="17.5703125" bestFit="1" customWidth="1"/>
    <col min="7170" max="7170" width="26" bestFit="1" customWidth="1"/>
    <col min="7171" max="7171" width="21.42578125" bestFit="1" customWidth="1"/>
    <col min="7172" max="7172" width="10.5703125" bestFit="1" customWidth="1"/>
    <col min="7173" max="7173" width="8.42578125" bestFit="1" customWidth="1"/>
    <col min="7174" max="7174" width="22.7109375" bestFit="1" customWidth="1"/>
    <col min="7175" max="7175" width="32.7109375" bestFit="1" customWidth="1"/>
    <col min="7176" max="7176" width="5.5703125" bestFit="1" customWidth="1"/>
    <col min="7177" max="7178" width="2.140625" bestFit="1" customWidth="1"/>
    <col min="7179" max="7179" width="4.5703125" bestFit="1" customWidth="1"/>
    <col min="7180" max="7180" width="7.85546875" bestFit="1" customWidth="1"/>
    <col min="7181" max="7181" width="8.5703125" bestFit="1" customWidth="1"/>
    <col min="7182" max="7182" width="17.5703125" bestFit="1" customWidth="1"/>
    <col min="7426" max="7426" width="26" bestFit="1" customWidth="1"/>
    <col min="7427" max="7427" width="21.42578125" bestFit="1" customWidth="1"/>
    <col min="7428" max="7428" width="10.5703125" bestFit="1" customWidth="1"/>
    <col min="7429" max="7429" width="8.42578125" bestFit="1" customWidth="1"/>
    <col min="7430" max="7430" width="22.7109375" bestFit="1" customWidth="1"/>
    <col min="7431" max="7431" width="32.7109375" bestFit="1" customWidth="1"/>
    <col min="7432" max="7432" width="5.5703125" bestFit="1" customWidth="1"/>
    <col min="7433" max="7434" width="2.140625" bestFit="1" customWidth="1"/>
    <col min="7435" max="7435" width="4.5703125" bestFit="1" customWidth="1"/>
    <col min="7436" max="7436" width="7.85546875" bestFit="1" customWidth="1"/>
    <col min="7437" max="7437" width="8.5703125" bestFit="1" customWidth="1"/>
    <col min="7438" max="7438" width="17.5703125" bestFit="1" customWidth="1"/>
    <col min="7682" max="7682" width="26" bestFit="1" customWidth="1"/>
    <col min="7683" max="7683" width="21.42578125" bestFit="1" customWidth="1"/>
    <col min="7684" max="7684" width="10.5703125" bestFit="1" customWidth="1"/>
    <col min="7685" max="7685" width="8.42578125" bestFit="1" customWidth="1"/>
    <col min="7686" max="7686" width="22.7109375" bestFit="1" customWidth="1"/>
    <col min="7687" max="7687" width="32.7109375" bestFit="1" customWidth="1"/>
    <col min="7688" max="7688" width="5.5703125" bestFit="1" customWidth="1"/>
    <col min="7689" max="7690" width="2.140625" bestFit="1" customWidth="1"/>
    <col min="7691" max="7691" width="4.5703125" bestFit="1" customWidth="1"/>
    <col min="7692" max="7692" width="7.85546875" bestFit="1" customWidth="1"/>
    <col min="7693" max="7693" width="8.5703125" bestFit="1" customWidth="1"/>
    <col min="7694" max="7694" width="17.5703125" bestFit="1" customWidth="1"/>
    <col min="7938" max="7938" width="26" bestFit="1" customWidth="1"/>
    <col min="7939" max="7939" width="21.42578125" bestFit="1" customWidth="1"/>
    <col min="7940" max="7940" width="10.5703125" bestFit="1" customWidth="1"/>
    <col min="7941" max="7941" width="8.42578125" bestFit="1" customWidth="1"/>
    <col min="7942" max="7942" width="22.7109375" bestFit="1" customWidth="1"/>
    <col min="7943" max="7943" width="32.7109375" bestFit="1" customWidth="1"/>
    <col min="7944" max="7944" width="5.5703125" bestFit="1" customWidth="1"/>
    <col min="7945" max="7946" width="2.140625" bestFit="1" customWidth="1"/>
    <col min="7947" max="7947" width="4.5703125" bestFit="1" customWidth="1"/>
    <col min="7948" max="7948" width="7.85546875" bestFit="1" customWidth="1"/>
    <col min="7949" max="7949" width="8.5703125" bestFit="1" customWidth="1"/>
    <col min="7950" max="7950" width="17.5703125" bestFit="1" customWidth="1"/>
    <col min="8194" max="8194" width="26" bestFit="1" customWidth="1"/>
    <col min="8195" max="8195" width="21.42578125" bestFit="1" customWidth="1"/>
    <col min="8196" max="8196" width="10.5703125" bestFit="1" customWidth="1"/>
    <col min="8197" max="8197" width="8.42578125" bestFit="1" customWidth="1"/>
    <col min="8198" max="8198" width="22.7109375" bestFit="1" customWidth="1"/>
    <col min="8199" max="8199" width="32.7109375" bestFit="1" customWidth="1"/>
    <col min="8200" max="8200" width="5.5703125" bestFit="1" customWidth="1"/>
    <col min="8201" max="8202" width="2.140625" bestFit="1" customWidth="1"/>
    <col min="8203" max="8203" width="4.5703125" bestFit="1" customWidth="1"/>
    <col min="8204" max="8204" width="7.85546875" bestFit="1" customWidth="1"/>
    <col min="8205" max="8205" width="8.5703125" bestFit="1" customWidth="1"/>
    <col min="8206" max="8206" width="17.5703125" bestFit="1" customWidth="1"/>
    <col min="8450" max="8450" width="26" bestFit="1" customWidth="1"/>
    <col min="8451" max="8451" width="21.42578125" bestFit="1" customWidth="1"/>
    <col min="8452" max="8452" width="10.5703125" bestFit="1" customWidth="1"/>
    <col min="8453" max="8453" width="8.42578125" bestFit="1" customWidth="1"/>
    <col min="8454" max="8454" width="22.7109375" bestFit="1" customWidth="1"/>
    <col min="8455" max="8455" width="32.7109375" bestFit="1" customWidth="1"/>
    <col min="8456" max="8456" width="5.5703125" bestFit="1" customWidth="1"/>
    <col min="8457" max="8458" width="2.140625" bestFit="1" customWidth="1"/>
    <col min="8459" max="8459" width="4.5703125" bestFit="1" customWidth="1"/>
    <col min="8460" max="8460" width="7.85546875" bestFit="1" customWidth="1"/>
    <col min="8461" max="8461" width="8.5703125" bestFit="1" customWidth="1"/>
    <col min="8462" max="8462" width="17.5703125" bestFit="1" customWidth="1"/>
    <col min="8706" max="8706" width="26" bestFit="1" customWidth="1"/>
    <col min="8707" max="8707" width="21.42578125" bestFit="1" customWidth="1"/>
    <col min="8708" max="8708" width="10.5703125" bestFit="1" customWidth="1"/>
    <col min="8709" max="8709" width="8.42578125" bestFit="1" customWidth="1"/>
    <col min="8710" max="8710" width="22.7109375" bestFit="1" customWidth="1"/>
    <col min="8711" max="8711" width="32.7109375" bestFit="1" customWidth="1"/>
    <col min="8712" max="8712" width="5.5703125" bestFit="1" customWidth="1"/>
    <col min="8713" max="8714" width="2.140625" bestFit="1" customWidth="1"/>
    <col min="8715" max="8715" width="4.5703125" bestFit="1" customWidth="1"/>
    <col min="8716" max="8716" width="7.85546875" bestFit="1" customWidth="1"/>
    <col min="8717" max="8717" width="8.5703125" bestFit="1" customWidth="1"/>
    <col min="8718" max="8718" width="17.5703125" bestFit="1" customWidth="1"/>
    <col min="8962" max="8962" width="26" bestFit="1" customWidth="1"/>
    <col min="8963" max="8963" width="21.42578125" bestFit="1" customWidth="1"/>
    <col min="8964" max="8964" width="10.5703125" bestFit="1" customWidth="1"/>
    <col min="8965" max="8965" width="8.42578125" bestFit="1" customWidth="1"/>
    <col min="8966" max="8966" width="22.7109375" bestFit="1" customWidth="1"/>
    <col min="8967" max="8967" width="32.7109375" bestFit="1" customWidth="1"/>
    <col min="8968" max="8968" width="5.5703125" bestFit="1" customWidth="1"/>
    <col min="8969" max="8970" width="2.140625" bestFit="1" customWidth="1"/>
    <col min="8971" max="8971" width="4.5703125" bestFit="1" customWidth="1"/>
    <col min="8972" max="8972" width="7.85546875" bestFit="1" customWidth="1"/>
    <col min="8973" max="8973" width="8.5703125" bestFit="1" customWidth="1"/>
    <col min="8974" max="8974" width="17.5703125" bestFit="1" customWidth="1"/>
    <col min="9218" max="9218" width="26" bestFit="1" customWidth="1"/>
    <col min="9219" max="9219" width="21.42578125" bestFit="1" customWidth="1"/>
    <col min="9220" max="9220" width="10.5703125" bestFit="1" customWidth="1"/>
    <col min="9221" max="9221" width="8.42578125" bestFit="1" customWidth="1"/>
    <col min="9222" max="9222" width="22.7109375" bestFit="1" customWidth="1"/>
    <col min="9223" max="9223" width="32.7109375" bestFit="1" customWidth="1"/>
    <col min="9224" max="9224" width="5.5703125" bestFit="1" customWidth="1"/>
    <col min="9225" max="9226" width="2.140625" bestFit="1" customWidth="1"/>
    <col min="9227" max="9227" width="4.5703125" bestFit="1" customWidth="1"/>
    <col min="9228" max="9228" width="7.85546875" bestFit="1" customWidth="1"/>
    <col min="9229" max="9229" width="8.5703125" bestFit="1" customWidth="1"/>
    <col min="9230" max="9230" width="17.5703125" bestFit="1" customWidth="1"/>
    <col min="9474" max="9474" width="26" bestFit="1" customWidth="1"/>
    <col min="9475" max="9475" width="21.42578125" bestFit="1" customWidth="1"/>
    <col min="9476" max="9476" width="10.5703125" bestFit="1" customWidth="1"/>
    <col min="9477" max="9477" width="8.42578125" bestFit="1" customWidth="1"/>
    <col min="9478" max="9478" width="22.7109375" bestFit="1" customWidth="1"/>
    <col min="9479" max="9479" width="32.7109375" bestFit="1" customWidth="1"/>
    <col min="9480" max="9480" width="5.5703125" bestFit="1" customWidth="1"/>
    <col min="9481" max="9482" width="2.140625" bestFit="1" customWidth="1"/>
    <col min="9483" max="9483" width="4.5703125" bestFit="1" customWidth="1"/>
    <col min="9484" max="9484" width="7.85546875" bestFit="1" customWidth="1"/>
    <col min="9485" max="9485" width="8.5703125" bestFit="1" customWidth="1"/>
    <col min="9486" max="9486" width="17.5703125" bestFit="1" customWidth="1"/>
    <col min="9730" max="9730" width="26" bestFit="1" customWidth="1"/>
    <col min="9731" max="9731" width="21.42578125" bestFit="1" customWidth="1"/>
    <col min="9732" max="9732" width="10.5703125" bestFit="1" customWidth="1"/>
    <col min="9733" max="9733" width="8.42578125" bestFit="1" customWidth="1"/>
    <col min="9734" max="9734" width="22.7109375" bestFit="1" customWidth="1"/>
    <col min="9735" max="9735" width="32.7109375" bestFit="1" customWidth="1"/>
    <col min="9736" max="9736" width="5.5703125" bestFit="1" customWidth="1"/>
    <col min="9737" max="9738" width="2.140625" bestFit="1" customWidth="1"/>
    <col min="9739" max="9739" width="4.5703125" bestFit="1" customWidth="1"/>
    <col min="9740" max="9740" width="7.85546875" bestFit="1" customWidth="1"/>
    <col min="9741" max="9741" width="8.5703125" bestFit="1" customWidth="1"/>
    <col min="9742" max="9742" width="17.5703125" bestFit="1" customWidth="1"/>
    <col min="9986" max="9986" width="26" bestFit="1" customWidth="1"/>
    <col min="9987" max="9987" width="21.42578125" bestFit="1" customWidth="1"/>
    <col min="9988" max="9988" width="10.5703125" bestFit="1" customWidth="1"/>
    <col min="9989" max="9989" width="8.42578125" bestFit="1" customWidth="1"/>
    <col min="9990" max="9990" width="22.7109375" bestFit="1" customWidth="1"/>
    <col min="9991" max="9991" width="32.7109375" bestFit="1" customWidth="1"/>
    <col min="9992" max="9992" width="5.5703125" bestFit="1" customWidth="1"/>
    <col min="9993" max="9994" width="2.140625" bestFit="1" customWidth="1"/>
    <col min="9995" max="9995" width="4.5703125" bestFit="1" customWidth="1"/>
    <col min="9996" max="9996" width="7.85546875" bestFit="1" customWidth="1"/>
    <col min="9997" max="9997" width="8.5703125" bestFit="1" customWidth="1"/>
    <col min="9998" max="9998" width="17.5703125" bestFit="1" customWidth="1"/>
    <col min="10242" max="10242" width="26" bestFit="1" customWidth="1"/>
    <col min="10243" max="10243" width="21.42578125" bestFit="1" customWidth="1"/>
    <col min="10244" max="10244" width="10.5703125" bestFit="1" customWidth="1"/>
    <col min="10245" max="10245" width="8.42578125" bestFit="1" customWidth="1"/>
    <col min="10246" max="10246" width="22.7109375" bestFit="1" customWidth="1"/>
    <col min="10247" max="10247" width="32.7109375" bestFit="1" customWidth="1"/>
    <col min="10248" max="10248" width="5.5703125" bestFit="1" customWidth="1"/>
    <col min="10249" max="10250" width="2.140625" bestFit="1" customWidth="1"/>
    <col min="10251" max="10251" width="4.5703125" bestFit="1" customWidth="1"/>
    <col min="10252" max="10252" width="7.85546875" bestFit="1" customWidth="1"/>
    <col min="10253" max="10253" width="8.5703125" bestFit="1" customWidth="1"/>
    <col min="10254" max="10254" width="17.5703125" bestFit="1" customWidth="1"/>
    <col min="10498" max="10498" width="26" bestFit="1" customWidth="1"/>
    <col min="10499" max="10499" width="21.42578125" bestFit="1" customWidth="1"/>
    <col min="10500" max="10500" width="10.5703125" bestFit="1" customWidth="1"/>
    <col min="10501" max="10501" width="8.42578125" bestFit="1" customWidth="1"/>
    <col min="10502" max="10502" width="22.7109375" bestFit="1" customWidth="1"/>
    <col min="10503" max="10503" width="32.7109375" bestFit="1" customWidth="1"/>
    <col min="10504" max="10504" width="5.5703125" bestFit="1" customWidth="1"/>
    <col min="10505" max="10506" width="2.140625" bestFit="1" customWidth="1"/>
    <col min="10507" max="10507" width="4.5703125" bestFit="1" customWidth="1"/>
    <col min="10508" max="10508" width="7.85546875" bestFit="1" customWidth="1"/>
    <col min="10509" max="10509" width="8.5703125" bestFit="1" customWidth="1"/>
    <col min="10510" max="10510" width="17.5703125" bestFit="1" customWidth="1"/>
    <col min="10754" max="10754" width="26" bestFit="1" customWidth="1"/>
    <col min="10755" max="10755" width="21.42578125" bestFit="1" customWidth="1"/>
    <col min="10756" max="10756" width="10.5703125" bestFit="1" customWidth="1"/>
    <col min="10757" max="10757" width="8.42578125" bestFit="1" customWidth="1"/>
    <col min="10758" max="10758" width="22.7109375" bestFit="1" customWidth="1"/>
    <col min="10759" max="10759" width="32.7109375" bestFit="1" customWidth="1"/>
    <col min="10760" max="10760" width="5.5703125" bestFit="1" customWidth="1"/>
    <col min="10761" max="10762" width="2.140625" bestFit="1" customWidth="1"/>
    <col min="10763" max="10763" width="4.5703125" bestFit="1" customWidth="1"/>
    <col min="10764" max="10764" width="7.85546875" bestFit="1" customWidth="1"/>
    <col min="10765" max="10765" width="8.5703125" bestFit="1" customWidth="1"/>
    <col min="10766" max="10766" width="17.5703125" bestFit="1" customWidth="1"/>
    <col min="11010" max="11010" width="26" bestFit="1" customWidth="1"/>
    <col min="11011" max="11011" width="21.42578125" bestFit="1" customWidth="1"/>
    <col min="11012" max="11012" width="10.5703125" bestFit="1" customWidth="1"/>
    <col min="11013" max="11013" width="8.42578125" bestFit="1" customWidth="1"/>
    <col min="11014" max="11014" width="22.7109375" bestFit="1" customWidth="1"/>
    <col min="11015" max="11015" width="32.7109375" bestFit="1" customWidth="1"/>
    <col min="11016" max="11016" width="5.5703125" bestFit="1" customWidth="1"/>
    <col min="11017" max="11018" width="2.140625" bestFit="1" customWidth="1"/>
    <col min="11019" max="11019" width="4.5703125" bestFit="1" customWidth="1"/>
    <col min="11020" max="11020" width="7.85546875" bestFit="1" customWidth="1"/>
    <col min="11021" max="11021" width="8.5703125" bestFit="1" customWidth="1"/>
    <col min="11022" max="11022" width="17.5703125" bestFit="1" customWidth="1"/>
    <col min="11266" max="11266" width="26" bestFit="1" customWidth="1"/>
    <col min="11267" max="11267" width="21.42578125" bestFit="1" customWidth="1"/>
    <col min="11268" max="11268" width="10.5703125" bestFit="1" customWidth="1"/>
    <col min="11269" max="11269" width="8.42578125" bestFit="1" customWidth="1"/>
    <col min="11270" max="11270" width="22.7109375" bestFit="1" customWidth="1"/>
    <col min="11271" max="11271" width="32.7109375" bestFit="1" customWidth="1"/>
    <col min="11272" max="11272" width="5.5703125" bestFit="1" customWidth="1"/>
    <col min="11273" max="11274" width="2.140625" bestFit="1" customWidth="1"/>
    <col min="11275" max="11275" width="4.5703125" bestFit="1" customWidth="1"/>
    <col min="11276" max="11276" width="7.85546875" bestFit="1" customWidth="1"/>
    <col min="11277" max="11277" width="8.5703125" bestFit="1" customWidth="1"/>
    <col min="11278" max="11278" width="17.5703125" bestFit="1" customWidth="1"/>
    <col min="11522" max="11522" width="26" bestFit="1" customWidth="1"/>
    <col min="11523" max="11523" width="21.42578125" bestFit="1" customWidth="1"/>
    <col min="11524" max="11524" width="10.5703125" bestFit="1" customWidth="1"/>
    <col min="11525" max="11525" width="8.42578125" bestFit="1" customWidth="1"/>
    <col min="11526" max="11526" width="22.7109375" bestFit="1" customWidth="1"/>
    <col min="11527" max="11527" width="32.7109375" bestFit="1" customWidth="1"/>
    <col min="11528" max="11528" width="5.5703125" bestFit="1" customWidth="1"/>
    <col min="11529" max="11530" width="2.140625" bestFit="1" customWidth="1"/>
    <col min="11531" max="11531" width="4.5703125" bestFit="1" customWidth="1"/>
    <col min="11532" max="11532" width="7.85546875" bestFit="1" customWidth="1"/>
    <col min="11533" max="11533" width="8.5703125" bestFit="1" customWidth="1"/>
    <col min="11534" max="11534" width="17.5703125" bestFit="1" customWidth="1"/>
    <col min="11778" max="11778" width="26" bestFit="1" customWidth="1"/>
    <col min="11779" max="11779" width="21.42578125" bestFit="1" customWidth="1"/>
    <col min="11780" max="11780" width="10.5703125" bestFit="1" customWidth="1"/>
    <col min="11781" max="11781" width="8.42578125" bestFit="1" customWidth="1"/>
    <col min="11782" max="11782" width="22.7109375" bestFit="1" customWidth="1"/>
    <col min="11783" max="11783" width="32.7109375" bestFit="1" customWidth="1"/>
    <col min="11784" max="11784" width="5.5703125" bestFit="1" customWidth="1"/>
    <col min="11785" max="11786" width="2.140625" bestFit="1" customWidth="1"/>
    <col min="11787" max="11787" width="4.5703125" bestFit="1" customWidth="1"/>
    <col min="11788" max="11788" width="7.85546875" bestFit="1" customWidth="1"/>
    <col min="11789" max="11789" width="8.5703125" bestFit="1" customWidth="1"/>
    <col min="11790" max="11790" width="17.5703125" bestFit="1" customWidth="1"/>
    <col min="12034" max="12034" width="26" bestFit="1" customWidth="1"/>
    <col min="12035" max="12035" width="21.42578125" bestFit="1" customWidth="1"/>
    <col min="12036" max="12036" width="10.5703125" bestFit="1" customWidth="1"/>
    <col min="12037" max="12037" width="8.42578125" bestFit="1" customWidth="1"/>
    <col min="12038" max="12038" width="22.7109375" bestFit="1" customWidth="1"/>
    <col min="12039" max="12039" width="32.7109375" bestFit="1" customWidth="1"/>
    <col min="12040" max="12040" width="5.5703125" bestFit="1" customWidth="1"/>
    <col min="12041" max="12042" width="2.140625" bestFit="1" customWidth="1"/>
    <col min="12043" max="12043" width="4.5703125" bestFit="1" customWidth="1"/>
    <col min="12044" max="12044" width="7.85546875" bestFit="1" customWidth="1"/>
    <col min="12045" max="12045" width="8.5703125" bestFit="1" customWidth="1"/>
    <col min="12046" max="12046" width="17.5703125" bestFit="1" customWidth="1"/>
    <col min="12290" max="12290" width="26" bestFit="1" customWidth="1"/>
    <col min="12291" max="12291" width="21.42578125" bestFit="1" customWidth="1"/>
    <col min="12292" max="12292" width="10.5703125" bestFit="1" customWidth="1"/>
    <col min="12293" max="12293" width="8.42578125" bestFit="1" customWidth="1"/>
    <col min="12294" max="12294" width="22.7109375" bestFit="1" customWidth="1"/>
    <col min="12295" max="12295" width="32.7109375" bestFit="1" customWidth="1"/>
    <col min="12296" max="12296" width="5.5703125" bestFit="1" customWidth="1"/>
    <col min="12297" max="12298" width="2.140625" bestFit="1" customWidth="1"/>
    <col min="12299" max="12299" width="4.5703125" bestFit="1" customWidth="1"/>
    <col min="12300" max="12300" width="7.85546875" bestFit="1" customWidth="1"/>
    <col min="12301" max="12301" width="8.5703125" bestFit="1" customWidth="1"/>
    <col min="12302" max="12302" width="17.5703125" bestFit="1" customWidth="1"/>
    <col min="12546" max="12546" width="26" bestFit="1" customWidth="1"/>
    <col min="12547" max="12547" width="21.42578125" bestFit="1" customWidth="1"/>
    <col min="12548" max="12548" width="10.5703125" bestFit="1" customWidth="1"/>
    <col min="12549" max="12549" width="8.42578125" bestFit="1" customWidth="1"/>
    <col min="12550" max="12550" width="22.7109375" bestFit="1" customWidth="1"/>
    <col min="12551" max="12551" width="32.7109375" bestFit="1" customWidth="1"/>
    <col min="12552" max="12552" width="5.5703125" bestFit="1" customWidth="1"/>
    <col min="12553" max="12554" width="2.140625" bestFit="1" customWidth="1"/>
    <col min="12555" max="12555" width="4.5703125" bestFit="1" customWidth="1"/>
    <col min="12556" max="12556" width="7.85546875" bestFit="1" customWidth="1"/>
    <col min="12557" max="12557" width="8.5703125" bestFit="1" customWidth="1"/>
    <col min="12558" max="12558" width="17.5703125" bestFit="1" customWidth="1"/>
    <col min="12802" max="12802" width="26" bestFit="1" customWidth="1"/>
    <col min="12803" max="12803" width="21.42578125" bestFit="1" customWidth="1"/>
    <col min="12804" max="12804" width="10.5703125" bestFit="1" customWidth="1"/>
    <col min="12805" max="12805" width="8.42578125" bestFit="1" customWidth="1"/>
    <col min="12806" max="12806" width="22.7109375" bestFit="1" customWidth="1"/>
    <col min="12807" max="12807" width="32.7109375" bestFit="1" customWidth="1"/>
    <col min="12808" max="12808" width="5.5703125" bestFit="1" customWidth="1"/>
    <col min="12809" max="12810" width="2.140625" bestFit="1" customWidth="1"/>
    <col min="12811" max="12811" width="4.5703125" bestFit="1" customWidth="1"/>
    <col min="12812" max="12812" width="7.85546875" bestFit="1" customWidth="1"/>
    <col min="12813" max="12813" width="8.5703125" bestFit="1" customWidth="1"/>
    <col min="12814" max="12814" width="17.5703125" bestFit="1" customWidth="1"/>
    <col min="13058" max="13058" width="26" bestFit="1" customWidth="1"/>
    <col min="13059" max="13059" width="21.42578125" bestFit="1" customWidth="1"/>
    <col min="13060" max="13060" width="10.5703125" bestFit="1" customWidth="1"/>
    <col min="13061" max="13061" width="8.42578125" bestFit="1" customWidth="1"/>
    <col min="13062" max="13062" width="22.7109375" bestFit="1" customWidth="1"/>
    <col min="13063" max="13063" width="32.7109375" bestFit="1" customWidth="1"/>
    <col min="13064" max="13064" width="5.5703125" bestFit="1" customWidth="1"/>
    <col min="13065" max="13066" width="2.140625" bestFit="1" customWidth="1"/>
    <col min="13067" max="13067" width="4.5703125" bestFit="1" customWidth="1"/>
    <col min="13068" max="13068" width="7.85546875" bestFit="1" customWidth="1"/>
    <col min="13069" max="13069" width="8.5703125" bestFit="1" customWidth="1"/>
    <col min="13070" max="13070" width="17.5703125" bestFit="1" customWidth="1"/>
    <col min="13314" max="13314" width="26" bestFit="1" customWidth="1"/>
    <col min="13315" max="13315" width="21.42578125" bestFit="1" customWidth="1"/>
    <col min="13316" max="13316" width="10.5703125" bestFit="1" customWidth="1"/>
    <col min="13317" max="13317" width="8.42578125" bestFit="1" customWidth="1"/>
    <col min="13318" max="13318" width="22.7109375" bestFit="1" customWidth="1"/>
    <col min="13319" max="13319" width="32.7109375" bestFit="1" customWidth="1"/>
    <col min="13320" max="13320" width="5.5703125" bestFit="1" customWidth="1"/>
    <col min="13321" max="13322" width="2.140625" bestFit="1" customWidth="1"/>
    <col min="13323" max="13323" width="4.5703125" bestFit="1" customWidth="1"/>
    <col min="13324" max="13324" width="7.85546875" bestFit="1" customWidth="1"/>
    <col min="13325" max="13325" width="8.5703125" bestFit="1" customWidth="1"/>
    <col min="13326" max="13326" width="17.5703125" bestFit="1" customWidth="1"/>
    <col min="13570" max="13570" width="26" bestFit="1" customWidth="1"/>
    <col min="13571" max="13571" width="21.42578125" bestFit="1" customWidth="1"/>
    <col min="13572" max="13572" width="10.5703125" bestFit="1" customWidth="1"/>
    <col min="13573" max="13573" width="8.42578125" bestFit="1" customWidth="1"/>
    <col min="13574" max="13574" width="22.7109375" bestFit="1" customWidth="1"/>
    <col min="13575" max="13575" width="32.7109375" bestFit="1" customWidth="1"/>
    <col min="13576" max="13576" width="5.5703125" bestFit="1" customWidth="1"/>
    <col min="13577" max="13578" width="2.140625" bestFit="1" customWidth="1"/>
    <col min="13579" max="13579" width="4.5703125" bestFit="1" customWidth="1"/>
    <col min="13580" max="13580" width="7.85546875" bestFit="1" customWidth="1"/>
    <col min="13581" max="13581" width="8.5703125" bestFit="1" customWidth="1"/>
    <col min="13582" max="13582" width="17.5703125" bestFit="1" customWidth="1"/>
    <col min="13826" max="13826" width="26" bestFit="1" customWidth="1"/>
    <col min="13827" max="13827" width="21.42578125" bestFit="1" customWidth="1"/>
    <col min="13828" max="13828" width="10.5703125" bestFit="1" customWidth="1"/>
    <col min="13829" max="13829" width="8.42578125" bestFit="1" customWidth="1"/>
    <col min="13830" max="13830" width="22.7109375" bestFit="1" customWidth="1"/>
    <col min="13831" max="13831" width="32.7109375" bestFit="1" customWidth="1"/>
    <col min="13832" max="13832" width="5.5703125" bestFit="1" customWidth="1"/>
    <col min="13833" max="13834" width="2.140625" bestFit="1" customWidth="1"/>
    <col min="13835" max="13835" width="4.5703125" bestFit="1" customWidth="1"/>
    <col min="13836" max="13836" width="7.85546875" bestFit="1" customWidth="1"/>
    <col min="13837" max="13837" width="8.5703125" bestFit="1" customWidth="1"/>
    <col min="13838" max="13838" width="17.5703125" bestFit="1" customWidth="1"/>
    <col min="14082" max="14082" width="26" bestFit="1" customWidth="1"/>
    <col min="14083" max="14083" width="21.42578125" bestFit="1" customWidth="1"/>
    <col min="14084" max="14084" width="10.5703125" bestFit="1" customWidth="1"/>
    <col min="14085" max="14085" width="8.42578125" bestFit="1" customWidth="1"/>
    <col min="14086" max="14086" width="22.7109375" bestFit="1" customWidth="1"/>
    <col min="14087" max="14087" width="32.7109375" bestFit="1" customWidth="1"/>
    <col min="14088" max="14088" width="5.5703125" bestFit="1" customWidth="1"/>
    <col min="14089" max="14090" width="2.140625" bestFit="1" customWidth="1"/>
    <col min="14091" max="14091" width="4.5703125" bestFit="1" customWidth="1"/>
    <col min="14092" max="14092" width="7.85546875" bestFit="1" customWidth="1"/>
    <col min="14093" max="14093" width="8.5703125" bestFit="1" customWidth="1"/>
    <col min="14094" max="14094" width="17.5703125" bestFit="1" customWidth="1"/>
    <col min="14338" max="14338" width="26" bestFit="1" customWidth="1"/>
    <col min="14339" max="14339" width="21.42578125" bestFit="1" customWidth="1"/>
    <col min="14340" max="14340" width="10.5703125" bestFit="1" customWidth="1"/>
    <col min="14341" max="14341" width="8.42578125" bestFit="1" customWidth="1"/>
    <col min="14342" max="14342" width="22.7109375" bestFit="1" customWidth="1"/>
    <col min="14343" max="14343" width="32.7109375" bestFit="1" customWidth="1"/>
    <col min="14344" max="14344" width="5.5703125" bestFit="1" customWidth="1"/>
    <col min="14345" max="14346" width="2.140625" bestFit="1" customWidth="1"/>
    <col min="14347" max="14347" width="4.5703125" bestFit="1" customWidth="1"/>
    <col min="14348" max="14348" width="7.85546875" bestFit="1" customWidth="1"/>
    <col min="14349" max="14349" width="8.5703125" bestFit="1" customWidth="1"/>
    <col min="14350" max="14350" width="17.5703125" bestFit="1" customWidth="1"/>
    <col min="14594" max="14594" width="26" bestFit="1" customWidth="1"/>
    <col min="14595" max="14595" width="21.42578125" bestFit="1" customWidth="1"/>
    <col min="14596" max="14596" width="10.5703125" bestFit="1" customWidth="1"/>
    <col min="14597" max="14597" width="8.42578125" bestFit="1" customWidth="1"/>
    <col min="14598" max="14598" width="22.7109375" bestFit="1" customWidth="1"/>
    <col min="14599" max="14599" width="32.7109375" bestFit="1" customWidth="1"/>
    <col min="14600" max="14600" width="5.5703125" bestFit="1" customWidth="1"/>
    <col min="14601" max="14602" width="2.140625" bestFit="1" customWidth="1"/>
    <col min="14603" max="14603" width="4.5703125" bestFit="1" customWidth="1"/>
    <col min="14604" max="14604" width="7.85546875" bestFit="1" customWidth="1"/>
    <col min="14605" max="14605" width="8.5703125" bestFit="1" customWidth="1"/>
    <col min="14606" max="14606" width="17.5703125" bestFit="1" customWidth="1"/>
    <col min="14850" max="14850" width="26" bestFit="1" customWidth="1"/>
    <col min="14851" max="14851" width="21.42578125" bestFit="1" customWidth="1"/>
    <col min="14852" max="14852" width="10.5703125" bestFit="1" customWidth="1"/>
    <col min="14853" max="14853" width="8.42578125" bestFit="1" customWidth="1"/>
    <col min="14854" max="14854" width="22.7109375" bestFit="1" customWidth="1"/>
    <col min="14855" max="14855" width="32.7109375" bestFit="1" customWidth="1"/>
    <col min="14856" max="14856" width="5.5703125" bestFit="1" customWidth="1"/>
    <col min="14857" max="14858" width="2.140625" bestFit="1" customWidth="1"/>
    <col min="14859" max="14859" width="4.5703125" bestFit="1" customWidth="1"/>
    <col min="14860" max="14860" width="7.85546875" bestFit="1" customWidth="1"/>
    <col min="14861" max="14861" width="8.5703125" bestFit="1" customWidth="1"/>
    <col min="14862" max="14862" width="17.5703125" bestFit="1" customWidth="1"/>
    <col min="15106" max="15106" width="26" bestFit="1" customWidth="1"/>
    <col min="15107" max="15107" width="21.42578125" bestFit="1" customWidth="1"/>
    <col min="15108" max="15108" width="10.5703125" bestFit="1" customWidth="1"/>
    <col min="15109" max="15109" width="8.42578125" bestFit="1" customWidth="1"/>
    <col min="15110" max="15110" width="22.7109375" bestFit="1" customWidth="1"/>
    <col min="15111" max="15111" width="32.7109375" bestFit="1" customWidth="1"/>
    <col min="15112" max="15112" width="5.5703125" bestFit="1" customWidth="1"/>
    <col min="15113" max="15114" width="2.140625" bestFit="1" customWidth="1"/>
    <col min="15115" max="15115" width="4.5703125" bestFit="1" customWidth="1"/>
    <col min="15116" max="15116" width="7.85546875" bestFit="1" customWidth="1"/>
    <col min="15117" max="15117" width="8.5703125" bestFit="1" customWidth="1"/>
    <col min="15118" max="15118" width="17.5703125" bestFit="1" customWidth="1"/>
    <col min="15362" max="15362" width="26" bestFit="1" customWidth="1"/>
    <col min="15363" max="15363" width="21.42578125" bestFit="1" customWidth="1"/>
    <col min="15364" max="15364" width="10.5703125" bestFit="1" customWidth="1"/>
    <col min="15365" max="15365" width="8.42578125" bestFit="1" customWidth="1"/>
    <col min="15366" max="15366" width="22.7109375" bestFit="1" customWidth="1"/>
    <col min="15367" max="15367" width="32.7109375" bestFit="1" customWidth="1"/>
    <col min="15368" max="15368" width="5.5703125" bestFit="1" customWidth="1"/>
    <col min="15369" max="15370" width="2.140625" bestFit="1" customWidth="1"/>
    <col min="15371" max="15371" width="4.5703125" bestFit="1" customWidth="1"/>
    <col min="15372" max="15372" width="7.85546875" bestFit="1" customWidth="1"/>
    <col min="15373" max="15373" width="8.5703125" bestFit="1" customWidth="1"/>
    <col min="15374" max="15374" width="17.5703125" bestFit="1" customWidth="1"/>
    <col min="15618" max="15618" width="26" bestFit="1" customWidth="1"/>
    <col min="15619" max="15619" width="21.42578125" bestFit="1" customWidth="1"/>
    <col min="15620" max="15620" width="10.5703125" bestFit="1" customWidth="1"/>
    <col min="15621" max="15621" width="8.42578125" bestFit="1" customWidth="1"/>
    <col min="15622" max="15622" width="22.7109375" bestFit="1" customWidth="1"/>
    <col min="15623" max="15623" width="32.7109375" bestFit="1" customWidth="1"/>
    <col min="15624" max="15624" width="5.5703125" bestFit="1" customWidth="1"/>
    <col min="15625" max="15626" width="2.140625" bestFit="1" customWidth="1"/>
    <col min="15627" max="15627" width="4.5703125" bestFit="1" customWidth="1"/>
    <col min="15628" max="15628" width="7.85546875" bestFit="1" customWidth="1"/>
    <col min="15629" max="15629" width="8.5703125" bestFit="1" customWidth="1"/>
    <col min="15630" max="15630" width="17.5703125" bestFit="1" customWidth="1"/>
    <col min="15874" max="15874" width="26" bestFit="1" customWidth="1"/>
    <col min="15875" max="15875" width="21.42578125" bestFit="1" customWidth="1"/>
    <col min="15876" max="15876" width="10.5703125" bestFit="1" customWidth="1"/>
    <col min="15877" max="15877" width="8.42578125" bestFit="1" customWidth="1"/>
    <col min="15878" max="15878" width="22.7109375" bestFit="1" customWidth="1"/>
    <col min="15879" max="15879" width="32.7109375" bestFit="1" customWidth="1"/>
    <col min="15880" max="15880" width="5.5703125" bestFit="1" customWidth="1"/>
    <col min="15881" max="15882" width="2.140625" bestFit="1" customWidth="1"/>
    <col min="15883" max="15883" width="4.5703125" bestFit="1" customWidth="1"/>
    <col min="15884" max="15884" width="7.85546875" bestFit="1" customWidth="1"/>
    <col min="15885" max="15885" width="8.5703125" bestFit="1" customWidth="1"/>
    <col min="15886" max="15886" width="17.5703125" bestFit="1" customWidth="1"/>
    <col min="16130" max="16130" width="26" bestFit="1" customWidth="1"/>
    <col min="16131" max="16131" width="21.42578125" bestFit="1" customWidth="1"/>
    <col min="16132" max="16132" width="10.5703125" bestFit="1" customWidth="1"/>
    <col min="16133" max="16133" width="8.42578125" bestFit="1" customWidth="1"/>
    <col min="16134" max="16134" width="22.7109375" bestFit="1" customWidth="1"/>
    <col min="16135" max="16135" width="32.7109375" bestFit="1" customWidth="1"/>
    <col min="16136" max="16136" width="5.5703125" bestFit="1" customWidth="1"/>
    <col min="16137" max="16138" width="2.140625" bestFit="1" customWidth="1"/>
    <col min="16139" max="16139" width="4.5703125" bestFit="1" customWidth="1"/>
    <col min="16140" max="16140" width="7.85546875" bestFit="1" customWidth="1"/>
    <col min="16141" max="16141" width="8.5703125" bestFit="1" customWidth="1"/>
    <col min="16142" max="16142" width="17.5703125" bestFit="1" customWidth="1"/>
  </cols>
  <sheetData>
    <row r="1" spans="1:14" ht="30" x14ac:dyDescent="0.4">
      <c r="A1" s="348" t="s">
        <v>4054</v>
      </c>
      <c r="B1" s="349"/>
      <c r="C1" s="349"/>
      <c r="D1" s="349"/>
      <c r="E1" s="349"/>
      <c r="F1" s="349"/>
      <c r="G1" s="349"/>
      <c r="H1" s="349"/>
      <c r="I1" s="349"/>
      <c r="J1" s="349"/>
      <c r="K1" s="349"/>
      <c r="L1" s="349"/>
      <c r="M1" s="349"/>
      <c r="N1" s="350"/>
    </row>
    <row r="2" spans="1:14" ht="30" x14ac:dyDescent="0.4">
      <c r="A2" s="351" t="s">
        <v>4067</v>
      </c>
      <c r="B2" s="352"/>
      <c r="C2" s="352"/>
      <c r="D2" s="352"/>
      <c r="E2" s="352"/>
      <c r="F2" s="352"/>
      <c r="G2" s="352"/>
      <c r="H2" s="352"/>
      <c r="I2" s="352"/>
      <c r="J2" s="352"/>
      <c r="K2" s="352"/>
      <c r="L2" s="352"/>
      <c r="M2" s="352"/>
      <c r="N2" s="353"/>
    </row>
    <row r="3" spans="1:14" ht="30.75" thickBot="1" x14ac:dyDescent="0.45">
      <c r="A3" s="354" t="s">
        <v>4056</v>
      </c>
      <c r="B3" s="355"/>
      <c r="C3" s="355"/>
      <c r="D3" s="355"/>
      <c r="E3" s="355"/>
      <c r="F3" s="355"/>
      <c r="G3" s="355"/>
      <c r="H3" s="355"/>
      <c r="I3" s="355"/>
      <c r="J3" s="355"/>
      <c r="K3" s="355"/>
      <c r="L3" s="355"/>
      <c r="M3" s="355"/>
      <c r="N3" s="356"/>
    </row>
    <row r="4" spans="1:14" s="5" customFormat="1" ht="12.75" customHeight="1" x14ac:dyDescent="0.2">
      <c r="A4" s="300" t="s">
        <v>2842</v>
      </c>
      <c r="B4" s="312" t="s">
        <v>2820</v>
      </c>
      <c r="C4" s="357" t="s">
        <v>2843</v>
      </c>
      <c r="D4" s="357" t="s">
        <v>2844</v>
      </c>
      <c r="E4" s="304" t="s">
        <v>2821</v>
      </c>
      <c r="F4" s="304" t="s">
        <v>2822</v>
      </c>
      <c r="G4" s="305" t="s">
        <v>2841</v>
      </c>
      <c r="H4" s="304" t="s">
        <v>2823</v>
      </c>
      <c r="I4" s="304"/>
      <c r="J4" s="304"/>
      <c r="K4" s="304"/>
      <c r="L4" s="304" t="s">
        <v>2848</v>
      </c>
      <c r="M4" s="304" t="s">
        <v>2825</v>
      </c>
      <c r="N4" s="307" t="s">
        <v>2826</v>
      </c>
    </row>
    <row r="5" spans="1:14" s="5" customFormat="1" ht="21" customHeight="1" thickBot="1" x14ac:dyDescent="0.25">
      <c r="A5" s="301"/>
      <c r="B5" s="313"/>
      <c r="C5" s="358"/>
      <c r="D5" s="358"/>
      <c r="E5" s="303"/>
      <c r="F5" s="303"/>
      <c r="G5" s="306"/>
      <c r="H5" s="2">
        <v>1</v>
      </c>
      <c r="I5" s="2">
        <v>2</v>
      </c>
      <c r="J5" s="2">
        <v>3</v>
      </c>
      <c r="K5" s="2" t="s">
        <v>2827</v>
      </c>
      <c r="L5" s="303"/>
      <c r="M5" s="303"/>
      <c r="N5" s="310"/>
    </row>
    <row r="6" spans="1:14" ht="15" x14ac:dyDescent="0.2">
      <c r="B6" s="299" t="s">
        <v>2891</v>
      </c>
      <c r="C6" s="299"/>
      <c r="D6" s="299"/>
      <c r="E6" s="299"/>
      <c r="F6" s="299"/>
      <c r="G6" s="299"/>
      <c r="H6" s="299"/>
      <c r="I6" s="299"/>
      <c r="J6" s="299"/>
      <c r="K6" s="299"/>
      <c r="L6" s="299"/>
      <c r="M6" s="299"/>
    </row>
    <row r="7" spans="1:14" x14ac:dyDescent="0.2">
      <c r="A7" s="43">
        <v>1</v>
      </c>
      <c r="B7" s="15" t="s">
        <v>2892</v>
      </c>
      <c r="C7" s="15" t="s">
        <v>2893</v>
      </c>
      <c r="D7" s="15" t="s">
        <v>355</v>
      </c>
      <c r="E7" s="15" t="str">
        <f>"0,7132"</f>
        <v>0,7132</v>
      </c>
      <c r="F7" s="15" t="s">
        <v>2831</v>
      </c>
      <c r="G7" s="15" t="s">
        <v>2877</v>
      </c>
      <c r="H7" s="35" t="s">
        <v>104</v>
      </c>
      <c r="I7" s="22"/>
      <c r="J7" s="22"/>
      <c r="K7" s="22"/>
      <c r="L7" s="29">
        <v>130</v>
      </c>
      <c r="M7" s="21" t="str">
        <f>"92,7160"</f>
        <v>92,7160</v>
      </c>
      <c r="N7" s="15" t="s">
        <v>2855</v>
      </c>
    </row>
    <row r="8" spans="1:14" x14ac:dyDescent="0.2">
      <c r="A8" s="43">
        <v>2</v>
      </c>
      <c r="B8" s="17" t="s">
        <v>2894</v>
      </c>
      <c r="C8" s="17" t="s">
        <v>2895</v>
      </c>
      <c r="D8" s="17" t="s">
        <v>2896</v>
      </c>
      <c r="E8" s="17" t="str">
        <f>"0,7067"</f>
        <v>0,7067</v>
      </c>
      <c r="F8" s="17" t="s">
        <v>2853</v>
      </c>
      <c r="G8" s="17" t="s">
        <v>2911</v>
      </c>
      <c r="H8" s="37" t="s">
        <v>69</v>
      </c>
      <c r="I8" s="26"/>
      <c r="J8" s="26"/>
      <c r="K8" s="26"/>
      <c r="L8" s="31">
        <v>110</v>
      </c>
      <c r="M8" s="25" t="str">
        <f>"77,7370"</f>
        <v>77,7370</v>
      </c>
      <c r="N8" s="17" t="s">
        <v>2912</v>
      </c>
    </row>
    <row r="10" spans="1:14" ht="15" x14ac:dyDescent="0.2">
      <c r="B10" s="294" t="s">
        <v>2863</v>
      </c>
      <c r="C10" s="294"/>
      <c r="D10" s="294"/>
      <c r="E10" s="294"/>
      <c r="F10" s="294"/>
      <c r="G10" s="294"/>
      <c r="H10" s="294"/>
      <c r="I10" s="294"/>
      <c r="J10" s="294"/>
      <c r="K10" s="294"/>
      <c r="L10" s="294"/>
      <c r="M10" s="294"/>
    </row>
    <row r="11" spans="1:14" x14ac:dyDescent="0.2">
      <c r="A11" s="43">
        <v>1</v>
      </c>
      <c r="B11" s="7" t="s">
        <v>2897</v>
      </c>
      <c r="C11" s="7" t="s">
        <v>2898</v>
      </c>
      <c r="D11" s="7" t="s">
        <v>463</v>
      </c>
      <c r="E11" s="7" t="str">
        <f>"0,6499"</f>
        <v>0,6499</v>
      </c>
      <c r="F11" s="7" t="s">
        <v>2831</v>
      </c>
      <c r="G11" s="7" t="s">
        <v>2832</v>
      </c>
      <c r="H11" s="34" t="s">
        <v>112</v>
      </c>
      <c r="I11" s="20"/>
      <c r="J11" s="20"/>
      <c r="K11" s="20"/>
      <c r="L11" s="28">
        <v>125</v>
      </c>
      <c r="M11" s="19" t="str">
        <f>"81,2375"</f>
        <v>81,2375</v>
      </c>
      <c r="N11" s="7" t="s">
        <v>2833</v>
      </c>
    </row>
    <row r="13" spans="1:14" ht="15" x14ac:dyDescent="0.2">
      <c r="B13" s="294" t="s">
        <v>2869</v>
      </c>
      <c r="C13" s="294"/>
      <c r="D13" s="294"/>
      <c r="E13" s="294"/>
      <c r="F13" s="294"/>
      <c r="G13" s="294"/>
      <c r="H13" s="294"/>
      <c r="I13" s="294"/>
      <c r="J13" s="294"/>
      <c r="K13" s="294"/>
      <c r="L13" s="294"/>
      <c r="M13" s="294"/>
    </row>
    <row r="14" spans="1:14" x14ac:dyDescent="0.2">
      <c r="A14" s="43">
        <v>1</v>
      </c>
      <c r="B14" s="15" t="s">
        <v>2899</v>
      </c>
      <c r="C14" s="15" t="s">
        <v>2900</v>
      </c>
      <c r="D14" s="15" t="s">
        <v>2497</v>
      </c>
      <c r="E14" s="15" t="str">
        <f>"0,6088"</f>
        <v>0,6088</v>
      </c>
      <c r="F14" s="15" t="s">
        <v>2901</v>
      </c>
      <c r="G14" s="15" t="s">
        <v>2902</v>
      </c>
      <c r="H14" s="35" t="s">
        <v>71</v>
      </c>
      <c r="I14" s="22"/>
      <c r="J14" s="22"/>
      <c r="K14" s="22"/>
      <c r="L14" s="29">
        <v>120</v>
      </c>
      <c r="M14" s="21" t="str">
        <f>"73,0560"</f>
        <v>73,0560</v>
      </c>
      <c r="N14" s="15" t="s">
        <v>2913</v>
      </c>
    </row>
    <row r="15" spans="1:14" x14ac:dyDescent="0.2">
      <c r="A15" s="43">
        <v>1</v>
      </c>
      <c r="B15" s="17" t="s">
        <v>2903</v>
      </c>
      <c r="C15" s="17" t="s">
        <v>2904</v>
      </c>
      <c r="D15" s="17" t="s">
        <v>708</v>
      </c>
      <c r="E15" s="17" t="str">
        <f>"0,6139"</f>
        <v>0,6139</v>
      </c>
      <c r="F15" s="17" t="s">
        <v>2831</v>
      </c>
      <c r="G15" s="17" t="s">
        <v>2832</v>
      </c>
      <c r="H15" s="37" t="s">
        <v>36</v>
      </c>
      <c r="I15" s="26"/>
      <c r="J15" s="26"/>
      <c r="K15" s="26"/>
      <c r="L15" s="31">
        <v>150</v>
      </c>
      <c r="M15" s="25" t="str">
        <f>"92,0850"</f>
        <v>92,0850</v>
      </c>
      <c r="N15" s="17" t="s">
        <v>2905</v>
      </c>
    </row>
    <row r="17" spans="1:14" ht="15" x14ac:dyDescent="0.2">
      <c r="B17" s="294" t="s">
        <v>2906</v>
      </c>
      <c r="C17" s="294"/>
      <c r="D17" s="294"/>
      <c r="E17" s="294"/>
      <c r="F17" s="294"/>
      <c r="G17" s="294"/>
      <c r="H17" s="294"/>
      <c r="I17" s="294"/>
      <c r="J17" s="294"/>
      <c r="K17" s="294"/>
      <c r="L17" s="294"/>
      <c r="M17" s="294"/>
    </row>
    <row r="18" spans="1:14" x14ac:dyDescent="0.2">
      <c r="A18" s="43">
        <v>1</v>
      </c>
      <c r="B18" s="7" t="s">
        <v>2907</v>
      </c>
      <c r="C18" s="7" t="s">
        <v>2908</v>
      </c>
      <c r="D18" s="7" t="s">
        <v>2909</v>
      </c>
      <c r="E18" s="7" t="str">
        <f>"0,5897"</f>
        <v>0,5897</v>
      </c>
      <c r="F18" s="7" t="s">
        <v>2853</v>
      </c>
      <c r="G18" s="7" t="s">
        <v>2911</v>
      </c>
      <c r="H18" s="34" t="s">
        <v>11</v>
      </c>
      <c r="I18" s="20"/>
      <c r="J18" s="20"/>
      <c r="K18" s="20"/>
      <c r="L18" s="28">
        <v>180</v>
      </c>
      <c r="M18" s="19" t="str">
        <f>"106,1460"</f>
        <v>106,1460</v>
      </c>
      <c r="N18" s="7" t="s">
        <v>2914</v>
      </c>
    </row>
    <row r="20" spans="1:14" ht="13.5" thickBot="1" x14ac:dyDescent="0.25"/>
    <row r="21" spans="1:14" ht="30" x14ac:dyDescent="0.4">
      <c r="A21" s="348" t="s">
        <v>4054</v>
      </c>
      <c r="B21" s="349"/>
      <c r="C21" s="349"/>
      <c r="D21" s="349"/>
      <c r="E21" s="349"/>
      <c r="F21" s="349"/>
      <c r="G21" s="349"/>
      <c r="H21" s="349"/>
      <c r="I21" s="349"/>
      <c r="J21" s="349"/>
      <c r="K21" s="349"/>
      <c r="L21" s="349"/>
      <c r="M21" s="349"/>
      <c r="N21" s="350"/>
    </row>
    <row r="22" spans="1:14" ht="30" x14ac:dyDescent="0.4">
      <c r="A22" s="351" t="s">
        <v>4068</v>
      </c>
      <c r="B22" s="352"/>
      <c r="C22" s="352"/>
      <c r="D22" s="352"/>
      <c r="E22" s="352"/>
      <c r="F22" s="352"/>
      <c r="G22" s="352"/>
      <c r="H22" s="352"/>
      <c r="I22" s="352"/>
      <c r="J22" s="352"/>
      <c r="K22" s="352"/>
      <c r="L22" s="352"/>
      <c r="M22" s="352"/>
      <c r="N22" s="353"/>
    </row>
    <row r="23" spans="1:14" ht="30.75" thickBot="1" x14ac:dyDescent="0.45">
      <c r="A23" s="354" t="s">
        <v>4056</v>
      </c>
      <c r="B23" s="355"/>
      <c r="C23" s="355"/>
      <c r="D23" s="355"/>
      <c r="E23" s="355"/>
      <c r="F23" s="355"/>
      <c r="G23" s="355"/>
      <c r="H23" s="355"/>
      <c r="I23" s="355"/>
      <c r="J23" s="355"/>
      <c r="K23" s="355"/>
      <c r="L23" s="355"/>
      <c r="M23" s="355"/>
      <c r="N23" s="356"/>
    </row>
    <row r="24" spans="1:14" ht="15" x14ac:dyDescent="0.2">
      <c r="A24" s="300" t="s">
        <v>2842</v>
      </c>
      <c r="B24" s="312" t="s">
        <v>2820</v>
      </c>
      <c r="C24" s="357" t="s">
        <v>2843</v>
      </c>
      <c r="D24" s="357" t="s">
        <v>2844</v>
      </c>
      <c r="E24" s="304" t="s">
        <v>2821</v>
      </c>
      <c r="F24" s="304" t="s">
        <v>2822</v>
      </c>
      <c r="G24" s="305" t="s">
        <v>2841</v>
      </c>
      <c r="H24" s="304" t="s">
        <v>2823</v>
      </c>
      <c r="I24" s="304"/>
      <c r="J24" s="304"/>
      <c r="K24" s="304"/>
      <c r="L24" s="359" t="s">
        <v>2848</v>
      </c>
      <c r="M24" s="304" t="s">
        <v>2825</v>
      </c>
      <c r="N24" s="307" t="s">
        <v>2826</v>
      </c>
    </row>
    <row r="25" spans="1:14" ht="15" thickBot="1" x14ac:dyDescent="0.25">
      <c r="A25" s="301"/>
      <c r="B25" s="313"/>
      <c r="C25" s="358"/>
      <c r="D25" s="358"/>
      <c r="E25" s="303"/>
      <c r="F25" s="303"/>
      <c r="G25" s="306"/>
      <c r="H25" s="2">
        <v>1</v>
      </c>
      <c r="I25" s="2">
        <v>2</v>
      </c>
      <c r="J25" s="2">
        <v>3</v>
      </c>
      <c r="K25" s="2" t="s">
        <v>2827</v>
      </c>
      <c r="L25" s="360"/>
      <c r="M25" s="303"/>
      <c r="N25" s="310"/>
    </row>
    <row r="26" spans="1:14" ht="15" x14ac:dyDescent="0.2">
      <c r="B26" s="299" t="s">
        <v>2850</v>
      </c>
      <c r="C26" s="299"/>
      <c r="D26" s="299"/>
      <c r="E26" s="299"/>
      <c r="F26" s="299"/>
      <c r="G26" s="299"/>
      <c r="H26" s="299"/>
      <c r="I26" s="299"/>
      <c r="J26" s="299"/>
      <c r="K26" s="299"/>
      <c r="L26" s="299"/>
      <c r="M26" s="299"/>
    </row>
    <row r="27" spans="1:14" x14ac:dyDescent="0.2">
      <c r="A27" s="43">
        <v>1</v>
      </c>
      <c r="B27" s="7" t="s">
        <v>2915</v>
      </c>
      <c r="C27" s="7" t="s">
        <v>2916</v>
      </c>
      <c r="D27" s="7" t="s">
        <v>1597</v>
      </c>
      <c r="E27" s="7" t="str">
        <f>"1,0740"</f>
        <v>1,0740</v>
      </c>
      <c r="F27" s="7" t="s">
        <v>2853</v>
      </c>
      <c r="G27" s="7" t="s">
        <v>2927</v>
      </c>
      <c r="H27" s="34" t="s">
        <v>61</v>
      </c>
      <c r="I27" s="20"/>
      <c r="J27" s="20"/>
      <c r="K27" s="20"/>
      <c r="L27" s="28">
        <v>95</v>
      </c>
      <c r="M27" s="19" t="str">
        <f>"102,0300"</f>
        <v>102,0300</v>
      </c>
      <c r="N27" s="7" t="s">
        <v>2928</v>
      </c>
    </row>
    <row r="29" spans="1:14" ht="15" x14ac:dyDescent="0.2">
      <c r="B29" s="294" t="s">
        <v>2891</v>
      </c>
      <c r="C29" s="294"/>
      <c r="D29" s="294"/>
      <c r="E29" s="294"/>
      <c r="F29" s="294"/>
      <c r="G29" s="294"/>
      <c r="H29" s="294"/>
      <c r="I29" s="294"/>
      <c r="J29" s="294"/>
      <c r="K29" s="294"/>
      <c r="L29" s="294"/>
      <c r="M29" s="294"/>
    </row>
    <row r="30" spans="1:14" x14ac:dyDescent="0.2">
      <c r="A30" s="43">
        <v>1</v>
      </c>
      <c r="B30" s="7" t="s">
        <v>2917</v>
      </c>
      <c r="C30" s="7" t="s">
        <v>2918</v>
      </c>
      <c r="D30" s="7" t="s">
        <v>1090</v>
      </c>
      <c r="E30" s="7" t="str">
        <f>"0,6975"</f>
        <v>0,6975</v>
      </c>
      <c r="F30" s="7" t="s">
        <v>2853</v>
      </c>
      <c r="G30" s="7" t="s">
        <v>2925</v>
      </c>
      <c r="H30" s="34" t="s">
        <v>81</v>
      </c>
      <c r="I30" s="20"/>
      <c r="J30" s="20"/>
      <c r="K30" s="20"/>
      <c r="L30" s="28">
        <v>85</v>
      </c>
      <c r="M30" s="19" t="str">
        <f>"59,2875"</f>
        <v>59,2875</v>
      </c>
      <c r="N30" s="7" t="s">
        <v>2855</v>
      </c>
    </row>
    <row r="32" spans="1:14" ht="15" x14ac:dyDescent="0.2">
      <c r="B32" s="294" t="s">
        <v>2869</v>
      </c>
      <c r="C32" s="294"/>
      <c r="D32" s="294"/>
      <c r="E32" s="294"/>
      <c r="F32" s="294"/>
      <c r="G32" s="294"/>
      <c r="H32" s="294"/>
      <c r="I32" s="294"/>
      <c r="J32" s="294"/>
      <c r="K32" s="294"/>
      <c r="L32" s="294"/>
      <c r="M32" s="294"/>
    </row>
    <row r="33" spans="1:14" x14ac:dyDescent="0.2">
      <c r="A33" s="43">
        <v>1</v>
      </c>
      <c r="B33" s="15" t="s">
        <v>2870</v>
      </c>
      <c r="C33" s="15" t="s">
        <v>2871</v>
      </c>
      <c r="D33" s="15" t="s">
        <v>2872</v>
      </c>
      <c r="E33" s="15" t="str">
        <f>"0,6188"</f>
        <v>0,6188</v>
      </c>
      <c r="F33" s="15" t="s">
        <v>2853</v>
      </c>
      <c r="G33" s="15" t="s">
        <v>2873</v>
      </c>
      <c r="H33" s="35" t="s">
        <v>260</v>
      </c>
      <c r="I33" s="22"/>
      <c r="J33" s="22"/>
      <c r="K33" s="22"/>
      <c r="L33" s="29">
        <v>177.5</v>
      </c>
      <c r="M33" s="21" t="str">
        <f>"109,8370"</f>
        <v>109,8370</v>
      </c>
      <c r="N33" s="15" t="s">
        <v>2929</v>
      </c>
    </row>
    <row r="34" spans="1:14" x14ac:dyDescent="0.2">
      <c r="A34" s="43">
        <v>2</v>
      </c>
      <c r="B34" s="16" t="s">
        <v>2875</v>
      </c>
      <c r="C34" s="16" t="s">
        <v>2876</v>
      </c>
      <c r="D34" s="16" t="s">
        <v>485</v>
      </c>
      <c r="E34" s="16" t="str">
        <f>"0,6121"</f>
        <v>0,6121</v>
      </c>
      <c r="F34" s="16" t="s">
        <v>2831</v>
      </c>
      <c r="G34" s="16" t="s">
        <v>2877</v>
      </c>
      <c r="H34" s="36" t="s">
        <v>239</v>
      </c>
      <c r="I34" s="24"/>
      <c r="J34" s="24"/>
      <c r="K34" s="24"/>
      <c r="L34" s="30">
        <v>172.5</v>
      </c>
      <c r="M34" s="23" t="str">
        <f>"105,5873"</f>
        <v>105,5873</v>
      </c>
      <c r="N34" s="16" t="s">
        <v>2855</v>
      </c>
    </row>
    <row r="35" spans="1:14" x14ac:dyDescent="0.2">
      <c r="B35" s="17" t="s">
        <v>2903</v>
      </c>
      <c r="C35" s="17" t="s">
        <v>2904</v>
      </c>
      <c r="D35" s="17" t="s">
        <v>708</v>
      </c>
      <c r="E35" s="17" t="str">
        <f>"0,6139"</f>
        <v>0,6139</v>
      </c>
      <c r="F35" s="17" t="s">
        <v>2831</v>
      </c>
      <c r="G35" s="17" t="s">
        <v>2832</v>
      </c>
      <c r="H35" s="39" t="s">
        <v>36</v>
      </c>
      <c r="I35" s="26"/>
      <c r="J35" s="26"/>
      <c r="K35" s="26"/>
      <c r="L35" s="33">
        <v>0</v>
      </c>
      <c r="M35" s="25" t="s">
        <v>720</v>
      </c>
      <c r="N35" s="17" t="s">
        <v>2905</v>
      </c>
    </row>
    <row r="37" spans="1:14" ht="15" x14ac:dyDescent="0.2">
      <c r="B37" s="294" t="s">
        <v>2906</v>
      </c>
      <c r="C37" s="294"/>
      <c r="D37" s="294"/>
      <c r="E37" s="294"/>
      <c r="F37" s="294"/>
      <c r="G37" s="294"/>
      <c r="H37" s="294"/>
      <c r="I37" s="294"/>
      <c r="J37" s="294"/>
      <c r="K37" s="294"/>
      <c r="L37" s="294"/>
      <c r="M37" s="294"/>
    </row>
    <row r="38" spans="1:14" x14ac:dyDescent="0.2">
      <c r="A38" s="43">
        <v>1</v>
      </c>
      <c r="B38" s="15" t="s">
        <v>2919</v>
      </c>
      <c r="C38" s="15" t="s">
        <v>2524</v>
      </c>
      <c r="D38" s="15" t="s">
        <v>1902</v>
      </c>
      <c r="E38" s="15" t="str">
        <f>"0,5937"</f>
        <v>0,5937</v>
      </c>
      <c r="F38" s="15" t="s">
        <v>2853</v>
      </c>
      <c r="G38" s="15" t="s">
        <v>2925</v>
      </c>
      <c r="H38" s="35" t="s">
        <v>140</v>
      </c>
      <c r="I38" s="22"/>
      <c r="J38" s="22"/>
      <c r="K38" s="22"/>
      <c r="L38" s="29">
        <v>200</v>
      </c>
      <c r="M38" s="21" t="str">
        <f>"118,7400"</f>
        <v>118,7400</v>
      </c>
      <c r="N38" s="15" t="s">
        <v>2930</v>
      </c>
    </row>
    <row r="39" spans="1:14" x14ac:dyDescent="0.2">
      <c r="A39" s="43">
        <v>2</v>
      </c>
      <c r="B39" s="16" t="s">
        <v>2920</v>
      </c>
      <c r="C39" s="16" t="s">
        <v>2921</v>
      </c>
      <c r="D39" s="16" t="s">
        <v>2922</v>
      </c>
      <c r="E39" s="16" t="str">
        <f>"0,6004"</f>
        <v>0,6004</v>
      </c>
      <c r="F39" s="16" t="s">
        <v>2853</v>
      </c>
      <c r="G39" s="16" t="s">
        <v>2926</v>
      </c>
      <c r="H39" s="36" t="s">
        <v>166</v>
      </c>
      <c r="I39" s="24"/>
      <c r="J39" s="24"/>
      <c r="K39" s="24"/>
      <c r="L39" s="30">
        <v>195</v>
      </c>
      <c r="M39" s="23" t="str">
        <f>"117,0780"</f>
        <v>117,0780</v>
      </c>
      <c r="N39" s="16" t="s">
        <v>2855</v>
      </c>
    </row>
    <row r="40" spans="1:14" x14ac:dyDescent="0.2">
      <c r="A40" s="43">
        <v>3</v>
      </c>
      <c r="B40" s="17" t="s">
        <v>2923</v>
      </c>
      <c r="C40" s="17" t="s">
        <v>2924</v>
      </c>
      <c r="D40" s="17" t="s">
        <v>2534</v>
      </c>
      <c r="E40" s="17" t="str">
        <f>"0,5923"</f>
        <v>0,5923</v>
      </c>
      <c r="F40" s="17" t="s">
        <v>2853</v>
      </c>
      <c r="G40" s="17" t="s">
        <v>2877</v>
      </c>
      <c r="H40" s="37" t="s">
        <v>107</v>
      </c>
      <c r="I40" s="26"/>
      <c r="J40" s="26"/>
      <c r="K40" s="26"/>
      <c r="L40" s="31">
        <v>190</v>
      </c>
      <c r="M40" s="25" t="str">
        <f>"112,5370"</f>
        <v>112,5370</v>
      </c>
      <c r="N40" s="17" t="s">
        <v>2855</v>
      </c>
    </row>
  </sheetData>
  <mergeCells count="36">
    <mergeCell ref="A1:N1"/>
    <mergeCell ref="A2:N2"/>
    <mergeCell ref="A3:N3"/>
    <mergeCell ref="A4:A5"/>
    <mergeCell ref="N24:N25"/>
    <mergeCell ref="B4:B5"/>
    <mergeCell ref="C4:C5"/>
    <mergeCell ref="D4:D5"/>
    <mergeCell ref="E4:E5"/>
    <mergeCell ref="F4:F5"/>
    <mergeCell ref="G4:G5"/>
    <mergeCell ref="H4:K4"/>
    <mergeCell ref="L4:L5"/>
    <mergeCell ref="M4:M5"/>
    <mergeCell ref="N4:N5"/>
    <mergeCell ref="B6:M6"/>
    <mergeCell ref="B10:M10"/>
    <mergeCell ref="B13:M13"/>
    <mergeCell ref="B17:M17"/>
    <mergeCell ref="B26:M26"/>
    <mergeCell ref="B29:M29"/>
    <mergeCell ref="B32:M32"/>
    <mergeCell ref="B37:M37"/>
    <mergeCell ref="A21:N21"/>
    <mergeCell ref="A22:N22"/>
    <mergeCell ref="A23:N23"/>
    <mergeCell ref="A24:A25"/>
    <mergeCell ref="B24:B25"/>
    <mergeCell ref="C24:C25"/>
    <mergeCell ref="D24:D25"/>
    <mergeCell ref="E24:E25"/>
    <mergeCell ref="F24:F25"/>
    <mergeCell ref="G24:G25"/>
    <mergeCell ref="H24:K24"/>
    <mergeCell ref="L24:L25"/>
    <mergeCell ref="M24:M25"/>
  </mergeCells>
  <pageMargins left="0.7" right="0.7" top="0.75" bottom="0.75" header="0.3" footer="0.3"/>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sqref="A1:L1"/>
    </sheetView>
  </sheetViews>
  <sheetFormatPr defaultColWidth="8.7109375" defaultRowHeight="12.75" x14ac:dyDescent="0.2"/>
  <cols>
    <col min="2" max="2" width="26" style="6" bestFit="1" customWidth="1"/>
    <col min="3" max="3" width="28.5703125" style="6" customWidth="1"/>
    <col min="4" max="4" width="10.5703125" style="6" bestFit="1" customWidth="1"/>
    <col min="5" max="5" width="8.42578125" style="6" bestFit="1" customWidth="1"/>
    <col min="6" max="6" width="22.7109375" style="6" bestFit="1" customWidth="1"/>
    <col min="7" max="7" width="25" style="6" bestFit="1" customWidth="1"/>
    <col min="8" max="8" width="8.140625" style="6" customWidth="1"/>
    <col min="9" max="9" width="9.140625" style="6" customWidth="1"/>
    <col min="10" max="10" width="10.42578125" style="6" customWidth="1"/>
    <col min="11" max="11" width="9.5703125" style="6" bestFit="1" customWidth="1"/>
    <col min="12" max="12" width="15.42578125" style="6" bestFit="1" customWidth="1"/>
    <col min="258" max="258" width="26" bestFit="1" customWidth="1"/>
    <col min="259" max="259" width="21.42578125" bestFit="1" customWidth="1"/>
    <col min="260" max="260" width="10.5703125" bestFit="1" customWidth="1"/>
    <col min="261" max="261" width="8.42578125" bestFit="1" customWidth="1"/>
    <col min="262" max="262" width="22.7109375" bestFit="1" customWidth="1"/>
    <col min="263" max="263" width="25" bestFit="1" customWidth="1"/>
    <col min="264" max="264" width="5.5703125" bestFit="1" customWidth="1"/>
    <col min="265" max="265" width="4.5703125" bestFit="1" customWidth="1"/>
    <col min="266" max="266" width="7.85546875" bestFit="1" customWidth="1"/>
    <col min="267" max="267" width="9.5703125" bestFit="1" customWidth="1"/>
    <col min="268" max="268" width="15.42578125" bestFit="1" customWidth="1"/>
    <col min="514" max="514" width="26" bestFit="1" customWidth="1"/>
    <col min="515" max="515" width="21.42578125" bestFit="1" customWidth="1"/>
    <col min="516" max="516" width="10.5703125" bestFit="1" customWidth="1"/>
    <col min="517" max="517" width="8.42578125" bestFit="1" customWidth="1"/>
    <col min="518" max="518" width="22.7109375" bestFit="1" customWidth="1"/>
    <col min="519" max="519" width="25" bestFit="1" customWidth="1"/>
    <col min="520" max="520" width="5.5703125" bestFit="1" customWidth="1"/>
    <col min="521" max="521" width="4.5703125" bestFit="1" customWidth="1"/>
    <col min="522" max="522" width="7.85546875" bestFit="1" customWidth="1"/>
    <col min="523" max="523" width="9.5703125" bestFit="1" customWidth="1"/>
    <col min="524" max="524" width="15.42578125" bestFit="1" customWidth="1"/>
    <col min="770" max="770" width="26" bestFit="1" customWidth="1"/>
    <col min="771" max="771" width="21.42578125" bestFit="1" customWidth="1"/>
    <col min="772" max="772" width="10.5703125" bestFit="1" customWidth="1"/>
    <col min="773" max="773" width="8.42578125" bestFit="1" customWidth="1"/>
    <col min="774" max="774" width="22.7109375" bestFit="1" customWidth="1"/>
    <col min="775" max="775" width="25" bestFit="1" customWidth="1"/>
    <col min="776" max="776" width="5.5703125" bestFit="1" customWidth="1"/>
    <col min="777" max="777" width="4.5703125" bestFit="1" customWidth="1"/>
    <col min="778" max="778" width="7.85546875" bestFit="1" customWidth="1"/>
    <col min="779" max="779" width="9.5703125" bestFit="1" customWidth="1"/>
    <col min="780" max="780" width="15.42578125" bestFit="1" customWidth="1"/>
    <col min="1026" max="1026" width="26" bestFit="1" customWidth="1"/>
    <col min="1027" max="1027" width="21.42578125" bestFit="1" customWidth="1"/>
    <col min="1028" max="1028" width="10.5703125" bestFit="1" customWidth="1"/>
    <col min="1029" max="1029" width="8.42578125" bestFit="1" customWidth="1"/>
    <col min="1030" max="1030" width="22.7109375" bestFit="1" customWidth="1"/>
    <col min="1031" max="1031" width="25" bestFit="1" customWidth="1"/>
    <col min="1032" max="1032" width="5.5703125" bestFit="1" customWidth="1"/>
    <col min="1033" max="1033" width="4.5703125" bestFit="1" customWidth="1"/>
    <col min="1034" max="1034" width="7.85546875" bestFit="1" customWidth="1"/>
    <col min="1035" max="1035" width="9.5703125" bestFit="1" customWidth="1"/>
    <col min="1036" max="1036" width="15.42578125" bestFit="1" customWidth="1"/>
    <col min="1282" max="1282" width="26" bestFit="1" customWidth="1"/>
    <col min="1283" max="1283" width="21.42578125" bestFit="1" customWidth="1"/>
    <col min="1284" max="1284" width="10.5703125" bestFit="1" customWidth="1"/>
    <col min="1285" max="1285" width="8.42578125" bestFit="1" customWidth="1"/>
    <col min="1286" max="1286" width="22.7109375" bestFit="1" customWidth="1"/>
    <col min="1287" max="1287" width="25" bestFit="1" customWidth="1"/>
    <col min="1288" max="1288" width="5.5703125" bestFit="1" customWidth="1"/>
    <col min="1289" max="1289" width="4.5703125" bestFit="1" customWidth="1"/>
    <col min="1290" max="1290" width="7.85546875" bestFit="1" customWidth="1"/>
    <col min="1291" max="1291" width="9.5703125" bestFit="1" customWidth="1"/>
    <col min="1292" max="1292" width="15.42578125" bestFit="1" customWidth="1"/>
    <col min="1538" max="1538" width="26" bestFit="1" customWidth="1"/>
    <col min="1539" max="1539" width="21.42578125" bestFit="1" customWidth="1"/>
    <col min="1540" max="1540" width="10.5703125" bestFit="1" customWidth="1"/>
    <col min="1541" max="1541" width="8.42578125" bestFit="1" customWidth="1"/>
    <col min="1542" max="1542" width="22.7109375" bestFit="1" customWidth="1"/>
    <col min="1543" max="1543" width="25" bestFit="1" customWidth="1"/>
    <col min="1544" max="1544" width="5.5703125" bestFit="1" customWidth="1"/>
    <col min="1545" max="1545" width="4.5703125" bestFit="1" customWidth="1"/>
    <col min="1546" max="1546" width="7.85546875" bestFit="1" customWidth="1"/>
    <col min="1547" max="1547" width="9.5703125" bestFit="1" customWidth="1"/>
    <col min="1548" max="1548" width="15.42578125" bestFit="1" customWidth="1"/>
    <col min="1794" max="1794" width="26" bestFit="1" customWidth="1"/>
    <col min="1795" max="1795" width="21.42578125" bestFit="1" customWidth="1"/>
    <col min="1796" max="1796" width="10.5703125" bestFit="1" customWidth="1"/>
    <col min="1797" max="1797" width="8.42578125" bestFit="1" customWidth="1"/>
    <col min="1798" max="1798" width="22.7109375" bestFit="1" customWidth="1"/>
    <col min="1799" max="1799" width="25" bestFit="1" customWidth="1"/>
    <col min="1800" max="1800" width="5.5703125" bestFit="1" customWidth="1"/>
    <col min="1801" max="1801" width="4.5703125" bestFit="1" customWidth="1"/>
    <col min="1802" max="1802" width="7.85546875" bestFit="1" customWidth="1"/>
    <col min="1803" max="1803" width="9.5703125" bestFit="1" customWidth="1"/>
    <col min="1804" max="1804" width="15.42578125" bestFit="1" customWidth="1"/>
    <col min="2050" max="2050" width="26" bestFit="1" customWidth="1"/>
    <col min="2051" max="2051" width="21.42578125" bestFit="1" customWidth="1"/>
    <col min="2052" max="2052" width="10.5703125" bestFit="1" customWidth="1"/>
    <col min="2053" max="2053" width="8.42578125" bestFit="1" customWidth="1"/>
    <col min="2054" max="2054" width="22.7109375" bestFit="1" customWidth="1"/>
    <col min="2055" max="2055" width="25" bestFit="1" customWidth="1"/>
    <col min="2056" max="2056" width="5.5703125" bestFit="1" customWidth="1"/>
    <col min="2057" max="2057" width="4.5703125" bestFit="1" customWidth="1"/>
    <col min="2058" max="2058" width="7.85546875" bestFit="1" customWidth="1"/>
    <col min="2059" max="2059" width="9.5703125" bestFit="1" customWidth="1"/>
    <col min="2060" max="2060" width="15.42578125" bestFit="1" customWidth="1"/>
    <col min="2306" max="2306" width="26" bestFit="1" customWidth="1"/>
    <col min="2307" max="2307" width="21.42578125" bestFit="1" customWidth="1"/>
    <col min="2308" max="2308" width="10.5703125" bestFit="1" customWidth="1"/>
    <col min="2309" max="2309" width="8.42578125" bestFit="1" customWidth="1"/>
    <col min="2310" max="2310" width="22.7109375" bestFit="1" customWidth="1"/>
    <col min="2311" max="2311" width="25" bestFit="1" customWidth="1"/>
    <col min="2312" max="2312" width="5.5703125" bestFit="1" customWidth="1"/>
    <col min="2313" max="2313" width="4.5703125" bestFit="1" customWidth="1"/>
    <col min="2314" max="2314" width="7.85546875" bestFit="1" customWidth="1"/>
    <col min="2315" max="2315" width="9.5703125" bestFit="1" customWidth="1"/>
    <col min="2316" max="2316" width="15.42578125" bestFit="1" customWidth="1"/>
    <col min="2562" max="2562" width="26" bestFit="1" customWidth="1"/>
    <col min="2563" max="2563" width="21.42578125" bestFit="1" customWidth="1"/>
    <col min="2564" max="2564" width="10.5703125" bestFit="1" customWidth="1"/>
    <col min="2565" max="2565" width="8.42578125" bestFit="1" customWidth="1"/>
    <col min="2566" max="2566" width="22.7109375" bestFit="1" customWidth="1"/>
    <col min="2567" max="2567" width="25" bestFit="1" customWidth="1"/>
    <col min="2568" max="2568" width="5.5703125" bestFit="1" customWidth="1"/>
    <col min="2569" max="2569" width="4.5703125" bestFit="1" customWidth="1"/>
    <col min="2570" max="2570" width="7.85546875" bestFit="1" customWidth="1"/>
    <col min="2571" max="2571" width="9.5703125" bestFit="1" customWidth="1"/>
    <col min="2572" max="2572" width="15.42578125" bestFit="1" customWidth="1"/>
    <col min="2818" max="2818" width="26" bestFit="1" customWidth="1"/>
    <col min="2819" max="2819" width="21.42578125" bestFit="1" customWidth="1"/>
    <col min="2820" max="2820" width="10.5703125" bestFit="1" customWidth="1"/>
    <col min="2821" max="2821" width="8.42578125" bestFit="1" customWidth="1"/>
    <col min="2822" max="2822" width="22.7109375" bestFit="1" customWidth="1"/>
    <col min="2823" max="2823" width="25" bestFit="1" customWidth="1"/>
    <col min="2824" max="2824" width="5.5703125" bestFit="1" customWidth="1"/>
    <col min="2825" max="2825" width="4.5703125" bestFit="1" customWidth="1"/>
    <col min="2826" max="2826" width="7.85546875" bestFit="1" customWidth="1"/>
    <col min="2827" max="2827" width="9.5703125" bestFit="1" customWidth="1"/>
    <col min="2828" max="2828" width="15.42578125" bestFit="1" customWidth="1"/>
    <col min="3074" max="3074" width="26" bestFit="1" customWidth="1"/>
    <col min="3075" max="3075" width="21.42578125" bestFit="1" customWidth="1"/>
    <col min="3076" max="3076" width="10.5703125" bestFit="1" customWidth="1"/>
    <col min="3077" max="3077" width="8.42578125" bestFit="1" customWidth="1"/>
    <col min="3078" max="3078" width="22.7109375" bestFit="1" customWidth="1"/>
    <col min="3079" max="3079" width="25" bestFit="1" customWidth="1"/>
    <col min="3080" max="3080" width="5.5703125" bestFit="1" customWidth="1"/>
    <col min="3081" max="3081" width="4.5703125" bestFit="1" customWidth="1"/>
    <col min="3082" max="3082" width="7.85546875" bestFit="1" customWidth="1"/>
    <col min="3083" max="3083" width="9.5703125" bestFit="1" customWidth="1"/>
    <col min="3084" max="3084" width="15.42578125" bestFit="1" customWidth="1"/>
    <col min="3330" max="3330" width="26" bestFit="1" customWidth="1"/>
    <col min="3331" max="3331" width="21.42578125" bestFit="1" customWidth="1"/>
    <col min="3332" max="3332" width="10.5703125" bestFit="1" customWidth="1"/>
    <col min="3333" max="3333" width="8.42578125" bestFit="1" customWidth="1"/>
    <col min="3334" max="3334" width="22.7109375" bestFit="1" customWidth="1"/>
    <col min="3335" max="3335" width="25" bestFit="1" customWidth="1"/>
    <col min="3336" max="3336" width="5.5703125" bestFit="1" customWidth="1"/>
    <col min="3337" max="3337" width="4.5703125" bestFit="1" customWidth="1"/>
    <col min="3338" max="3338" width="7.85546875" bestFit="1" customWidth="1"/>
    <col min="3339" max="3339" width="9.5703125" bestFit="1" customWidth="1"/>
    <col min="3340" max="3340" width="15.42578125" bestFit="1" customWidth="1"/>
    <col min="3586" max="3586" width="26" bestFit="1" customWidth="1"/>
    <col min="3587" max="3587" width="21.42578125" bestFit="1" customWidth="1"/>
    <col min="3588" max="3588" width="10.5703125" bestFit="1" customWidth="1"/>
    <col min="3589" max="3589" width="8.42578125" bestFit="1" customWidth="1"/>
    <col min="3590" max="3590" width="22.7109375" bestFit="1" customWidth="1"/>
    <col min="3591" max="3591" width="25" bestFit="1" customWidth="1"/>
    <col min="3592" max="3592" width="5.5703125" bestFit="1" customWidth="1"/>
    <col min="3593" max="3593" width="4.5703125" bestFit="1" customWidth="1"/>
    <col min="3594" max="3594" width="7.85546875" bestFit="1" customWidth="1"/>
    <col min="3595" max="3595" width="9.5703125" bestFit="1" customWidth="1"/>
    <col min="3596" max="3596" width="15.42578125" bestFit="1" customWidth="1"/>
    <col min="3842" max="3842" width="26" bestFit="1" customWidth="1"/>
    <col min="3843" max="3843" width="21.42578125" bestFit="1" customWidth="1"/>
    <col min="3844" max="3844" width="10.5703125" bestFit="1" customWidth="1"/>
    <col min="3845" max="3845" width="8.42578125" bestFit="1" customWidth="1"/>
    <col min="3846" max="3846" width="22.7109375" bestFit="1" customWidth="1"/>
    <col min="3847" max="3847" width="25" bestFit="1" customWidth="1"/>
    <col min="3848" max="3848" width="5.5703125" bestFit="1" customWidth="1"/>
    <col min="3849" max="3849" width="4.5703125" bestFit="1" customWidth="1"/>
    <col min="3850" max="3850" width="7.85546875" bestFit="1" customWidth="1"/>
    <col min="3851" max="3851" width="9.5703125" bestFit="1" customWidth="1"/>
    <col min="3852" max="3852" width="15.42578125" bestFit="1" customWidth="1"/>
    <col min="4098" max="4098" width="26" bestFit="1" customWidth="1"/>
    <col min="4099" max="4099" width="21.42578125" bestFit="1" customWidth="1"/>
    <col min="4100" max="4100" width="10.5703125" bestFit="1" customWidth="1"/>
    <col min="4101" max="4101" width="8.42578125" bestFit="1" customWidth="1"/>
    <col min="4102" max="4102" width="22.7109375" bestFit="1" customWidth="1"/>
    <col min="4103" max="4103" width="25" bestFit="1" customWidth="1"/>
    <col min="4104" max="4104" width="5.5703125" bestFit="1" customWidth="1"/>
    <col min="4105" max="4105" width="4.5703125" bestFit="1" customWidth="1"/>
    <col min="4106" max="4106" width="7.85546875" bestFit="1" customWidth="1"/>
    <col min="4107" max="4107" width="9.5703125" bestFit="1" customWidth="1"/>
    <col min="4108" max="4108" width="15.42578125" bestFit="1" customWidth="1"/>
    <col min="4354" max="4354" width="26" bestFit="1" customWidth="1"/>
    <col min="4355" max="4355" width="21.42578125" bestFit="1" customWidth="1"/>
    <col min="4356" max="4356" width="10.5703125" bestFit="1" customWidth="1"/>
    <col min="4357" max="4357" width="8.42578125" bestFit="1" customWidth="1"/>
    <col min="4358" max="4358" width="22.7109375" bestFit="1" customWidth="1"/>
    <col min="4359" max="4359" width="25" bestFit="1" customWidth="1"/>
    <col min="4360" max="4360" width="5.5703125" bestFit="1" customWidth="1"/>
    <col min="4361" max="4361" width="4.5703125" bestFit="1" customWidth="1"/>
    <col min="4362" max="4362" width="7.85546875" bestFit="1" customWidth="1"/>
    <col min="4363" max="4363" width="9.5703125" bestFit="1" customWidth="1"/>
    <col min="4364" max="4364" width="15.42578125" bestFit="1" customWidth="1"/>
    <col min="4610" max="4610" width="26" bestFit="1" customWidth="1"/>
    <col min="4611" max="4611" width="21.42578125" bestFit="1" customWidth="1"/>
    <col min="4612" max="4612" width="10.5703125" bestFit="1" customWidth="1"/>
    <col min="4613" max="4613" width="8.42578125" bestFit="1" customWidth="1"/>
    <col min="4614" max="4614" width="22.7109375" bestFit="1" customWidth="1"/>
    <col min="4615" max="4615" width="25" bestFit="1" customWidth="1"/>
    <col min="4616" max="4616" width="5.5703125" bestFit="1" customWidth="1"/>
    <col min="4617" max="4617" width="4.5703125" bestFit="1" customWidth="1"/>
    <col min="4618" max="4618" width="7.85546875" bestFit="1" customWidth="1"/>
    <col min="4619" max="4619" width="9.5703125" bestFit="1" customWidth="1"/>
    <col min="4620" max="4620" width="15.42578125" bestFit="1" customWidth="1"/>
    <col min="4866" max="4866" width="26" bestFit="1" customWidth="1"/>
    <col min="4867" max="4867" width="21.42578125" bestFit="1" customWidth="1"/>
    <col min="4868" max="4868" width="10.5703125" bestFit="1" customWidth="1"/>
    <col min="4869" max="4869" width="8.42578125" bestFit="1" customWidth="1"/>
    <col min="4870" max="4870" width="22.7109375" bestFit="1" customWidth="1"/>
    <col min="4871" max="4871" width="25" bestFit="1" customWidth="1"/>
    <col min="4872" max="4872" width="5.5703125" bestFit="1" customWidth="1"/>
    <col min="4873" max="4873" width="4.5703125" bestFit="1" customWidth="1"/>
    <col min="4874" max="4874" width="7.85546875" bestFit="1" customWidth="1"/>
    <col min="4875" max="4875" width="9.5703125" bestFit="1" customWidth="1"/>
    <col min="4876" max="4876" width="15.42578125" bestFit="1" customWidth="1"/>
    <col min="5122" max="5122" width="26" bestFit="1" customWidth="1"/>
    <col min="5123" max="5123" width="21.42578125" bestFit="1" customWidth="1"/>
    <col min="5124" max="5124" width="10.5703125" bestFit="1" customWidth="1"/>
    <col min="5125" max="5125" width="8.42578125" bestFit="1" customWidth="1"/>
    <col min="5126" max="5126" width="22.7109375" bestFit="1" customWidth="1"/>
    <col min="5127" max="5127" width="25" bestFit="1" customWidth="1"/>
    <col min="5128" max="5128" width="5.5703125" bestFit="1" customWidth="1"/>
    <col min="5129" max="5129" width="4.5703125" bestFit="1" customWidth="1"/>
    <col min="5130" max="5130" width="7.85546875" bestFit="1" customWidth="1"/>
    <col min="5131" max="5131" width="9.5703125" bestFit="1" customWidth="1"/>
    <col min="5132" max="5132" width="15.42578125" bestFit="1" customWidth="1"/>
    <col min="5378" max="5378" width="26" bestFit="1" customWidth="1"/>
    <col min="5379" max="5379" width="21.42578125" bestFit="1" customWidth="1"/>
    <col min="5380" max="5380" width="10.5703125" bestFit="1" customWidth="1"/>
    <col min="5381" max="5381" width="8.42578125" bestFit="1" customWidth="1"/>
    <col min="5382" max="5382" width="22.7109375" bestFit="1" customWidth="1"/>
    <col min="5383" max="5383" width="25" bestFit="1" customWidth="1"/>
    <col min="5384" max="5384" width="5.5703125" bestFit="1" customWidth="1"/>
    <col min="5385" max="5385" width="4.5703125" bestFit="1" customWidth="1"/>
    <col min="5386" max="5386" width="7.85546875" bestFit="1" customWidth="1"/>
    <col min="5387" max="5387" width="9.5703125" bestFit="1" customWidth="1"/>
    <col min="5388" max="5388" width="15.42578125" bestFit="1" customWidth="1"/>
    <col min="5634" max="5634" width="26" bestFit="1" customWidth="1"/>
    <col min="5635" max="5635" width="21.42578125" bestFit="1" customWidth="1"/>
    <col min="5636" max="5636" width="10.5703125" bestFit="1" customWidth="1"/>
    <col min="5637" max="5637" width="8.42578125" bestFit="1" customWidth="1"/>
    <col min="5638" max="5638" width="22.7109375" bestFit="1" customWidth="1"/>
    <col min="5639" max="5639" width="25" bestFit="1" customWidth="1"/>
    <col min="5640" max="5640" width="5.5703125" bestFit="1" customWidth="1"/>
    <col min="5641" max="5641" width="4.5703125" bestFit="1" customWidth="1"/>
    <col min="5642" max="5642" width="7.85546875" bestFit="1" customWidth="1"/>
    <col min="5643" max="5643" width="9.5703125" bestFit="1" customWidth="1"/>
    <col min="5644" max="5644" width="15.42578125" bestFit="1" customWidth="1"/>
    <col min="5890" max="5890" width="26" bestFit="1" customWidth="1"/>
    <col min="5891" max="5891" width="21.42578125" bestFit="1" customWidth="1"/>
    <col min="5892" max="5892" width="10.5703125" bestFit="1" customWidth="1"/>
    <col min="5893" max="5893" width="8.42578125" bestFit="1" customWidth="1"/>
    <col min="5894" max="5894" width="22.7109375" bestFit="1" customWidth="1"/>
    <col min="5895" max="5895" width="25" bestFit="1" customWidth="1"/>
    <col min="5896" max="5896" width="5.5703125" bestFit="1" customWidth="1"/>
    <col min="5897" max="5897" width="4.5703125" bestFit="1" customWidth="1"/>
    <col min="5898" max="5898" width="7.85546875" bestFit="1" customWidth="1"/>
    <col min="5899" max="5899" width="9.5703125" bestFit="1" customWidth="1"/>
    <col min="5900" max="5900" width="15.42578125" bestFit="1" customWidth="1"/>
    <col min="6146" max="6146" width="26" bestFit="1" customWidth="1"/>
    <col min="6147" max="6147" width="21.42578125" bestFit="1" customWidth="1"/>
    <col min="6148" max="6148" width="10.5703125" bestFit="1" customWidth="1"/>
    <col min="6149" max="6149" width="8.42578125" bestFit="1" customWidth="1"/>
    <col min="6150" max="6150" width="22.7109375" bestFit="1" customWidth="1"/>
    <col min="6151" max="6151" width="25" bestFit="1" customWidth="1"/>
    <col min="6152" max="6152" width="5.5703125" bestFit="1" customWidth="1"/>
    <col min="6153" max="6153" width="4.5703125" bestFit="1" customWidth="1"/>
    <col min="6154" max="6154" width="7.85546875" bestFit="1" customWidth="1"/>
    <col min="6155" max="6155" width="9.5703125" bestFit="1" customWidth="1"/>
    <col min="6156" max="6156" width="15.42578125" bestFit="1" customWidth="1"/>
    <col min="6402" max="6402" width="26" bestFit="1" customWidth="1"/>
    <col min="6403" max="6403" width="21.42578125" bestFit="1" customWidth="1"/>
    <col min="6404" max="6404" width="10.5703125" bestFit="1" customWidth="1"/>
    <col min="6405" max="6405" width="8.42578125" bestFit="1" customWidth="1"/>
    <col min="6406" max="6406" width="22.7109375" bestFit="1" customWidth="1"/>
    <col min="6407" max="6407" width="25" bestFit="1" customWidth="1"/>
    <col min="6408" max="6408" width="5.5703125" bestFit="1" customWidth="1"/>
    <col min="6409" max="6409" width="4.5703125" bestFit="1" customWidth="1"/>
    <col min="6410" max="6410" width="7.85546875" bestFit="1" customWidth="1"/>
    <col min="6411" max="6411" width="9.5703125" bestFit="1" customWidth="1"/>
    <col min="6412" max="6412" width="15.42578125" bestFit="1" customWidth="1"/>
    <col min="6658" max="6658" width="26" bestFit="1" customWidth="1"/>
    <col min="6659" max="6659" width="21.42578125" bestFit="1" customWidth="1"/>
    <col min="6660" max="6660" width="10.5703125" bestFit="1" customWidth="1"/>
    <col min="6661" max="6661" width="8.42578125" bestFit="1" customWidth="1"/>
    <col min="6662" max="6662" width="22.7109375" bestFit="1" customWidth="1"/>
    <col min="6663" max="6663" width="25" bestFit="1" customWidth="1"/>
    <col min="6664" max="6664" width="5.5703125" bestFit="1" customWidth="1"/>
    <col min="6665" max="6665" width="4.5703125" bestFit="1" customWidth="1"/>
    <col min="6666" max="6666" width="7.85546875" bestFit="1" customWidth="1"/>
    <col min="6667" max="6667" width="9.5703125" bestFit="1" customWidth="1"/>
    <col min="6668" max="6668" width="15.42578125" bestFit="1" customWidth="1"/>
    <col min="6914" max="6914" width="26" bestFit="1" customWidth="1"/>
    <col min="6915" max="6915" width="21.42578125" bestFit="1" customWidth="1"/>
    <col min="6916" max="6916" width="10.5703125" bestFit="1" customWidth="1"/>
    <col min="6917" max="6917" width="8.42578125" bestFit="1" customWidth="1"/>
    <col min="6918" max="6918" width="22.7109375" bestFit="1" customWidth="1"/>
    <col min="6919" max="6919" width="25" bestFit="1" customWidth="1"/>
    <col min="6920" max="6920" width="5.5703125" bestFit="1" customWidth="1"/>
    <col min="6921" max="6921" width="4.5703125" bestFit="1" customWidth="1"/>
    <col min="6922" max="6922" width="7.85546875" bestFit="1" customWidth="1"/>
    <col min="6923" max="6923" width="9.5703125" bestFit="1" customWidth="1"/>
    <col min="6924" max="6924" width="15.42578125" bestFit="1" customWidth="1"/>
    <col min="7170" max="7170" width="26" bestFit="1" customWidth="1"/>
    <col min="7171" max="7171" width="21.42578125" bestFit="1" customWidth="1"/>
    <col min="7172" max="7172" width="10.5703125" bestFit="1" customWidth="1"/>
    <col min="7173" max="7173" width="8.42578125" bestFit="1" customWidth="1"/>
    <col min="7174" max="7174" width="22.7109375" bestFit="1" customWidth="1"/>
    <col min="7175" max="7175" width="25" bestFit="1" customWidth="1"/>
    <col min="7176" max="7176" width="5.5703125" bestFit="1" customWidth="1"/>
    <col min="7177" max="7177" width="4.5703125" bestFit="1" customWidth="1"/>
    <col min="7178" max="7178" width="7.85546875" bestFit="1" customWidth="1"/>
    <col min="7179" max="7179" width="9.5703125" bestFit="1" customWidth="1"/>
    <col min="7180" max="7180" width="15.42578125" bestFit="1" customWidth="1"/>
    <col min="7426" max="7426" width="26" bestFit="1" customWidth="1"/>
    <col min="7427" max="7427" width="21.42578125" bestFit="1" customWidth="1"/>
    <col min="7428" max="7428" width="10.5703125" bestFit="1" customWidth="1"/>
    <col min="7429" max="7429" width="8.42578125" bestFit="1" customWidth="1"/>
    <col min="7430" max="7430" width="22.7109375" bestFit="1" customWidth="1"/>
    <col min="7431" max="7431" width="25" bestFit="1" customWidth="1"/>
    <col min="7432" max="7432" width="5.5703125" bestFit="1" customWidth="1"/>
    <col min="7433" max="7433" width="4.5703125" bestFit="1" customWidth="1"/>
    <col min="7434" max="7434" width="7.85546875" bestFit="1" customWidth="1"/>
    <col min="7435" max="7435" width="9.5703125" bestFit="1" customWidth="1"/>
    <col min="7436" max="7436" width="15.42578125" bestFit="1" customWidth="1"/>
    <col min="7682" max="7682" width="26" bestFit="1" customWidth="1"/>
    <col min="7683" max="7683" width="21.42578125" bestFit="1" customWidth="1"/>
    <col min="7684" max="7684" width="10.5703125" bestFit="1" customWidth="1"/>
    <col min="7685" max="7685" width="8.42578125" bestFit="1" customWidth="1"/>
    <col min="7686" max="7686" width="22.7109375" bestFit="1" customWidth="1"/>
    <col min="7687" max="7687" width="25" bestFit="1" customWidth="1"/>
    <col min="7688" max="7688" width="5.5703125" bestFit="1" customWidth="1"/>
    <col min="7689" max="7689" width="4.5703125" bestFit="1" customWidth="1"/>
    <col min="7690" max="7690" width="7.85546875" bestFit="1" customWidth="1"/>
    <col min="7691" max="7691" width="9.5703125" bestFit="1" customWidth="1"/>
    <col min="7692" max="7692" width="15.42578125" bestFit="1" customWidth="1"/>
    <col min="7938" max="7938" width="26" bestFit="1" customWidth="1"/>
    <col min="7939" max="7939" width="21.42578125" bestFit="1" customWidth="1"/>
    <col min="7940" max="7940" width="10.5703125" bestFit="1" customWidth="1"/>
    <col min="7941" max="7941" width="8.42578125" bestFit="1" customWidth="1"/>
    <col min="7942" max="7942" width="22.7109375" bestFit="1" customWidth="1"/>
    <col min="7943" max="7943" width="25" bestFit="1" customWidth="1"/>
    <col min="7944" max="7944" width="5.5703125" bestFit="1" customWidth="1"/>
    <col min="7945" max="7945" width="4.5703125" bestFit="1" customWidth="1"/>
    <col min="7946" max="7946" width="7.85546875" bestFit="1" customWidth="1"/>
    <col min="7947" max="7947" width="9.5703125" bestFit="1" customWidth="1"/>
    <col min="7948" max="7948" width="15.42578125" bestFit="1" customWidth="1"/>
    <col min="8194" max="8194" width="26" bestFit="1" customWidth="1"/>
    <col min="8195" max="8195" width="21.42578125" bestFit="1" customWidth="1"/>
    <col min="8196" max="8196" width="10.5703125" bestFit="1" customWidth="1"/>
    <col min="8197" max="8197" width="8.42578125" bestFit="1" customWidth="1"/>
    <col min="8198" max="8198" width="22.7109375" bestFit="1" customWidth="1"/>
    <col min="8199" max="8199" width="25" bestFit="1" customWidth="1"/>
    <col min="8200" max="8200" width="5.5703125" bestFit="1" customWidth="1"/>
    <col min="8201" max="8201" width="4.5703125" bestFit="1" customWidth="1"/>
    <col min="8202" max="8202" width="7.85546875" bestFit="1" customWidth="1"/>
    <col min="8203" max="8203" width="9.5703125" bestFit="1" customWidth="1"/>
    <col min="8204" max="8204" width="15.42578125" bestFit="1" customWidth="1"/>
    <col min="8450" max="8450" width="26" bestFit="1" customWidth="1"/>
    <col min="8451" max="8451" width="21.42578125" bestFit="1" customWidth="1"/>
    <col min="8452" max="8452" width="10.5703125" bestFit="1" customWidth="1"/>
    <col min="8453" max="8453" width="8.42578125" bestFit="1" customWidth="1"/>
    <col min="8454" max="8454" width="22.7109375" bestFit="1" customWidth="1"/>
    <col min="8455" max="8455" width="25" bestFit="1" customWidth="1"/>
    <col min="8456" max="8456" width="5.5703125" bestFit="1" customWidth="1"/>
    <col min="8457" max="8457" width="4.5703125" bestFit="1" customWidth="1"/>
    <col min="8458" max="8458" width="7.85546875" bestFit="1" customWidth="1"/>
    <col min="8459" max="8459" width="9.5703125" bestFit="1" customWidth="1"/>
    <col min="8460" max="8460" width="15.42578125" bestFit="1" customWidth="1"/>
    <col min="8706" max="8706" width="26" bestFit="1" customWidth="1"/>
    <col min="8707" max="8707" width="21.42578125" bestFit="1" customWidth="1"/>
    <col min="8708" max="8708" width="10.5703125" bestFit="1" customWidth="1"/>
    <col min="8709" max="8709" width="8.42578125" bestFit="1" customWidth="1"/>
    <col min="8710" max="8710" width="22.7109375" bestFit="1" customWidth="1"/>
    <col min="8711" max="8711" width="25" bestFit="1" customWidth="1"/>
    <col min="8712" max="8712" width="5.5703125" bestFit="1" customWidth="1"/>
    <col min="8713" max="8713" width="4.5703125" bestFit="1" customWidth="1"/>
    <col min="8714" max="8714" width="7.85546875" bestFit="1" customWidth="1"/>
    <col min="8715" max="8715" width="9.5703125" bestFit="1" customWidth="1"/>
    <col min="8716" max="8716" width="15.42578125" bestFit="1" customWidth="1"/>
    <col min="8962" max="8962" width="26" bestFit="1" customWidth="1"/>
    <col min="8963" max="8963" width="21.42578125" bestFit="1" customWidth="1"/>
    <col min="8964" max="8964" width="10.5703125" bestFit="1" customWidth="1"/>
    <col min="8965" max="8965" width="8.42578125" bestFit="1" customWidth="1"/>
    <col min="8966" max="8966" width="22.7109375" bestFit="1" customWidth="1"/>
    <col min="8967" max="8967" width="25" bestFit="1" customWidth="1"/>
    <col min="8968" max="8968" width="5.5703125" bestFit="1" customWidth="1"/>
    <col min="8969" max="8969" width="4.5703125" bestFit="1" customWidth="1"/>
    <col min="8970" max="8970" width="7.85546875" bestFit="1" customWidth="1"/>
    <col min="8971" max="8971" width="9.5703125" bestFit="1" customWidth="1"/>
    <col min="8972" max="8972" width="15.42578125" bestFit="1" customWidth="1"/>
    <col min="9218" max="9218" width="26" bestFit="1" customWidth="1"/>
    <col min="9219" max="9219" width="21.42578125" bestFit="1" customWidth="1"/>
    <col min="9220" max="9220" width="10.5703125" bestFit="1" customWidth="1"/>
    <col min="9221" max="9221" width="8.42578125" bestFit="1" customWidth="1"/>
    <col min="9222" max="9222" width="22.7109375" bestFit="1" customWidth="1"/>
    <col min="9223" max="9223" width="25" bestFit="1" customWidth="1"/>
    <col min="9224" max="9224" width="5.5703125" bestFit="1" customWidth="1"/>
    <col min="9225" max="9225" width="4.5703125" bestFit="1" customWidth="1"/>
    <col min="9226" max="9226" width="7.85546875" bestFit="1" customWidth="1"/>
    <col min="9227" max="9227" width="9.5703125" bestFit="1" customWidth="1"/>
    <col min="9228" max="9228" width="15.42578125" bestFit="1" customWidth="1"/>
    <col min="9474" max="9474" width="26" bestFit="1" customWidth="1"/>
    <col min="9475" max="9475" width="21.42578125" bestFit="1" customWidth="1"/>
    <col min="9476" max="9476" width="10.5703125" bestFit="1" customWidth="1"/>
    <col min="9477" max="9477" width="8.42578125" bestFit="1" customWidth="1"/>
    <col min="9478" max="9478" width="22.7109375" bestFit="1" customWidth="1"/>
    <col min="9479" max="9479" width="25" bestFit="1" customWidth="1"/>
    <col min="9480" max="9480" width="5.5703125" bestFit="1" customWidth="1"/>
    <col min="9481" max="9481" width="4.5703125" bestFit="1" customWidth="1"/>
    <col min="9482" max="9482" width="7.85546875" bestFit="1" customWidth="1"/>
    <col min="9483" max="9483" width="9.5703125" bestFit="1" customWidth="1"/>
    <col min="9484" max="9484" width="15.42578125" bestFit="1" customWidth="1"/>
    <col min="9730" max="9730" width="26" bestFit="1" customWidth="1"/>
    <col min="9731" max="9731" width="21.42578125" bestFit="1" customWidth="1"/>
    <col min="9732" max="9732" width="10.5703125" bestFit="1" customWidth="1"/>
    <col min="9733" max="9733" width="8.42578125" bestFit="1" customWidth="1"/>
    <col min="9734" max="9734" width="22.7109375" bestFit="1" customWidth="1"/>
    <col min="9735" max="9735" width="25" bestFit="1" customWidth="1"/>
    <col min="9736" max="9736" width="5.5703125" bestFit="1" customWidth="1"/>
    <col min="9737" max="9737" width="4.5703125" bestFit="1" customWidth="1"/>
    <col min="9738" max="9738" width="7.85546875" bestFit="1" customWidth="1"/>
    <col min="9739" max="9739" width="9.5703125" bestFit="1" customWidth="1"/>
    <col min="9740" max="9740" width="15.42578125" bestFit="1" customWidth="1"/>
    <col min="9986" max="9986" width="26" bestFit="1" customWidth="1"/>
    <col min="9987" max="9987" width="21.42578125" bestFit="1" customWidth="1"/>
    <col min="9988" max="9988" width="10.5703125" bestFit="1" customWidth="1"/>
    <col min="9989" max="9989" width="8.42578125" bestFit="1" customWidth="1"/>
    <col min="9990" max="9990" width="22.7109375" bestFit="1" customWidth="1"/>
    <col min="9991" max="9991" width="25" bestFit="1" customWidth="1"/>
    <col min="9992" max="9992" width="5.5703125" bestFit="1" customWidth="1"/>
    <col min="9993" max="9993" width="4.5703125" bestFit="1" customWidth="1"/>
    <col min="9994" max="9994" width="7.85546875" bestFit="1" customWidth="1"/>
    <col min="9995" max="9995" width="9.5703125" bestFit="1" customWidth="1"/>
    <col min="9996" max="9996" width="15.42578125" bestFit="1" customWidth="1"/>
    <col min="10242" max="10242" width="26" bestFit="1" customWidth="1"/>
    <col min="10243" max="10243" width="21.42578125" bestFit="1" customWidth="1"/>
    <col min="10244" max="10244" width="10.5703125" bestFit="1" customWidth="1"/>
    <col min="10245" max="10245" width="8.42578125" bestFit="1" customWidth="1"/>
    <col min="10246" max="10246" width="22.7109375" bestFit="1" customWidth="1"/>
    <col min="10247" max="10247" width="25" bestFit="1" customWidth="1"/>
    <col min="10248" max="10248" width="5.5703125" bestFit="1" customWidth="1"/>
    <col min="10249" max="10249" width="4.5703125" bestFit="1" customWidth="1"/>
    <col min="10250" max="10250" width="7.85546875" bestFit="1" customWidth="1"/>
    <col min="10251" max="10251" width="9.5703125" bestFit="1" customWidth="1"/>
    <col min="10252" max="10252" width="15.42578125" bestFit="1" customWidth="1"/>
    <col min="10498" max="10498" width="26" bestFit="1" customWidth="1"/>
    <col min="10499" max="10499" width="21.42578125" bestFit="1" customWidth="1"/>
    <col min="10500" max="10500" width="10.5703125" bestFit="1" customWidth="1"/>
    <col min="10501" max="10501" width="8.42578125" bestFit="1" customWidth="1"/>
    <col min="10502" max="10502" width="22.7109375" bestFit="1" customWidth="1"/>
    <col min="10503" max="10503" width="25" bestFit="1" customWidth="1"/>
    <col min="10504" max="10504" width="5.5703125" bestFit="1" customWidth="1"/>
    <col min="10505" max="10505" width="4.5703125" bestFit="1" customWidth="1"/>
    <col min="10506" max="10506" width="7.85546875" bestFit="1" customWidth="1"/>
    <col min="10507" max="10507" width="9.5703125" bestFit="1" customWidth="1"/>
    <col min="10508" max="10508" width="15.42578125" bestFit="1" customWidth="1"/>
    <col min="10754" max="10754" width="26" bestFit="1" customWidth="1"/>
    <col min="10755" max="10755" width="21.42578125" bestFit="1" customWidth="1"/>
    <col min="10756" max="10756" width="10.5703125" bestFit="1" customWidth="1"/>
    <col min="10757" max="10757" width="8.42578125" bestFit="1" customWidth="1"/>
    <col min="10758" max="10758" width="22.7109375" bestFit="1" customWidth="1"/>
    <col min="10759" max="10759" width="25" bestFit="1" customWidth="1"/>
    <col min="10760" max="10760" width="5.5703125" bestFit="1" customWidth="1"/>
    <col min="10761" max="10761" width="4.5703125" bestFit="1" customWidth="1"/>
    <col min="10762" max="10762" width="7.85546875" bestFit="1" customWidth="1"/>
    <col min="10763" max="10763" width="9.5703125" bestFit="1" customWidth="1"/>
    <col min="10764" max="10764" width="15.42578125" bestFit="1" customWidth="1"/>
    <col min="11010" max="11010" width="26" bestFit="1" customWidth="1"/>
    <col min="11011" max="11011" width="21.42578125" bestFit="1" customWidth="1"/>
    <col min="11012" max="11012" width="10.5703125" bestFit="1" customWidth="1"/>
    <col min="11013" max="11013" width="8.42578125" bestFit="1" customWidth="1"/>
    <col min="11014" max="11014" width="22.7109375" bestFit="1" customWidth="1"/>
    <col min="11015" max="11015" width="25" bestFit="1" customWidth="1"/>
    <col min="11016" max="11016" width="5.5703125" bestFit="1" customWidth="1"/>
    <col min="11017" max="11017" width="4.5703125" bestFit="1" customWidth="1"/>
    <col min="11018" max="11018" width="7.85546875" bestFit="1" customWidth="1"/>
    <col min="11019" max="11019" width="9.5703125" bestFit="1" customWidth="1"/>
    <col min="11020" max="11020" width="15.42578125" bestFit="1" customWidth="1"/>
    <col min="11266" max="11266" width="26" bestFit="1" customWidth="1"/>
    <col min="11267" max="11267" width="21.42578125" bestFit="1" customWidth="1"/>
    <col min="11268" max="11268" width="10.5703125" bestFit="1" customWidth="1"/>
    <col min="11269" max="11269" width="8.42578125" bestFit="1" customWidth="1"/>
    <col min="11270" max="11270" width="22.7109375" bestFit="1" customWidth="1"/>
    <col min="11271" max="11271" width="25" bestFit="1" customWidth="1"/>
    <col min="11272" max="11272" width="5.5703125" bestFit="1" customWidth="1"/>
    <col min="11273" max="11273" width="4.5703125" bestFit="1" customWidth="1"/>
    <col min="11274" max="11274" width="7.85546875" bestFit="1" customWidth="1"/>
    <col min="11275" max="11275" width="9.5703125" bestFit="1" customWidth="1"/>
    <col min="11276" max="11276" width="15.42578125" bestFit="1" customWidth="1"/>
    <col min="11522" max="11522" width="26" bestFit="1" customWidth="1"/>
    <col min="11523" max="11523" width="21.42578125" bestFit="1" customWidth="1"/>
    <col min="11524" max="11524" width="10.5703125" bestFit="1" customWidth="1"/>
    <col min="11525" max="11525" width="8.42578125" bestFit="1" customWidth="1"/>
    <col min="11526" max="11526" width="22.7109375" bestFit="1" customWidth="1"/>
    <col min="11527" max="11527" width="25" bestFit="1" customWidth="1"/>
    <col min="11528" max="11528" width="5.5703125" bestFit="1" customWidth="1"/>
    <col min="11529" max="11529" width="4.5703125" bestFit="1" customWidth="1"/>
    <col min="11530" max="11530" width="7.85546875" bestFit="1" customWidth="1"/>
    <col min="11531" max="11531" width="9.5703125" bestFit="1" customWidth="1"/>
    <col min="11532" max="11532" width="15.42578125" bestFit="1" customWidth="1"/>
    <col min="11778" max="11778" width="26" bestFit="1" customWidth="1"/>
    <col min="11779" max="11779" width="21.42578125" bestFit="1" customWidth="1"/>
    <col min="11780" max="11780" width="10.5703125" bestFit="1" customWidth="1"/>
    <col min="11781" max="11781" width="8.42578125" bestFit="1" customWidth="1"/>
    <col min="11782" max="11782" width="22.7109375" bestFit="1" customWidth="1"/>
    <col min="11783" max="11783" width="25" bestFit="1" customWidth="1"/>
    <col min="11784" max="11784" width="5.5703125" bestFit="1" customWidth="1"/>
    <col min="11785" max="11785" width="4.5703125" bestFit="1" customWidth="1"/>
    <col min="11786" max="11786" width="7.85546875" bestFit="1" customWidth="1"/>
    <col min="11787" max="11787" width="9.5703125" bestFit="1" customWidth="1"/>
    <col min="11788" max="11788" width="15.42578125" bestFit="1" customWidth="1"/>
    <col min="12034" max="12034" width="26" bestFit="1" customWidth="1"/>
    <col min="12035" max="12035" width="21.42578125" bestFit="1" customWidth="1"/>
    <col min="12036" max="12036" width="10.5703125" bestFit="1" customWidth="1"/>
    <col min="12037" max="12037" width="8.42578125" bestFit="1" customWidth="1"/>
    <col min="12038" max="12038" width="22.7109375" bestFit="1" customWidth="1"/>
    <col min="12039" max="12039" width="25" bestFit="1" customWidth="1"/>
    <col min="12040" max="12040" width="5.5703125" bestFit="1" customWidth="1"/>
    <col min="12041" max="12041" width="4.5703125" bestFit="1" customWidth="1"/>
    <col min="12042" max="12042" width="7.85546875" bestFit="1" customWidth="1"/>
    <col min="12043" max="12043" width="9.5703125" bestFit="1" customWidth="1"/>
    <col min="12044" max="12044" width="15.42578125" bestFit="1" customWidth="1"/>
    <col min="12290" max="12290" width="26" bestFit="1" customWidth="1"/>
    <col min="12291" max="12291" width="21.42578125" bestFit="1" customWidth="1"/>
    <col min="12292" max="12292" width="10.5703125" bestFit="1" customWidth="1"/>
    <col min="12293" max="12293" width="8.42578125" bestFit="1" customWidth="1"/>
    <col min="12294" max="12294" width="22.7109375" bestFit="1" customWidth="1"/>
    <col min="12295" max="12295" width="25" bestFit="1" customWidth="1"/>
    <col min="12296" max="12296" width="5.5703125" bestFit="1" customWidth="1"/>
    <col min="12297" max="12297" width="4.5703125" bestFit="1" customWidth="1"/>
    <col min="12298" max="12298" width="7.85546875" bestFit="1" customWidth="1"/>
    <col min="12299" max="12299" width="9.5703125" bestFit="1" customWidth="1"/>
    <col min="12300" max="12300" width="15.42578125" bestFit="1" customWidth="1"/>
    <col min="12546" max="12546" width="26" bestFit="1" customWidth="1"/>
    <col min="12547" max="12547" width="21.42578125" bestFit="1" customWidth="1"/>
    <col min="12548" max="12548" width="10.5703125" bestFit="1" customWidth="1"/>
    <col min="12549" max="12549" width="8.42578125" bestFit="1" customWidth="1"/>
    <col min="12550" max="12550" width="22.7109375" bestFit="1" customWidth="1"/>
    <col min="12551" max="12551" width="25" bestFit="1" customWidth="1"/>
    <col min="12552" max="12552" width="5.5703125" bestFit="1" customWidth="1"/>
    <col min="12553" max="12553" width="4.5703125" bestFit="1" customWidth="1"/>
    <col min="12554" max="12554" width="7.85546875" bestFit="1" customWidth="1"/>
    <col min="12555" max="12555" width="9.5703125" bestFit="1" customWidth="1"/>
    <col min="12556" max="12556" width="15.42578125" bestFit="1" customWidth="1"/>
    <col min="12802" max="12802" width="26" bestFit="1" customWidth="1"/>
    <col min="12803" max="12803" width="21.42578125" bestFit="1" customWidth="1"/>
    <col min="12804" max="12804" width="10.5703125" bestFit="1" customWidth="1"/>
    <col min="12805" max="12805" width="8.42578125" bestFit="1" customWidth="1"/>
    <col min="12806" max="12806" width="22.7109375" bestFit="1" customWidth="1"/>
    <col min="12807" max="12807" width="25" bestFit="1" customWidth="1"/>
    <col min="12808" max="12808" width="5.5703125" bestFit="1" customWidth="1"/>
    <col min="12809" max="12809" width="4.5703125" bestFit="1" customWidth="1"/>
    <col min="12810" max="12810" width="7.85546875" bestFit="1" customWidth="1"/>
    <col min="12811" max="12811" width="9.5703125" bestFit="1" customWidth="1"/>
    <col min="12812" max="12812" width="15.42578125" bestFit="1" customWidth="1"/>
    <col min="13058" max="13058" width="26" bestFit="1" customWidth="1"/>
    <col min="13059" max="13059" width="21.42578125" bestFit="1" customWidth="1"/>
    <col min="13060" max="13060" width="10.5703125" bestFit="1" customWidth="1"/>
    <col min="13061" max="13061" width="8.42578125" bestFit="1" customWidth="1"/>
    <col min="13062" max="13062" width="22.7109375" bestFit="1" customWidth="1"/>
    <col min="13063" max="13063" width="25" bestFit="1" customWidth="1"/>
    <col min="13064" max="13064" width="5.5703125" bestFit="1" customWidth="1"/>
    <col min="13065" max="13065" width="4.5703125" bestFit="1" customWidth="1"/>
    <col min="13066" max="13066" width="7.85546875" bestFit="1" customWidth="1"/>
    <col min="13067" max="13067" width="9.5703125" bestFit="1" customWidth="1"/>
    <col min="13068" max="13068" width="15.42578125" bestFit="1" customWidth="1"/>
    <col min="13314" max="13314" width="26" bestFit="1" customWidth="1"/>
    <col min="13315" max="13315" width="21.42578125" bestFit="1" customWidth="1"/>
    <col min="13316" max="13316" width="10.5703125" bestFit="1" customWidth="1"/>
    <col min="13317" max="13317" width="8.42578125" bestFit="1" customWidth="1"/>
    <col min="13318" max="13318" width="22.7109375" bestFit="1" customWidth="1"/>
    <col min="13319" max="13319" width="25" bestFit="1" customWidth="1"/>
    <col min="13320" max="13320" width="5.5703125" bestFit="1" customWidth="1"/>
    <col min="13321" max="13321" width="4.5703125" bestFit="1" customWidth="1"/>
    <col min="13322" max="13322" width="7.85546875" bestFit="1" customWidth="1"/>
    <col min="13323" max="13323" width="9.5703125" bestFit="1" customWidth="1"/>
    <col min="13324" max="13324" width="15.42578125" bestFit="1" customWidth="1"/>
    <col min="13570" max="13570" width="26" bestFit="1" customWidth="1"/>
    <col min="13571" max="13571" width="21.42578125" bestFit="1" customWidth="1"/>
    <col min="13572" max="13572" width="10.5703125" bestFit="1" customWidth="1"/>
    <col min="13573" max="13573" width="8.42578125" bestFit="1" customWidth="1"/>
    <col min="13574" max="13574" width="22.7109375" bestFit="1" customWidth="1"/>
    <col min="13575" max="13575" width="25" bestFit="1" customWidth="1"/>
    <col min="13576" max="13576" width="5.5703125" bestFit="1" customWidth="1"/>
    <col min="13577" max="13577" width="4.5703125" bestFit="1" customWidth="1"/>
    <col min="13578" max="13578" width="7.85546875" bestFit="1" customWidth="1"/>
    <col min="13579" max="13579" width="9.5703125" bestFit="1" customWidth="1"/>
    <col min="13580" max="13580" width="15.42578125" bestFit="1" customWidth="1"/>
    <col min="13826" max="13826" width="26" bestFit="1" customWidth="1"/>
    <col min="13827" max="13827" width="21.42578125" bestFit="1" customWidth="1"/>
    <col min="13828" max="13828" width="10.5703125" bestFit="1" customWidth="1"/>
    <col min="13829" max="13829" width="8.42578125" bestFit="1" customWidth="1"/>
    <col min="13830" max="13830" width="22.7109375" bestFit="1" customWidth="1"/>
    <col min="13831" max="13831" width="25" bestFit="1" customWidth="1"/>
    <col min="13832" max="13832" width="5.5703125" bestFit="1" customWidth="1"/>
    <col min="13833" max="13833" width="4.5703125" bestFit="1" customWidth="1"/>
    <col min="13834" max="13834" width="7.85546875" bestFit="1" customWidth="1"/>
    <col min="13835" max="13835" width="9.5703125" bestFit="1" customWidth="1"/>
    <col min="13836" max="13836" width="15.42578125" bestFit="1" customWidth="1"/>
    <col min="14082" max="14082" width="26" bestFit="1" customWidth="1"/>
    <col min="14083" max="14083" width="21.42578125" bestFit="1" customWidth="1"/>
    <col min="14084" max="14084" width="10.5703125" bestFit="1" customWidth="1"/>
    <col min="14085" max="14085" width="8.42578125" bestFit="1" customWidth="1"/>
    <col min="14086" max="14086" width="22.7109375" bestFit="1" customWidth="1"/>
    <col min="14087" max="14087" width="25" bestFit="1" customWidth="1"/>
    <col min="14088" max="14088" width="5.5703125" bestFit="1" customWidth="1"/>
    <col min="14089" max="14089" width="4.5703125" bestFit="1" customWidth="1"/>
    <col min="14090" max="14090" width="7.85546875" bestFit="1" customWidth="1"/>
    <col min="14091" max="14091" width="9.5703125" bestFit="1" customWidth="1"/>
    <col min="14092" max="14092" width="15.42578125" bestFit="1" customWidth="1"/>
    <col min="14338" max="14338" width="26" bestFit="1" customWidth="1"/>
    <col min="14339" max="14339" width="21.42578125" bestFit="1" customWidth="1"/>
    <col min="14340" max="14340" width="10.5703125" bestFit="1" customWidth="1"/>
    <col min="14341" max="14341" width="8.42578125" bestFit="1" customWidth="1"/>
    <col min="14342" max="14342" width="22.7109375" bestFit="1" customWidth="1"/>
    <col min="14343" max="14343" width="25" bestFit="1" customWidth="1"/>
    <col min="14344" max="14344" width="5.5703125" bestFit="1" customWidth="1"/>
    <col min="14345" max="14345" width="4.5703125" bestFit="1" customWidth="1"/>
    <col min="14346" max="14346" width="7.85546875" bestFit="1" customWidth="1"/>
    <col min="14347" max="14347" width="9.5703125" bestFit="1" customWidth="1"/>
    <col min="14348" max="14348" width="15.42578125" bestFit="1" customWidth="1"/>
    <col min="14594" max="14594" width="26" bestFit="1" customWidth="1"/>
    <col min="14595" max="14595" width="21.42578125" bestFit="1" customWidth="1"/>
    <col min="14596" max="14596" width="10.5703125" bestFit="1" customWidth="1"/>
    <col min="14597" max="14597" width="8.42578125" bestFit="1" customWidth="1"/>
    <col min="14598" max="14598" width="22.7109375" bestFit="1" customWidth="1"/>
    <col min="14599" max="14599" width="25" bestFit="1" customWidth="1"/>
    <col min="14600" max="14600" width="5.5703125" bestFit="1" customWidth="1"/>
    <col min="14601" max="14601" width="4.5703125" bestFit="1" customWidth="1"/>
    <col min="14602" max="14602" width="7.85546875" bestFit="1" customWidth="1"/>
    <col min="14603" max="14603" width="9.5703125" bestFit="1" customWidth="1"/>
    <col min="14604" max="14604" width="15.42578125" bestFit="1" customWidth="1"/>
    <col min="14850" max="14850" width="26" bestFit="1" customWidth="1"/>
    <col min="14851" max="14851" width="21.42578125" bestFit="1" customWidth="1"/>
    <col min="14852" max="14852" width="10.5703125" bestFit="1" customWidth="1"/>
    <col min="14853" max="14853" width="8.42578125" bestFit="1" customWidth="1"/>
    <col min="14854" max="14854" width="22.7109375" bestFit="1" customWidth="1"/>
    <col min="14855" max="14855" width="25" bestFit="1" customWidth="1"/>
    <col min="14856" max="14856" width="5.5703125" bestFit="1" customWidth="1"/>
    <col min="14857" max="14857" width="4.5703125" bestFit="1" customWidth="1"/>
    <col min="14858" max="14858" width="7.85546875" bestFit="1" customWidth="1"/>
    <col min="14859" max="14859" width="9.5703125" bestFit="1" customWidth="1"/>
    <col min="14860" max="14860" width="15.42578125" bestFit="1" customWidth="1"/>
    <col min="15106" max="15106" width="26" bestFit="1" customWidth="1"/>
    <col min="15107" max="15107" width="21.42578125" bestFit="1" customWidth="1"/>
    <col min="15108" max="15108" width="10.5703125" bestFit="1" customWidth="1"/>
    <col min="15109" max="15109" width="8.42578125" bestFit="1" customWidth="1"/>
    <col min="15110" max="15110" width="22.7109375" bestFit="1" customWidth="1"/>
    <col min="15111" max="15111" width="25" bestFit="1" customWidth="1"/>
    <col min="15112" max="15112" width="5.5703125" bestFit="1" customWidth="1"/>
    <col min="15113" max="15113" width="4.5703125" bestFit="1" customWidth="1"/>
    <col min="15114" max="15114" width="7.85546875" bestFit="1" customWidth="1"/>
    <col min="15115" max="15115" width="9.5703125" bestFit="1" customWidth="1"/>
    <col min="15116" max="15116" width="15.42578125" bestFit="1" customWidth="1"/>
    <col min="15362" max="15362" width="26" bestFit="1" customWidth="1"/>
    <col min="15363" max="15363" width="21.42578125" bestFit="1" customWidth="1"/>
    <col min="15364" max="15364" width="10.5703125" bestFit="1" customWidth="1"/>
    <col min="15365" max="15365" width="8.42578125" bestFit="1" customWidth="1"/>
    <col min="15366" max="15366" width="22.7109375" bestFit="1" customWidth="1"/>
    <col min="15367" max="15367" width="25" bestFit="1" customWidth="1"/>
    <col min="15368" max="15368" width="5.5703125" bestFit="1" customWidth="1"/>
    <col min="15369" max="15369" width="4.5703125" bestFit="1" customWidth="1"/>
    <col min="15370" max="15370" width="7.85546875" bestFit="1" customWidth="1"/>
    <col min="15371" max="15371" width="9.5703125" bestFit="1" customWidth="1"/>
    <col min="15372" max="15372" width="15.42578125" bestFit="1" customWidth="1"/>
    <col min="15618" max="15618" width="26" bestFit="1" customWidth="1"/>
    <col min="15619" max="15619" width="21.42578125" bestFit="1" customWidth="1"/>
    <col min="15620" max="15620" width="10.5703125" bestFit="1" customWidth="1"/>
    <col min="15621" max="15621" width="8.42578125" bestFit="1" customWidth="1"/>
    <col min="15622" max="15622" width="22.7109375" bestFit="1" customWidth="1"/>
    <col min="15623" max="15623" width="25" bestFit="1" customWidth="1"/>
    <col min="15624" max="15624" width="5.5703125" bestFit="1" customWidth="1"/>
    <col min="15625" max="15625" width="4.5703125" bestFit="1" customWidth="1"/>
    <col min="15626" max="15626" width="7.85546875" bestFit="1" customWidth="1"/>
    <col min="15627" max="15627" width="9.5703125" bestFit="1" customWidth="1"/>
    <col min="15628" max="15628" width="15.42578125" bestFit="1" customWidth="1"/>
    <col min="15874" max="15874" width="26" bestFit="1" customWidth="1"/>
    <col min="15875" max="15875" width="21.42578125" bestFit="1" customWidth="1"/>
    <col min="15876" max="15876" width="10.5703125" bestFit="1" customWidth="1"/>
    <col min="15877" max="15877" width="8.42578125" bestFit="1" customWidth="1"/>
    <col min="15878" max="15878" width="22.7109375" bestFit="1" customWidth="1"/>
    <col min="15879" max="15879" width="25" bestFit="1" customWidth="1"/>
    <col min="15880" max="15880" width="5.5703125" bestFit="1" customWidth="1"/>
    <col min="15881" max="15881" width="4.5703125" bestFit="1" customWidth="1"/>
    <col min="15882" max="15882" width="7.85546875" bestFit="1" customWidth="1"/>
    <col min="15883" max="15883" width="9.5703125" bestFit="1" customWidth="1"/>
    <col min="15884" max="15884" width="15.42578125" bestFit="1" customWidth="1"/>
    <col min="16130" max="16130" width="26" bestFit="1" customWidth="1"/>
    <col min="16131" max="16131" width="21.42578125" bestFit="1" customWidth="1"/>
    <col min="16132" max="16132" width="10.5703125" bestFit="1" customWidth="1"/>
    <col min="16133" max="16133" width="8.42578125" bestFit="1" customWidth="1"/>
    <col min="16134" max="16134" width="22.7109375" bestFit="1" customWidth="1"/>
    <col min="16135" max="16135" width="25" bestFit="1" customWidth="1"/>
    <col min="16136" max="16136" width="5.5703125" bestFit="1" customWidth="1"/>
    <col min="16137" max="16137" width="4.5703125" bestFit="1" customWidth="1"/>
    <col min="16138" max="16138" width="7.85546875" bestFit="1" customWidth="1"/>
    <col min="16139" max="16139" width="9.5703125" bestFit="1" customWidth="1"/>
    <col min="16140" max="16140" width="15.42578125" bestFit="1" customWidth="1"/>
  </cols>
  <sheetData>
    <row r="1" spans="1:12" ht="30" x14ac:dyDescent="0.4">
      <c r="A1" s="348" t="s">
        <v>4054</v>
      </c>
      <c r="B1" s="349"/>
      <c r="C1" s="349"/>
      <c r="D1" s="349"/>
      <c r="E1" s="349"/>
      <c r="F1" s="349"/>
      <c r="G1" s="349"/>
      <c r="H1" s="349"/>
      <c r="I1" s="349"/>
      <c r="J1" s="349"/>
      <c r="K1" s="349"/>
      <c r="L1" s="350"/>
    </row>
    <row r="2" spans="1:12" ht="30" x14ac:dyDescent="0.4">
      <c r="A2" s="351" t="s">
        <v>4069</v>
      </c>
      <c r="B2" s="352"/>
      <c r="C2" s="352"/>
      <c r="D2" s="352"/>
      <c r="E2" s="352"/>
      <c r="F2" s="352"/>
      <c r="G2" s="352"/>
      <c r="H2" s="352"/>
      <c r="I2" s="352"/>
      <c r="J2" s="352"/>
      <c r="K2" s="352"/>
      <c r="L2" s="353"/>
    </row>
    <row r="3" spans="1:12" ht="30.75" thickBot="1" x14ac:dyDescent="0.45">
      <c r="A3" s="354" t="s">
        <v>4056</v>
      </c>
      <c r="B3" s="355"/>
      <c r="C3" s="355"/>
      <c r="D3" s="355"/>
      <c r="E3" s="355"/>
      <c r="F3" s="355"/>
      <c r="G3" s="355"/>
      <c r="H3" s="355"/>
      <c r="I3" s="355"/>
      <c r="J3" s="355"/>
      <c r="K3" s="355"/>
      <c r="L3" s="356"/>
    </row>
    <row r="4" spans="1:12" s="5" customFormat="1" ht="15" customHeight="1" x14ac:dyDescent="0.2">
      <c r="A4" s="300" t="s">
        <v>2842</v>
      </c>
      <c r="B4" s="312" t="s">
        <v>2820</v>
      </c>
      <c r="C4" s="357" t="s">
        <v>2843</v>
      </c>
      <c r="D4" s="357" t="s">
        <v>2844</v>
      </c>
      <c r="E4" s="304" t="s">
        <v>2821</v>
      </c>
      <c r="F4" s="304" t="s">
        <v>2822</v>
      </c>
      <c r="G4" s="305" t="s">
        <v>2841</v>
      </c>
      <c r="H4" s="304" t="s">
        <v>2823</v>
      </c>
      <c r="I4" s="304"/>
      <c r="J4" s="304" t="s">
        <v>2940</v>
      </c>
      <c r="K4" s="304" t="s">
        <v>2825</v>
      </c>
      <c r="L4" s="307" t="s">
        <v>2826</v>
      </c>
    </row>
    <row r="5" spans="1:12" s="5" customFormat="1" ht="15.75" thickBot="1" x14ac:dyDescent="0.25">
      <c r="A5" s="301"/>
      <c r="B5" s="313"/>
      <c r="C5" s="358"/>
      <c r="D5" s="358"/>
      <c r="E5" s="303"/>
      <c r="F5" s="303"/>
      <c r="G5" s="306"/>
      <c r="H5" s="2" t="s">
        <v>2847</v>
      </c>
      <c r="I5" s="2" t="s">
        <v>2846</v>
      </c>
      <c r="J5" s="303"/>
      <c r="K5" s="303"/>
      <c r="L5" s="310"/>
    </row>
    <row r="6" spans="1:12" ht="15" x14ac:dyDescent="0.2">
      <c r="B6" s="299" t="s">
        <v>2931</v>
      </c>
      <c r="C6" s="299"/>
      <c r="D6" s="299"/>
      <c r="E6" s="299"/>
      <c r="F6" s="299"/>
      <c r="G6" s="299"/>
      <c r="H6" s="299"/>
      <c r="I6" s="299"/>
      <c r="J6" s="299"/>
      <c r="K6" s="299"/>
    </row>
    <row r="7" spans="1:12" x14ac:dyDescent="0.2">
      <c r="A7" s="43">
        <v>1</v>
      </c>
      <c r="B7" s="7" t="s">
        <v>2932</v>
      </c>
      <c r="C7" s="7" t="s">
        <v>2933</v>
      </c>
      <c r="D7" s="7" t="s">
        <v>2934</v>
      </c>
      <c r="E7" s="7" t="str">
        <f>"0,5748"</f>
        <v>0,5748</v>
      </c>
      <c r="F7" s="7" t="s">
        <v>2853</v>
      </c>
      <c r="G7" s="7" t="s">
        <v>2862</v>
      </c>
      <c r="H7" s="61" t="s">
        <v>104</v>
      </c>
      <c r="I7" s="19" t="s">
        <v>2936</v>
      </c>
      <c r="J7" s="19" t="s">
        <v>2935</v>
      </c>
      <c r="K7" s="19" t="str">
        <f>"3512,0281"</f>
        <v>3512,0281</v>
      </c>
      <c r="L7" s="7" t="s">
        <v>2855</v>
      </c>
    </row>
    <row r="9" spans="1:12" ht="13.5" thickBot="1" x14ac:dyDescent="0.25"/>
    <row r="10" spans="1:12" ht="30" x14ac:dyDescent="0.4">
      <c r="A10" s="348" t="s">
        <v>4054</v>
      </c>
      <c r="B10" s="349"/>
      <c r="C10" s="349"/>
      <c r="D10" s="349"/>
      <c r="E10" s="349"/>
      <c r="F10" s="349"/>
      <c r="G10" s="349"/>
      <c r="H10" s="349"/>
      <c r="I10" s="349"/>
      <c r="J10" s="349"/>
      <c r="K10" s="349"/>
      <c r="L10" s="350"/>
    </row>
    <row r="11" spans="1:12" ht="30" x14ac:dyDescent="0.4">
      <c r="A11" s="351" t="s">
        <v>4070</v>
      </c>
      <c r="B11" s="352"/>
      <c r="C11" s="352"/>
      <c r="D11" s="352"/>
      <c r="E11" s="352"/>
      <c r="F11" s="352"/>
      <c r="G11" s="352"/>
      <c r="H11" s="352"/>
      <c r="I11" s="352"/>
      <c r="J11" s="352"/>
      <c r="K11" s="352"/>
      <c r="L11" s="353"/>
    </row>
    <row r="12" spans="1:12" ht="30.75" thickBot="1" x14ac:dyDescent="0.45">
      <c r="A12" s="354" t="s">
        <v>4056</v>
      </c>
      <c r="B12" s="355"/>
      <c r="C12" s="355"/>
      <c r="D12" s="355"/>
      <c r="E12" s="355"/>
      <c r="F12" s="355"/>
      <c r="G12" s="355"/>
      <c r="H12" s="355"/>
      <c r="I12" s="355"/>
      <c r="J12" s="355"/>
      <c r="K12" s="355"/>
      <c r="L12" s="356"/>
    </row>
    <row r="13" spans="1:12" ht="15" x14ac:dyDescent="0.2">
      <c r="A13" s="300" t="s">
        <v>2842</v>
      </c>
      <c r="B13" s="312" t="s">
        <v>2820</v>
      </c>
      <c r="C13" s="357" t="s">
        <v>2843</v>
      </c>
      <c r="D13" s="357" t="s">
        <v>2844</v>
      </c>
      <c r="E13" s="304" t="s">
        <v>2821</v>
      </c>
      <c r="F13" s="304" t="s">
        <v>2822</v>
      </c>
      <c r="G13" s="305" t="s">
        <v>2841</v>
      </c>
      <c r="H13" s="304" t="s">
        <v>2823</v>
      </c>
      <c r="I13" s="304"/>
      <c r="J13" s="304" t="s">
        <v>2940</v>
      </c>
      <c r="K13" s="304" t="s">
        <v>2825</v>
      </c>
      <c r="L13" s="307" t="s">
        <v>2826</v>
      </c>
    </row>
    <row r="14" spans="1:12" ht="15" thickBot="1" x14ac:dyDescent="0.25">
      <c r="A14" s="301"/>
      <c r="B14" s="313"/>
      <c r="C14" s="358"/>
      <c r="D14" s="358"/>
      <c r="E14" s="303"/>
      <c r="F14" s="303"/>
      <c r="G14" s="306"/>
      <c r="H14" s="2" t="s">
        <v>2847</v>
      </c>
      <c r="I14" s="2" t="s">
        <v>2846</v>
      </c>
      <c r="J14" s="303"/>
      <c r="K14" s="303"/>
      <c r="L14" s="310"/>
    </row>
    <row r="15" spans="1:12" ht="15" x14ac:dyDescent="0.2">
      <c r="B15" s="299" t="s">
        <v>2863</v>
      </c>
      <c r="C15" s="299"/>
      <c r="D15" s="299"/>
      <c r="E15" s="299"/>
      <c r="F15" s="299"/>
      <c r="G15" s="299"/>
      <c r="H15" s="299"/>
      <c r="I15" s="299"/>
      <c r="J15" s="299"/>
      <c r="K15" s="299"/>
    </row>
    <row r="16" spans="1:12" x14ac:dyDescent="0.2">
      <c r="A16" s="43">
        <v>1</v>
      </c>
      <c r="B16" s="7" t="s">
        <v>2937</v>
      </c>
      <c r="C16" s="7" t="s">
        <v>2938</v>
      </c>
      <c r="D16" s="7" t="s">
        <v>460</v>
      </c>
      <c r="E16" s="7" t="str">
        <f>"0,6467"</f>
        <v>0,6467</v>
      </c>
      <c r="F16" s="7" t="s">
        <v>2853</v>
      </c>
      <c r="G16" s="7" t="s">
        <v>2862</v>
      </c>
      <c r="H16" s="19" t="s">
        <v>23</v>
      </c>
      <c r="I16" s="19" t="s">
        <v>2942</v>
      </c>
      <c r="J16" s="19" t="s">
        <v>2939</v>
      </c>
      <c r="K16" s="19" t="str">
        <f>"3492,1801"</f>
        <v>3492,1801</v>
      </c>
      <c r="L16" s="7" t="s">
        <v>2941</v>
      </c>
    </row>
  </sheetData>
  <mergeCells count="30">
    <mergeCell ref="A1:L1"/>
    <mergeCell ref="A2:L2"/>
    <mergeCell ref="A3:L3"/>
    <mergeCell ref="A10:L10"/>
    <mergeCell ref="A11:L11"/>
    <mergeCell ref="L4:L5"/>
    <mergeCell ref="B6:K6"/>
    <mergeCell ref="A4:A5"/>
    <mergeCell ref="B4:B5"/>
    <mergeCell ref="C4:C5"/>
    <mergeCell ref="D4:D5"/>
    <mergeCell ref="E4:E5"/>
    <mergeCell ref="F4:F5"/>
    <mergeCell ref="G4:G5"/>
    <mergeCell ref="H4:I4"/>
    <mergeCell ref="L13:L14"/>
    <mergeCell ref="J4:J5"/>
    <mergeCell ref="K4:K5"/>
    <mergeCell ref="B15:K15"/>
    <mergeCell ref="A13:A14"/>
    <mergeCell ref="B13:B14"/>
    <mergeCell ref="C13:C14"/>
    <mergeCell ref="D13:D14"/>
    <mergeCell ref="E13:E14"/>
    <mergeCell ref="F13:F14"/>
    <mergeCell ref="G13:G14"/>
    <mergeCell ref="H13:I13"/>
    <mergeCell ref="J13:J14"/>
    <mergeCell ref="K13:K14"/>
    <mergeCell ref="A12:L12"/>
  </mergeCells>
  <pageMargins left="0.7" right="0.7" top="0.75" bottom="0.75" header="0.3" footer="0.3"/>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sqref="A1:N1"/>
    </sheetView>
  </sheetViews>
  <sheetFormatPr defaultColWidth="8.7109375" defaultRowHeight="12.75" x14ac:dyDescent="0.2"/>
  <cols>
    <col min="2" max="2" width="26" style="6" bestFit="1" customWidth="1"/>
    <col min="3" max="3" width="25.140625" style="6" customWidth="1"/>
    <col min="4" max="4" width="10.5703125" style="6" bestFit="1" customWidth="1"/>
    <col min="5" max="5" width="8.42578125" style="6" bestFit="1" customWidth="1"/>
    <col min="6" max="6" width="22.7109375" style="6" bestFit="1" customWidth="1"/>
    <col min="7" max="7" width="32.28515625" style="6" customWidth="1"/>
    <col min="8" max="8" width="5.5703125" style="6" bestFit="1" customWidth="1"/>
    <col min="9" max="9" width="4.5703125" style="6" customWidth="1"/>
    <col min="10" max="10" width="5.140625" style="6" customWidth="1"/>
    <col min="11" max="11" width="4.7109375" style="6" customWidth="1"/>
    <col min="12" max="12" width="12.28515625" style="6" customWidth="1"/>
    <col min="13" max="13" width="8.5703125" style="6" bestFit="1" customWidth="1"/>
    <col min="14" max="14" width="17.5703125" style="6" bestFit="1" customWidth="1"/>
    <col min="258" max="258" width="26" bestFit="1" customWidth="1"/>
    <col min="259" max="259" width="21.42578125" bestFit="1" customWidth="1"/>
    <col min="260" max="260" width="10.5703125" bestFit="1" customWidth="1"/>
    <col min="261" max="261" width="8.42578125" bestFit="1" customWidth="1"/>
    <col min="262" max="262" width="22.7109375" bestFit="1" customWidth="1"/>
    <col min="263" max="263" width="25" bestFit="1" customWidth="1"/>
    <col min="264" max="264" width="5.5703125" bestFit="1" customWidth="1"/>
    <col min="265" max="266" width="2.140625" bestFit="1" customWidth="1"/>
    <col min="267" max="267" width="4.5703125" bestFit="1" customWidth="1"/>
    <col min="268" max="268" width="7.85546875" bestFit="1" customWidth="1"/>
    <col min="269" max="269" width="8.5703125" bestFit="1" customWidth="1"/>
    <col min="270" max="270" width="17.5703125" bestFit="1" customWidth="1"/>
    <col min="514" max="514" width="26" bestFit="1" customWidth="1"/>
    <col min="515" max="515" width="21.42578125" bestFit="1" customWidth="1"/>
    <col min="516" max="516" width="10.5703125" bestFit="1" customWidth="1"/>
    <col min="517" max="517" width="8.42578125" bestFit="1" customWidth="1"/>
    <col min="518" max="518" width="22.7109375" bestFit="1" customWidth="1"/>
    <col min="519" max="519" width="25" bestFit="1" customWidth="1"/>
    <col min="520" max="520" width="5.5703125" bestFit="1" customWidth="1"/>
    <col min="521" max="522" width="2.140625" bestFit="1" customWidth="1"/>
    <col min="523" max="523" width="4.5703125" bestFit="1" customWidth="1"/>
    <col min="524" max="524" width="7.85546875" bestFit="1" customWidth="1"/>
    <col min="525" max="525" width="8.5703125" bestFit="1" customWidth="1"/>
    <col min="526" max="526" width="17.5703125" bestFit="1" customWidth="1"/>
    <col min="770" max="770" width="26" bestFit="1" customWidth="1"/>
    <col min="771" max="771" width="21.42578125" bestFit="1" customWidth="1"/>
    <col min="772" max="772" width="10.5703125" bestFit="1" customWidth="1"/>
    <col min="773" max="773" width="8.42578125" bestFit="1" customWidth="1"/>
    <col min="774" max="774" width="22.7109375" bestFit="1" customWidth="1"/>
    <col min="775" max="775" width="25" bestFit="1" customWidth="1"/>
    <col min="776" max="776" width="5.5703125" bestFit="1" customWidth="1"/>
    <col min="777" max="778" width="2.140625" bestFit="1" customWidth="1"/>
    <col min="779" max="779" width="4.5703125" bestFit="1" customWidth="1"/>
    <col min="780" max="780" width="7.85546875" bestFit="1" customWidth="1"/>
    <col min="781" max="781" width="8.5703125" bestFit="1" customWidth="1"/>
    <col min="782" max="782" width="17.5703125" bestFit="1" customWidth="1"/>
    <col min="1026" max="1026" width="26" bestFit="1" customWidth="1"/>
    <col min="1027" max="1027" width="21.42578125" bestFit="1" customWidth="1"/>
    <col min="1028" max="1028" width="10.5703125" bestFit="1" customWidth="1"/>
    <col min="1029" max="1029" width="8.42578125" bestFit="1" customWidth="1"/>
    <col min="1030" max="1030" width="22.7109375" bestFit="1" customWidth="1"/>
    <col min="1031" max="1031" width="25" bestFit="1" customWidth="1"/>
    <col min="1032" max="1032" width="5.5703125" bestFit="1" customWidth="1"/>
    <col min="1033" max="1034" width="2.140625" bestFit="1" customWidth="1"/>
    <col min="1035" max="1035" width="4.5703125" bestFit="1" customWidth="1"/>
    <col min="1036" max="1036" width="7.85546875" bestFit="1" customWidth="1"/>
    <col min="1037" max="1037" width="8.5703125" bestFit="1" customWidth="1"/>
    <col min="1038" max="1038" width="17.5703125" bestFit="1" customWidth="1"/>
    <col min="1282" max="1282" width="26" bestFit="1" customWidth="1"/>
    <col min="1283" max="1283" width="21.42578125" bestFit="1" customWidth="1"/>
    <col min="1284" max="1284" width="10.5703125" bestFit="1" customWidth="1"/>
    <col min="1285" max="1285" width="8.42578125" bestFit="1" customWidth="1"/>
    <col min="1286" max="1286" width="22.7109375" bestFit="1" customWidth="1"/>
    <col min="1287" max="1287" width="25" bestFit="1" customWidth="1"/>
    <col min="1288" max="1288" width="5.5703125" bestFit="1" customWidth="1"/>
    <col min="1289" max="1290" width="2.140625" bestFit="1" customWidth="1"/>
    <col min="1291" max="1291" width="4.5703125" bestFit="1" customWidth="1"/>
    <col min="1292" max="1292" width="7.85546875" bestFit="1" customWidth="1"/>
    <col min="1293" max="1293" width="8.5703125" bestFit="1" customWidth="1"/>
    <col min="1294" max="1294" width="17.5703125" bestFit="1" customWidth="1"/>
    <col min="1538" max="1538" width="26" bestFit="1" customWidth="1"/>
    <col min="1539" max="1539" width="21.42578125" bestFit="1" customWidth="1"/>
    <col min="1540" max="1540" width="10.5703125" bestFit="1" customWidth="1"/>
    <col min="1541" max="1541" width="8.42578125" bestFit="1" customWidth="1"/>
    <col min="1542" max="1542" width="22.7109375" bestFit="1" customWidth="1"/>
    <col min="1543" max="1543" width="25" bestFit="1" customWidth="1"/>
    <col min="1544" max="1544" width="5.5703125" bestFit="1" customWidth="1"/>
    <col min="1545" max="1546" width="2.140625" bestFit="1" customWidth="1"/>
    <col min="1547" max="1547" width="4.5703125" bestFit="1" customWidth="1"/>
    <col min="1548" max="1548" width="7.85546875" bestFit="1" customWidth="1"/>
    <col min="1549" max="1549" width="8.5703125" bestFit="1" customWidth="1"/>
    <col min="1550" max="1550" width="17.5703125" bestFit="1" customWidth="1"/>
    <col min="1794" max="1794" width="26" bestFit="1" customWidth="1"/>
    <col min="1795" max="1795" width="21.42578125" bestFit="1" customWidth="1"/>
    <col min="1796" max="1796" width="10.5703125" bestFit="1" customWidth="1"/>
    <col min="1797" max="1797" width="8.42578125" bestFit="1" customWidth="1"/>
    <col min="1798" max="1798" width="22.7109375" bestFit="1" customWidth="1"/>
    <col min="1799" max="1799" width="25" bestFit="1" customWidth="1"/>
    <col min="1800" max="1800" width="5.5703125" bestFit="1" customWidth="1"/>
    <col min="1801" max="1802" width="2.140625" bestFit="1" customWidth="1"/>
    <col min="1803" max="1803" width="4.5703125" bestFit="1" customWidth="1"/>
    <col min="1804" max="1804" width="7.85546875" bestFit="1" customWidth="1"/>
    <col min="1805" max="1805" width="8.5703125" bestFit="1" customWidth="1"/>
    <col min="1806" max="1806" width="17.5703125" bestFit="1" customWidth="1"/>
    <col min="2050" max="2050" width="26" bestFit="1" customWidth="1"/>
    <col min="2051" max="2051" width="21.42578125" bestFit="1" customWidth="1"/>
    <col min="2052" max="2052" width="10.5703125" bestFit="1" customWidth="1"/>
    <col min="2053" max="2053" width="8.42578125" bestFit="1" customWidth="1"/>
    <col min="2054" max="2054" width="22.7109375" bestFit="1" customWidth="1"/>
    <col min="2055" max="2055" width="25" bestFit="1" customWidth="1"/>
    <col min="2056" max="2056" width="5.5703125" bestFit="1" customWidth="1"/>
    <col min="2057" max="2058" width="2.140625" bestFit="1" customWidth="1"/>
    <col min="2059" max="2059" width="4.5703125" bestFit="1" customWidth="1"/>
    <col min="2060" max="2060" width="7.85546875" bestFit="1" customWidth="1"/>
    <col min="2061" max="2061" width="8.5703125" bestFit="1" customWidth="1"/>
    <col min="2062" max="2062" width="17.5703125" bestFit="1" customWidth="1"/>
    <col min="2306" max="2306" width="26" bestFit="1" customWidth="1"/>
    <col min="2307" max="2307" width="21.42578125" bestFit="1" customWidth="1"/>
    <col min="2308" max="2308" width="10.5703125" bestFit="1" customWidth="1"/>
    <col min="2309" max="2309" width="8.42578125" bestFit="1" customWidth="1"/>
    <col min="2310" max="2310" width="22.7109375" bestFit="1" customWidth="1"/>
    <col min="2311" max="2311" width="25" bestFit="1" customWidth="1"/>
    <col min="2312" max="2312" width="5.5703125" bestFit="1" customWidth="1"/>
    <col min="2313" max="2314" width="2.140625" bestFit="1" customWidth="1"/>
    <col min="2315" max="2315" width="4.5703125" bestFit="1" customWidth="1"/>
    <col min="2316" max="2316" width="7.85546875" bestFit="1" customWidth="1"/>
    <col min="2317" max="2317" width="8.5703125" bestFit="1" customWidth="1"/>
    <col min="2318" max="2318" width="17.5703125" bestFit="1" customWidth="1"/>
    <col min="2562" max="2562" width="26" bestFit="1" customWidth="1"/>
    <col min="2563" max="2563" width="21.42578125" bestFit="1" customWidth="1"/>
    <col min="2564" max="2564" width="10.5703125" bestFit="1" customWidth="1"/>
    <col min="2565" max="2565" width="8.42578125" bestFit="1" customWidth="1"/>
    <col min="2566" max="2566" width="22.7109375" bestFit="1" customWidth="1"/>
    <col min="2567" max="2567" width="25" bestFit="1" customWidth="1"/>
    <col min="2568" max="2568" width="5.5703125" bestFit="1" customWidth="1"/>
    <col min="2569" max="2570" width="2.140625" bestFit="1" customWidth="1"/>
    <col min="2571" max="2571" width="4.5703125" bestFit="1" customWidth="1"/>
    <col min="2572" max="2572" width="7.85546875" bestFit="1" customWidth="1"/>
    <col min="2573" max="2573" width="8.5703125" bestFit="1" customWidth="1"/>
    <col min="2574" max="2574" width="17.5703125" bestFit="1" customWidth="1"/>
    <col min="2818" max="2818" width="26" bestFit="1" customWidth="1"/>
    <col min="2819" max="2819" width="21.42578125" bestFit="1" customWidth="1"/>
    <col min="2820" max="2820" width="10.5703125" bestFit="1" customWidth="1"/>
    <col min="2821" max="2821" width="8.42578125" bestFit="1" customWidth="1"/>
    <col min="2822" max="2822" width="22.7109375" bestFit="1" customWidth="1"/>
    <col min="2823" max="2823" width="25" bestFit="1" customWidth="1"/>
    <col min="2824" max="2824" width="5.5703125" bestFit="1" customWidth="1"/>
    <col min="2825" max="2826" width="2.140625" bestFit="1" customWidth="1"/>
    <col min="2827" max="2827" width="4.5703125" bestFit="1" customWidth="1"/>
    <col min="2828" max="2828" width="7.85546875" bestFit="1" customWidth="1"/>
    <col min="2829" max="2829" width="8.5703125" bestFit="1" customWidth="1"/>
    <col min="2830" max="2830" width="17.5703125" bestFit="1" customWidth="1"/>
    <col min="3074" max="3074" width="26" bestFit="1" customWidth="1"/>
    <col min="3075" max="3075" width="21.42578125" bestFit="1" customWidth="1"/>
    <col min="3076" max="3076" width="10.5703125" bestFit="1" customWidth="1"/>
    <col min="3077" max="3077" width="8.42578125" bestFit="1" customWidth="1"/>
    <col min="3078" max="3078" width="22.7109375" bestFit="1" customWidth="1"/>
    <col min="3079" max="3079" width="25" bestFit="1" customWidth="1"/>
    <col min="3080" max="3080" width="5.5703125" bestFit="1" customWidth="1"/>
    <col min="3081" max="3082" width="2.140625" bestFit="1" customWidth="1"/>
    <col min="3083" max="3083" width="4.5703125" bestFit="1" customWidth="1"/>
    <col min="3084" max="3084" width="7.85546875" bestFit="1" customWidth="1"/>
    <col min="3085" max="3085" width="8.5703125" bestFit="1" customWidth="1"/>
    <col min="3086" max="3086" width="17.5703125" bestFit="1" customWidth="1"/>
    <col min="3330" max="3330" width="26" bestFit="1" customWidth="1"/>
    <col min="3331" max="3331" width="21.42578125" bestFit="1" customWidth="1"/>
    <col min="3332" max="3332" width="10.5703125" bestFit="1" customWidth="1"/>
    <col min="3333" max="3333" width="8.42578125" bestFit="1" customWidth="1"/>
    <col min="3334" max="3334" width="22.7109375" bestFit="1" customWidth="1"/>
    <col min="3335" max="3335" width="25" bestFit="1" customWidth="1"/>
    <col min="3336" max="3336" width="5.5703125" bestFit="1" customWidth="1"/>
    <col min="3337" max="3338" width="2.140625" bestFit="1" customWidth="1"/>
    <col min="3339" max="3339" width="4.5703125" bestFit="1" customWidth="1"/>
    <col min="3340" max="3340" width="7.85546875" bestFit="1" customWidth="1"/>
    <col min="3341" max="3341" width="8.5703125" bestFit="1" customWidth="1"/>
    <col min="3342" max="3342" width="17.5703125" bestFit="1" customWidth="1"/>
    <col min="3586" max="3586" width="26" bestFit="1" customWidth="1"/>
    <col min="3587" max="3587" width="21.42578125" bestFit="1" customWidth="1"/>
    <col min="3588" max="3588" width="10.5703125" bestFit="1" customWidth="1"/>
    <col min="3589" max="3589" width="8.42578125" bestFit="1" customWidth="1"/>
    <col min="3590" max="3590" width="22.7109375" bestFit="1" customWidth="1"/>
    <col min="3591" max="3591" width="25" bestFit="1" customWidth="1"/>
    <col min="3592" max="3592" width="5.5703125" bestFit="1" customWidth="1"/>
    <col min="3593" max="3594" width="2.140625" bestFit="1" customWidth="1"/>
    <col min="3595" max="3595" width="4.5703125" bestFit="1" customWidth="1"/>
    <col min="3596" max="3596" width="7.85546875" bestFit="1" customWidth="1"/>
    <col min="3597" max="3597" width="8.5703125" bestFit="1" customWidth="1"/>
    <col min="3598" max="3598" width="17.5703125" bestFit="1" customWidth="1"/>
    <col min="3842" max="3842" width="26" bestFit="1" customWidth="1"/>
    <col min="3843" max="3843" width="21.42578125" bestFit="1" customWidth="1"/>
    <col min="3844" max="3844" width="10.5703125" bestFit="1" customWidth="1"/>
    <col min="3845" max="3845" width="8.42578125" bestFit="1" customWidth="1"/>
    <col min="3846" max="3846" width="22.7109375" bestFit="1" customWidth="1"/>
    <col min="3847" max="3847" width="25" bestFit="1" customWidth="1"/>
    <col min="3848" max="3848" width="5.5703125" bestFit="1" customWidth="1"/>
    <col min="3849" max="3850" width="2.140625" bestFit="1" customWidth="1"/>
    <col min="3851" max="3851" width="4.5703125" bestFit="1" customWidth="1"/>
    <col min="3852" max="3852" width="7.85546875" bestFit="1" customWidth="1"/>
    <col min="3853" max="3853" width="8.5703125" bestFit="1" customWidth="1"/>
    <col min="3854" max="3854" width="17.5703125" bestFit="1" customWidth="1"/>
    <col min="4098" max="4098" width="26" bestFit="1" customWidth="1"/>
    <col min="4099" max="4099" width="21.42578125" bestFit="1" customWidth="1"/>
    <col min="4100" max="4100" width="10.5703125" bestFit="1" customWidth="1"/>
    <col min="4101" max="4101" width="8.42578125" bestFit="1" customWidth="1"/>
    <col min="4102" max="4102" width="22.7109375" bestFit="1" customWidth="1"/>
    <col min="4103" max="4103" width="25" bestFit="1" customWidth="1"/>
    <col min="4104" max="4104" width="5.5703125" bestFit="1" customWidth="1"/>
    <col min="4105" max="4106" width="2.140625" bestFit="1" customWidth="1"/>
    <col min="4107" max="4107" width="4.5703125" bestFit="1" customWidth="1"/>
    <col min="4108" max="4108" width="7.85546875" bestFit="1" customWidth="1"/>
    <col min="4109" max="4109" width="8.5703125" bestFit="1" customWidth="1"/>
    <col min="4110" max="4110" width="17.5703125" bestFit="1" customWidth="1"/>
    <col min="4354" max="4354" width="26" bestFit="1" customWidth="1"/>
    <col min="4355" max="4355" width="21.42578125" bestFit="1" customWidth="1"/>
    <col min="4356" max="4356" width="10.5703125" bestFit="1" customWidth="1"/>
    <col min="4357" max="4357" width="8.42578125" bestFit="1" customWidth="1"/>
    <col min="4358" max="4358" width="22.7109375" bestFit="1" customWidth="1"/>
    <col min="4359" max="4359" width="25" bestFit="1" customWidth="1"/>
    <col min="4360" max="4360" width="5.5703125" bestFit="1" customWidth="1"/>
    <col min="4361" max="4362" width="2.140625" bestFit="1" customWidth="1"/>
    <col min="4363" max="4363" width="4.5703125" bestFit="1" customWidth="1"/>
    <col min="4364" max="4364" width="7.85546875" bestFit="1" customWidth="1"/>
    <col min="4365" max="4365" width="8.5703125" bestFit="1" customWidth="1"/>
    <col min="4366" max="4366" width="17.5703125" bestFit="1" customWidth="1"/>
    <col min="4610" max="4610" width="26" bestFit="1" customWidth="1"/>
    <col min="4611" max="4611" width="21.42578125" bestFit="1" customWidth="1"/>
    <col min="4612" max="4612" width="10.5703125" bestFit="1" customWidth="1"/>
    <col min="4613" max="4613" width="8.42578125" bestFit="1" customWidth="1"/>
    <col min="4614" max="4614" width="22.7109375" bestFit="1" customWidth="1"/>
    <col min="4615" max="4615" width="25" bestFit="1" customWidth="1"/>
    <col min="4616" max="4616" width="5.5703125" bestFit="1" customWidth="1"/>
    <col min="4617" max="4618" width="2.140625" bestFit="1" customWidth="1"/>
    <col min="4619" max="4619" width="4.5703125" bestFit="1" customWidth="1"/>
    <col min="4620" max="4620" width="7.85546875" bestFit="1" customWidth="1"/>
    <col min="4621" max="4621" width="8.5703125" bestFit="1" customWidth="1"/>
    <col min="4622" max="4622" width="17.5703125" bestFit="1" customWidth="1"/>
    <col min="4866" max="4866" width="26" bestFit="1" customWidth="1"/>
    <col min="4867" max="4867" width="21.42578125" bestFit="1" customWidth="1"/>
    <col min="4868" max="4868" width="10.5703125" bestFit="1" customWidth="1"/>
    <col min="4869" max="4869" width="8.42578125" bestFit="1" customWidth="1"/>
    <col min="4870" max="4870" width="22.7109375" bestFit="1" customWidth="1"/>
    <col min="4871" max="4871" width="25" bestFit="1" customWidth="1"/>
    <col min="4872" max="4872" width="5.5703125" bestFit="1" customWidth="1"/>
    <col min="4873" max="4874" width="2.140625" bestFit="1" customWidth="1"/>
    <col min="4875" max="4875" width="4.5703125" bestFit="1" customWidth="1"/>
    <col min="4876" max="4876" width="7.85546875" bestFit="1" customWidth="1"/>
    <col min="4877" max="4877" width="8.5703125" bestFit="1" customWidth="1"/>
    <col min="4878" max="4878" width="17.5703125" bestFit="1" customWidth="1"/>
    <col min="5122" max="5122" width="26" bestFit="1" customWidth="1"/>
    <col min="5123" max="5123" width="21.42578125" bestFit="1" customWidth="1"/>
    <col min="5124" max="5124" width="10.5703125" bestFit="1" customWidth="1"/>
    <col min="5125" max="5125" width="8.42578125" bestFit="1" customWidth="1"/>
    <col min="5126" max="5126" width="22.7109375" bestFit="1" customWidth="1"/>
    <col min="5127" max="5127" width="25" bestFit="1" customWidth="1"/>
    <col min="5128" max="5128" width="5.5703125" bestFit="1" customWidth="1"/>
    <col min="5129" max="5130" width="2.140625" bestFit="1" customWidth="1"/>
    <col min="5131" max="5131" width="4.5703125" bestFit="1" customWidth="1"/>
    <col min="5132" max="5132" width="7.85546875" bestFit="1" customWidth="1"/>
    <col min="5133" max="5133" width="8.5703125" bestFit="1" customWidth="1"/>
    <col min="5134" max="5134" width="17.5703125" bestFit="1" customWidth="1"/>
    <col min="5378" max="5378" width="26" bestFit="1" customWidth="1"/>
    <col min="5379" max="5379" width="21.42578125" bestFit="1" customWidth="1"/>
    <col min="5380" max="5380" width="10.5703125" bestFit="1" customWidth="1"/>
    <col min="5381" max="5381" width="8.42578125" bestFit="1" customWidth="1"/>
    <col min="5382" max="5382" width="22.7109375" bestFit="1" customWidth="1"/>
    <col min="5383" max="5383" width="25" bestFit="1" customWidth="1"/>
    <col min="5384" max="5384" width="5.5703125" bestFit="1" customWidth="1"/>
    <col min="5385" max="5386" width="2.140625" bestFit="1" customWidth="1"/>
    <col min="5387" max="5387" width="4.5703125" bestFit="1" customWidth="1"/>
    <col min="5388" max="5388" width="7.85546875" bestFit="1" customWidth="1"/>
    <col min="5389" max="5389" width="8.5703125" bestFit="1" customWidth="1"/>
    <col min="5390" max="5390" width="17.5703125" bestFit="1" customWidth="1"/>
    <col min="5634" max="5634" width="26" bestFit="1" customWidth="1"/>
    <col min="5635" max="5635" width="21.42578125" bestFit="1" customWidth="1"/>
    <col min="5636" max="5636" width="10.5703125" bestFit="1" customWidth="1"/>
    <col min="5637" max="5637" width="8.42578125" bestFit="1" customWidth="1"/>
    <col min="5638" max="5638" width="22.7109375" bestFit="1" customWidth="1"/>
    <col min="5639" max="5639" width="25" bestFit="1" customWidth="1"/>
    <col min="5640" max="5640" width="5.5703125" bestFit="1" customWidth="1"/>
    <col min="5641" max="5642" width="2.140625" bestFit="1" customWidth="1"/>
    <col min="5643" max="5643" width="4.5703125" bestFit="1" customWidth="1"/>
    <col min="5644" max="5644" width="7.85546875" bestFit="1" customWidth="1"/>
    <col min="5645" max="5645" width="8.5703125" bestFit="1" customWidth="1"/>
    <col min="5646" max="5646" width="17.5703125" bestFit="1" customWidth="1"/>
    <col min="5890" max="5890" width="26" bestFit="1" customWidth="1"/>
    <col min="5891" max="5891" width="21.42578125" bestFit="1" customWidth="1"/>
    <col min="5892" max="5892" width="10.5703125" bestFit="1" customWidth="1"/>
    <col min="5893" max="5893" width="8.42578125" bestFit="1" customWidth="1"/>
    <col min="5894" max="5894" width="22.7109375" bestFit="1" customWidth="1"/>
    <col min="5895" max="5895" width="25" bestFit="1" customWidth="1"/>
    <col min="5896" max="5896" width="5.5703125" bestFit="1" customWidth="1"/>
    <col min="5897" max="5898" width="2.140625" bestFit="1" customWidth="1"/>
    <col min="5899" max="5899" width="4.5703125" bestFit="1" customWidth="1"/>
    <col min="5900" max="5900" width="7.85546875" bestFit="1" customWidth="1"/>
    <col min="5901" max="5901" width="8.5703125" bestFit="1" customWidth="1"/>
    <col min="5902" max="5902" width="17.5703125" bestFit="1" customWidth="1"/>
    <col min="6146" max="6146" width="26" bestFit="1" customWidth="1"/>
    <col min="6147" max="6147" width="21.42578125" bestFit="1" customWidth="1"/>
    <col min="6148" max="6148" width="10.5703125" bestFit="1" customWidth="1"/>
    <col min="6149" max="6149" width="8.42578125" bestFit="1" customWidth="1"/>
    <col min="6150" max="6150" width="22.7109375" bestFit="1" customWidth="1"/>
    <col min="6151" max="6151" width="25" bestFit="1" customWidth="1"/>
    <col min="6152" max="6152" width="5.5703125" bestFit="1" customWidth="1"/>
    <col min="6153" max="6154" width="2.140625" bestFit="1" customWidth="1"/>
    <col min="6155" max="6155" width="4.5703125" bestFit="1" customWidth="1"/>
    <col min="6156" max="6156" width="7.85546875" bestFit="1" customWidth="1"/>
    <col min="6157" max="6157" width="8.5703125" bestFit="1" customWidth="1"/>
    <col min="6158" max="6158" width="17.5703125" bestFit="1" customWidth="1"/>
    <col min="6402" max="6402" width="26" bestFit="1" customWidth="1"/>
    <col min="6403" max="6403" width="21.42578125" bestFit="1" customWidth="1"/>
    <col min="6404" max="6404" width="10.5703125" bestFit="1" customWidth="1"/>
    <col min="6405" max="6405" width="8.42578125" bestFit="1" customWidth="1"/>
    <col min="6406" max="6406" width="22.7109375" bestFit="1" customWidth="1"/>
    <col min="6407" max="6407" width="25" bestFit="1" customWidth="1"/>
    <col min="6408" max="6408" width="5.5703125" bestFit="1" customWidth="1"/>
    <col min="6409" max="6410" width="2.140625" bestFit="1" customWidth="1"/>
    <col min="6411" max="6411" width="4.5703125" bestFit="1" customWidth="1"/>
    <col min="6412" max="6412" width="7.85546875" bestFit="1" customWidth="1"/>
    <col min="6413" max="6413" width="8.5703125" bestFit="1" customWidth="1"/>
    <col min="6414" max="6414" width="17.5703125" bestFit="1" customWidth="1"/>
    <col min="6658" max="6658" width="26" bestFit="1" customWidth="1"/>
    <col min="6659" max="6659" width="21.42578125" bestFit="1" customWidth="1"/>
    <col min="6660" max="6660" width="10.5703125" bestFit="1" customWidth="1"/>
    <col min="6661" max="6661" width="8.42578125" bestFit="1" customWidth="1"/>
    <col min="6662" max="6662" width="22.7109375" bestFit="1" customWidth="1"/>
    <col min="6663" max="6663" width="25" bestFit="1" customWidth="1"/>
    <col min="6664" max="6664" width="5.5703125" bestFit="1" customWidth="1"/>
    <col min="6665" max="6666" width="2.140625" bestFit="1" customWidth="1"/>
    <col min="6667" max="6667" width="4.5703125" bestFit="1" customWidth="1"/>
    <col min="6668" max="6668" width="7.85546875" bestFit="1" customWidth="1"/>
    <col min="6669" max="6669" width="8.5703125" bestFit="1" customWidth="1"/>
    <col min="6670" max="6670" width="17.5703125" bestFit="1" customWidth="1"/>
    <col min="6914" max="6914" width="26" bestFit="1" customWidth="1"/>
    <col min="6915" max="6915" width="21.42578125" bestFit="1" customWidth="1"/>
    <col min="6916" max="6916" width="10.5703125" bestFit="1" customWidth="1"/>
    <col min="6917" max="6917" width="8.42578125" bestFit="1" customWidth="1"/>
    <col min="6918" max="6918" width="22.7109375" bestFit="1" customWidth="1"/>
    <col min="6919" max="6919" width="25" bestFit="1" customWidth="1"/>
    <col min="6920" max="6920" width="5.5703125" bestFit="1" customWidth="1"/>
    <col min="6921" max="6922" width="2.140625" bestFit="1" customWidth="1"/>
    <col min="6923" max="6923" width="4.5703125" bestFit="1" customWidth="1"/>
    <col min="6924" max="6924" width="7.85546875" bestFit="1" customWidth="1"/>
    <col min="6925" max="6925" width="8.5703125" bestFit="1" customWidth="1"/>
    <col min="6926" max="6926" width="17.5703125" bestFit="1" customWidth="1"/>
    <col min="7170" max="7170" width="26" bestFit="1" customWidth="1"/>
    <col min="7171" max="7171" width="21.42578125" bestFit="1" customWidth="1"/>
    <col min="7172" max="7172" width="10.5703125" bestFit="1" customWidth="1"/>
    <col min="7173" max="7173" width="8.42578125" bestFit="1" customWidth="1"/>
    <col min="7174" max="7174" width="22.7109375" bestFit="1" customWidth="1"/>
    <col min="7175" max="7175" width="25" bestFit="1" customWidth="1"/>
    <col min="7176" max="7176" width="5.5703125" bestFit="1" customWidth="1"/>
    <col min="7177" max="7178" width="2.140625" bestFit="1" customWidth="1"/>
    <col min="7179" max="7179" width="4.5703125" bestFit="1" customWidth="1"/>
    <col min="7180" max="7180" width="7.85546875" bestFit="1" customWidth="1"/>
    <col min="7181" max="7181" width="8.5703125" bestFit="1" customWidth="1"/>
    <col min="7182" max="7182" width="17.5703125" bestFit="1" customWidth="1"/>
    <col min="7426" max="7426" width="26" bestFit="1" customWidth="1"/>
    <col min="7427" max="7427" width="21.42578125" bestFit="1" customWidth="1"/>
    <col min="7428" max="7428" width="10.5703125" bestFit="1" customWidth="1"/>
    <col min="7429" max="7429" width="8.42578125" bestFit="1" customWidth="1"/>
    <col min="7430" max="7430" width="22.7109375" bestFit="1" customWidth="1"/>
    <col min="7431" max="7431" width="25" bestFit="1" customWidth="1"/>
    <col min="7432" max="7432" width="5.5703125" bestFit="1" customWidth="1"/>
    <col min="7433" max="7434" width="2.140625" bestFit="1" customWidth="1"/>
    <col min="7435" max="7435" width="4.5703125" bestFit="1" customWidth="1"/>
    <col min="7436" max="7436" width="7.85546875" bestFit="1" customWidth="1"/>
    <col min="7437" max="7437" width="8.5703125" bestFit="1" customWidth="1"/>
    <col min="7438" max="7438" width="17.5703125" bestFit="1" customWidth="1"/>
    <col min="7682" max="7682" width="26" bestFit="1" customWidth="1"/>
    <col min="7683" max="7683" width="21.42578125" bestFit="1" customWidth="1"/>
    <col min="7684" max="7684" width="10.5703125" bestFit="1" customWidth="1"/>
    <col min="7685" max="7685" width="8.42578125" bestFit="1" customWidth="1"/>
    <col min="7686" max="7686" width="22.7109375" bestFit="1" customWidth="1"/>
    <col min="7687" max="7687" width="25" bestFit="1" customWidth="1"/>
    <col min="7688" max="7688" width="5.5703125" bestFit="1" customWidth="1"/>
    <col min="7689" max="7690" width="2.140625" bestFit="1" customWidth="1"/>
    <col min="7691" max="7691" width="4.5703125" bestFit="1" customWidth="1"/>
    <col min="7692" max="7692" width="7.85546875" bestFit="1" customWidth="1"/>
    <col min="7693" max="7693" width="8.5703125" bestFit="1" customWidth="1"/>
    <col min="7694" max="7694" width="17.5703125" bestFit="1" customWidth="1"/>
    <col min="7938" max="7938" width="26" bestFit="1" customWidth="1"/>
    <col min="7939" max="7939" width="21.42578125" bestFit="1" customWidth="1"/>
    <col min="7940" max="7940" width="10.5703125" bestFit="1" customWidth="1"/>
    <col min="7941" max="7941" width="8.42578125" bestFit="1" customWidth="1"/>
    <col min="7942" max="7942" width="22.7109375" bestFit="1" customWidth="1"/>
    <col min="7943" max="7943" width="25" bestFit="1" customWidth="1"/>
    <col min="7944" max="7944" width="5.5703125" bestFit="1" customWidth="1"/>
    <col min="7945" max="7946" width="2.140625" bestFit="1" customWidth="1"/>
    <col min="7947" max="7947" width="4.5703125" bestFit="1" customWidth="1"/>
    <col min="7948" max="7948" width="7.85546875" bestFit="1" customWidth="1"/>
    <col min="7949" max="7949" width="8.5703125" bestFit="1" customWidth="1"/>
    <col min="7950" max="7950" width="17.5703125" bestFit="1" customWidth="1"/>
    <col min="8194" max="8194" width="26" bestFit="1" customWidth="1"/>
    <col min="8195" max="8195" width="21.42578125" bestFit="1" customWidth="1"/>
    <col min="8196" max="8196" width="10.5703125" bestFit="1" customWidth="1"/>
    <col min="8197" max="8197" width="8.42578125" bestFit="1" customWidth="1"/>
    <col min="8198" max="8198" width="22.7109375" bestFit="1" customWidth="1"/>
    <col min="8199" max="8199" width="25" bestFit="1" customWidth="1"/>
    <col min="8200" max="8200" width="5.5703125" bestFit="1" customWidth="1"/>
    <col min="8201" max="8202" width="2.140625" bestFit="1" customWidth="1"/>
    <col min="8203" max="8203" width="4.5703125" bestFit="1" customWidth="1"/>
    <col min="8204" max="8204" width="7.85546875" bestFit="1" customWidth="1"/>
    <col min="8205" max="8205" width="8.5703125" bestFit="1" customWidth="1"/>
    <col min="8206" max="8206" width="17.5703125" bestFit="1" customWidth="1"/>
    <col min="8450" max="8450" width="26" bestFit="1" customWidth="1"/>
    <col min="8451" max="8451" width="21.42578125" bestFit="1" customWidth="1"/>
    <col min="8452" max="8452" width="10.5703125" bestFit="1" customWidth="1"/>
    <col min="8453" max="8453" width="8.42578125" bestFit="1" customWidth="1"/>
    <col min="8454" max="8454" width="22.7109375" bestFit="1" customWidth="1"/>
    <col min="8455" max="8455" width="25" bestFit="1" customWidth="1"/>
    <col min="8456" max="8456" width="5.5703125" bestFit="1" customWidth="1"/>
    <col min="8457" max="8458" width="2.140625" bestFit="1" customWidth="1"/>
    <col min="8459" max="8459" width="4.5703125" bestFit="1" customWidth="1"/>
    <col min="8460" max="8460" width="7.85546875" bestFit="1" customWidth="1"/>
    <col min="8461" max="8461" width="8.5703125" bestFit="1" customWidth="1"/>
    <col min="8462" max="8462" width="17.5703125" bestFit="1" customWidth="1"/>
    <col min="8706" max="8706" width="26" bestFit="1" customWidth="1"/>
    <col min="8707" max="8707" width="21.42578125" bestFit="1" customWidth="1"/>
    <col min="8708" max="8708" width="10.5703125" bestFit="1" customWidth="1"/>
    <col min="8709" max="8709" width="8.42578125" bestFit="1" customWidth="1"/>
    <col min="8710" max="8710" width="22.7109375" bestFit="1" customWidth="1"/>
    <col min="8711" max="8711" width="25" bestFit="1" customWidth="1"/>
    <col min="8712" max="8712" width="5.5703125" bestFit="1" customWidth="1"/>
    <col min="8713" max="8714" width="2.140625" bestFit="1" customWidth="1"/>
    <col min="8715" max="8715" width="4.5703125" bestFit="1" customWidth="1"/>
    <col min="8716" max="8716" width="7.85546875" bestFit="1" customWidth="1"/>
    <col min="8717" max="8717" width="8.5703125" bestFit="1" customWidth="1"/>
    <col min="8718" max="8718" width="17.5703125" bestFit="1" customWidth="1"/>
    <col min="8962" max="8962" width="26" bestFit="1" customWidth="1"/>
    <col min="8963" max="8963" width="21.42578125" bestFit="1" customWidth="1"/>
    <col min="8964" max="8964" width="10.5703125" bestFit="1" customWidth="1"/>
    <col min="8965" max="8965" width="8.42578125" bestFit="1" customWidth="1"/>
    <col min="8966" max="8966" width="22.7109375" bestFit="1" customWidth="1"/>
    <col min="8967" max="8967" width="25" bestFit="1" customWidth="1"/>
    <col min="8968" max="8968" width="5.5703125" bestFit="1" customWidth="1"/>
    <col min="8969" max="8970" width="2.140625" bestFit="1" customWidth="1"/>
    <col min="8971" max="8971" width="4.5703125" bestFit="1" customWidth="1"/>
    <col min="8972" max="8972" width="7.85546875" bestFit="1" customWidth="1"/>
    <col min="8973" max="8973" width="8.5703125" bestFit="1" customWidth="1"/>
    <col min="8974" max="8974" width="17.5703125" bestFit="1" customWidth="1"/>
    <col min="9218" max="9218" width="26" bestFit="1" customWidth="1"/>
    <col min="9219" max="9219" width="21.42578125" bestFit="1" customWidth="1"/>
    <col min="9220" max="9220" width="10.5703125" bestFit="1" customWidth="1"/>
    <col min="9221" max="9221" width="8.42578125" bestFit="1" customWidth="1"/>
    <col min="9222" max="9222" width="22.7109375" bestFit="1" customWidth="1"/>
    <col min="9223" max="9223" width="25" bestFit="1" customWidth="1"/>
    <col min="9224" max="9224" width="5.5703125" bestFit="1" customWidth="1"/>
    <col min="9225" max="9226" width="2.140625" bestFit="1" customWidth="1"/>
    <col min="9227" max="9227" width="4.5703125" bestFit="1" customWidth="1"/>
    <col min="9228" max="9228" width="7.85546875" bestFit="1" customWidth="1"/>
    <col min="9229" max="9229" width="8.5703125" bestFit="1" customWidth="1"/>
    <col min="9230" max="9230" width="17.5703125" bestFit="1" customWidth="1"/>
    <col min="9474" max="9474" width="26" bestFit="1" customWidth="1"/>
    <col min="9475" max="9475" width="21.42578125" bestFit="1" customWidth="1"/>
    <col min="9476" max="9476" width="10.5703125" bestFit="1" customWidth="1"/>
    <col min="9477" max="9477" width="8.42578125" bestFit="1" customWidth="1"/>
    <col min="9478" max="9478" width="22.7109375" bestFit="1" customWidth="1"/>
    <col min="9479" max="9479" width="25" bestFit="1" customWidth="1"/>
    <col min="9480" max="9480" width="5.5703125" bestFit="1" customWidth="1"/>
    <col min="9481" max="9482" width="2.140625" bestFit="1" customWidth="1"/>
    <col min="9483" max="9483" width="4.5703125" bestFit="1" customWidth="1"/>
    <col min="9484" max="9484" width="7.85546875" bestFit="1" customWidth="1"/>
    <col min="9485" max="9485" width="8.5703125" bestFit="1" customWidth="1"/>
    <col min="9486" max="9486" width="17.5703125" bestFit="1" customWidth="1"/>
    <col min="9730" max="9730" width="26" bestFit="1" customWidth="1"/>
    <col min="9731" max="9731" width="21.42578125" bestFit="1" customWidth="1"/>
    <col min="9732" max="9732" width="10.5703125" bestFit="1" customWidth="1"/>
    <col min="9733" max="9733" width="8.42578125" bestFit="1" customWidth="1"/>
    <col min="9734" max="9734" width="22.7109375" bestFit="1" customWidth="1"/>
    <col min="9735" max="9735" width="25" bestFit="1" customWidth="1"/>
    <col min="9736" max="9736" width="5.5703125" bestFit="1" customWidth="1"/>
    <col min="9737" max="9738" width="2.140625" bestFit="1" customWidth="1"/>
    <col min="9739" max="9739" width="4.5703125" bestFit="1" customWidth="1"/>
    <col min="9740" max="9740" width="7.85546875" bestFit="1" customWidth="1"/>
    <col min="9741" max="9741" width="8.5703125" bestFit="1" customWidth="1"/>
    <col min="9742" max="9742" width="17.5703125" bestFit="1" customWidth="1"/>
    <col min="9986" max="9986" width="26" bestFit="1" customWidth="1"/>
    <col min="9987" max="9987" width="21.42578125" bestFit="1" customWidth="1"/>
    <col min="9988" max="9988" width="10.5703125" bestFit="1" customWidth="1"/>
    <col min="9989" max="9989" width="8.42578125" bestFit="1" customWidth="1"/>
    <col min="9990" max="9990" width="22.7109375" bestFit="1" customWidth="1"/>
    <col min="9991" max="9991" width="25" bestFit="1" customWidth="1"/>
    <col min="9992" max="9992" width="5.5703125" bestFit="1" customWidth="1"/>
    <col min="9993" max="9994" width="2.140625" bestFit="1" customWidth="1"/>
    <col min="9995" max="9995" width="4.5703125" bestFit="1" customWidth="1"/>
    <col min="9996" max="9996" width="7.85546875" bestFit="1" customWidth="1"/>
    <col min="9997" max="9997" width="8.5703125" bestFit="1" customWidth="1"/>
    <col min="9998" max="9998" width="17.5703125" bestFit="1" customWidth="1"/>
    <col min="10242" max="10242" width="26" bestFit="1" customWidth="1"/>
    <col min="10243" max="10243" width="21.42578125" bestFit="1" customWidth="1"/>
    <col min="10244" max="10244" width="10.5703125" bestFit="1" customWidth="1"/>
    <col min="10245" max="10245" width="8.42578125" bestFit="1" customWidth="1"/>
    <col min="10246" max="10246" width="22.7109375" bestFit="1" customWidth="1"/>
    <col min="10247" max="10247" width="25" bestFit="1" customWidth="1"/>
    <col min="10248" max="10248" width="5.5703125" bestFit="1" customWidth="1"/>
    <col min="10249" max="10250" width="2.140625" bestFit="1" customWidth="1"/>
    <col min="10251" max="10251" width="4.5703125" bestFit="1" customWidth="1"/>
    <col min="10252" max="10252" width="7.85546875" bestFit="1" customWidth="1"/>
    <col min="10253" max="10253" width="8.5703125" bestFit="1" customWidth="1"/>
    <col min="10254" max="10254" width="17.5703125" bestFit="1" customWidth="1"/>
    <col min="10498" max="10498" width="26" bestFit="1" customWidth="1"/>
    <col min="10499" max="10499" width="21.42578125" bestFit="1" customWidth="1"/>
    <col min="10500" max="10500" width="10.5703125" bestFit="1" customWidth="1"/>
    <col min="10501" max="10501" width="8.42578125" bestFit="1" customWidth="1"/>
    <col min="10502" max="10502" width="22.7109375" bestFit="1" customWidth="1"/>
    <col min="10503" max="10503" width="25" bestFit="1" customWidth="1"/>
    <col min="10504" max="10504" width="5.5703125" bestFit="1" customWidth="1"/>
    <col min="10505" max="10506" width="2.140625" bestFit="1" customWidth="1"/>
    <col min="10507" max="10507" width="4.5703125" bestFit="1" customWidth="1"/>
    <col min="10508" max="10508" width="7.85546875" bestFit="1" customWidth="1"/>
    <col min="10509" max="10509" width="8.5703125" bestFit="1" customWidth="1"/>
    <col min="10510" max="10510" width="17.5703125" bestFit="1" customWidth="1"/>
    <col min="10754" max="10754" width="26" bestFit="1" customWidth="1"/>
    <col min="10755" max="10755" width="21.42578125" bestFit="1" customWidth="1"/>
    <col min="10756" max="10756" width="10.5703125" bestFit="1" customWidth="1"/>
    <col min="10757" max="10757" width="8.42578125" bestFit="1" customWidth="1"/>
    <col min="10758" max="10758" width="22.7109375" bestFit="1" customWidth="1"/>
    <col min="10759" max="10759" width="25" bestFit="1" customWidth="1"/>
    <col min="10760" max="10760" width="5.5703125" bestFit="1" customWidth="1"/>
    <col min="10761" max="10762" width="2.140625" bestFit="1" customWidth="1"/>
    <col min="10763" max="10763" width="4.5703125" bestFit="1" customWidth="1"/>
    <col min="10764" max="10764" width="7.85546875" bestFit="1" customWidth="1"/>
    <col min="10765" max="10765" width="8.5703125" bestFit="1" customWidth="1"/>
    <col min="10766" max="10766" width="17.5703125" bestFit="1" customWidth="1"/>
    <col min="11010" max="11010" width="26" bestFit="1" customWidth="1"/>
    <col min="11011" max="11011" width="21.42578125" bestFit="1" customWidth="1"/>
    <col min="11012" max="11012" width="10.5703125" bestFit="1" customWidth="1"/>
    <col min="11013" max="11013" width="8.42578125" bestFit="1" customWidth="1"/>
    <col min="11014" max="11014" width="22.7109375" bestFit="1" customWidth="1"/>
    <col min="11015" max="11015" width="25" bestFit="1" customWidth="1"/>
    <col min="11016" max="11016" width="5.5703125" bestFit="1" customWidth="1"/>
    <col min="11017" max="11018" width="2.140625" bestFit="1" customWidth="1"/>
    <col min="11019" max="11019" width="4.5703125" bestFit="1" customWidth="1"/>
    <col min="11020" max="11020" width="7.85546875" bestFit="1" customWidth="1"/>
    <col min="11021" max="11021" width="8.5703125" bestFit="1" customWidth="1"/>
    <col min="11022" max="11022" width="17.5703125" bestFit="1" customWidth="1"/>
    <col min="11266" max="11266" width="26" bestFit="1" customWidth="1"/>
    <col min="11267" max="11267" width="21.42578125" bestFit="1" customWidth="1"/>
    <col min="11268" max="11268" width="10.5703125" bestFit="1" customWidth="1"/>
    <col min="11269" max="11269" width="8.42578125" bestFit="1" customWidth="1"/>
    <col min="11270" max="11270" width="22.7109375" bestFit="1" customWidth="1"/>
    <col min="11271" max="11271" width="25" bestFit="1" customWidth="1"/>
    <col min="11272" max="11272" width="5.5703125" bestFit="1" customWidth="1"/>
    <col min="11273" max="11274" width="2.140625" bestFit="1" customWidth="1"/>
    <col min="11275" max="11275" width="4.5703125" bestFit="1" customWidth="1"/>
    <col min="11276" max="11276" width="7.85546875" bestFit="1" customWidth="1"/>
    <col min="11277" max="11277" width="8.5703125" bestFit="1" customWidth="1"/>
    <col min="11278" max="11278" width="17.5703125" bestFit="1" customWidth="1"/>
    <col min="11522" max="11522" width="26" bestFit="1" customWidth="1"/>
    <col min="11523" max="11523" width="21.42578125" bestFit="1" customWidth="1"/>
    <col min="11524" max="11524" width="10.5703125" bestFit="1" customWidth="1"/>
    <col min="11525" max="11525" width="8.42578125" bestFit="1" customWidth="1"/>
    <col min="11526" max="11526" width="22.7109375" bestFit="1" customWidth="1"/>
    <col min="11527" max="11527" width="25" bestFit="1" customWidth="1"/>
    <col min="11528" max="11528" width="5.5703125" bestFit="1" customWidth="1"/>
    <col min="11529" max="11530" width="2.140625" bestFit="1" customWidth="1"/>
    <col min="11531" max="11531" width="4.5703125" bestFit="1" customWidth="1"/>
    <col min="11532" max="11532" width="7.85546875" bestFit="1" customWidth="1"/>
    <col min="11533" max="11533" width="8.5703125" bestFit="1" customWidth="1"/>
    <col min="11534" max="11534" width="17.5703125" bestFit="1" customWidth="1"/>
    <col min="11778" max="11778" width="26" bestFit="1" customWidth="1"/>
    <col min="11779" max="11779" width="21.42578125" bestFit="1" customWidth="1"/>
    <col min="11780" max="11780" width="10.5703125" bestFit="1" customWidth="1"/>
    <col min="11781" max="11781" width="8.42578125" bestFit="1" customWidth="1"/>
    <col min="11782" max="11782" width="22.7109375" bestFit="1" customWidth="1"/>
    <col min="11783" max="11783" width="25" bestFit="1" customWidth="1"/>
    <col min="11784" max="11784" width="5.5703125" bestFit="1" customWidth="1"/>
    <col min="11785" max="11786" width="2.140625" bestFit="1" customWidth="1"/>
    <col min="11787" max="11787" width="4.5703125" bestFit="1" customWidth="1"/>
    <col min="11788" max="11788" width="7.85546875" bestFit="1" customWidth="1"/>
    <col min="11789" max="11789" width="8.5703125" bestFit="1" customWidth="1"/>
    <col min="11790" max="11790" width="17.5703125" bestFit="1" customWidth="1"/>
    <col min="12034" max="12034" width="26" bestFit="1" customWidth="1"/>
    <col min="12035" max="12035" width="21.42578125" bestFit="1" customWidth="1"/>
    <col min="12036" max="12036" width="10.5703125" bestFit="1" customWidth="1"/>
    <col min="12037" max="12037" width="8.42578125" bestFit="1" customWidth="1"/>
    <col min="12038" max="12038" width="22.7109375" bestFit="1" customWidth="1"/>
    <col min="12039" max="12039" width="25" bestFit="1" customWidth="1"/>
    <col min="12040" max="12040" width="5.5703125" bestFit="1" customWidth="1"/>
    <col min="12041" max="12042" width="2.140625" bestFit="1" customWidth="1"/>
    <col min="12043" max="12043" width="4.5703125" bestFit="1" customWidth="1"/>
    <col min="12044" max="12044" width="7.85546875" bestFit="1" customWidth="1"/>
    <col min="12045" max="12045" width="8.5703125" bestFit="1" customWidth="1"/>
    <col min="12046" max="12046" width="17.5703125" bestFit="1" customWidth="1"/>
    <col min="12290" max="12290" width="26" bestFit="1" customWidth="1"/>
    <col min="12291" max="12291" width="21.42578125" bestFit="1" customWidth="1"/>
    <col min="12292" max="12292" width="10.5703125" bestFit="1" customWidth="1"/>
    <col min="12293" max="12293" width="8.42578125" bestFit="1" customWidth="1"/>
    <col min="12294" max="12294" width="22.7109375" bestFit="1" customWidth="1"/>
    <col min="12295" max="12295" width="25" bestFit="1" customWidth="1"/>
    <col min="12296" max="12296" width="5.5703125" bestFit="1" customWidth="1"/>
    <col min="12297" max="12298" width="2.140625" bestFit="1" customWidth="1"/>
    <col min="12299" max="12299" width="4.5703125" bestFit="1" customWidth="1"/>
    <col min="12300" max="12300" width="7.85546875" bestFit="1" customWidth="1"/>
    <col min="12301" max="12301" width="8.5703125" bestFit="1" customWidth="1"/>
    <col min="12302" max="12302" width="17.5703125" bestFit="1" customWidth="1"/>
    <col min="12546" max="12546" width="26" bestFit="1" customWidth="1"/>
    <col min="12547" max="12547" width="21.42578125" bestFit="1" customWidth="1"/>
    <col min="12548" max="12548" width="10.5703125" bestFit="1" customWidth="1"/>
    <col min="12549" max="12549" width="8.42578125" bestFit="1" customWidth="1"/>
    <col min="12550" max="12550" width="22.7109375" bestFit="1" customWidth="1"/>
    <col min="12551" max="12551" width="25" bestFit="1" customWidth="1"/>
    <col min="12552" max="12552" width="5.5703125" bestFit="1" customWidth="1"/>
    <col min="12553" max="12554" width="2.140625" bestFit="1" customWidth="1"/>
    <col min="12555" max="12555" width="4.5703125" bestFit="1" customWidth="1"/>
    <col min="12556" max="12556" width="7.85546875" bestFit="1" customWidth="1"/>
    <col min="12557" max="12557" width="8.5703125" bestFit="1" customWidth="1"/>
    <col min="12558" max="12558" width="17.5703125" bestFit="1" customWidth="1"/>
    <col min="12802" max="12802" width="26" bestFit="1" customWidth="1"/>
    <col min="12803" max="12803" width="21.42578125" bestFit="1" customWidth="1"/>
    <col min="12804" max="12804" width="10.5703125" bestFit="1" customWidth="1"/>
    <col min="12805" max="12805" width="8.42578125" bestFit="1" customWidth="1"/>
    <col min="12806" max="12806" width="22.7109375" bestFit="1" customWidth="1"/>
    <col min="12807" max="12807" width="25" bestFit="1" customWidth="1"/>
    <col min="12808" max="12808" width="5.5703125" bestFit="1" customWidth="1"/>
    <col min="12809" max="12810" width="2.140625" bestFit="1" customWidth="1"/>
    <col min="12811" max="12811" width="4.5703125" bestFit="1" customWidth="1"/>
    <col min="12812" max="12812" width="7.85546875" bestFit="1" customWidth="1"/>
    <col min="12813" max="12813" width="8.5703125" bestFit="1" customWidth="1"/>
    <col min="12814" max="12814" width="17.5703125" bestFit="1" customWidth="1"/>
    <col min="13058" max="13058" width="26" bestFit="1" customWidth="1"/>
    <col min="13059" max="13059" width="21.42578125" bestFit="1" customWidth="1"/>
    <col min="13060" max="13060" width="10.5703125" bestFit="1" customWidth="1"/>
    <col min="13061" max="13061" width="8.42578125" bestFit="1" customWidth="1"/>
    <col min="13062" max="13062" width="22.7109375" bestFit="1" customWidth="1"/>
    <col min="13063" max="13063" width="25" bestFit="1" customWidth="1"/>
    <col min="13064" max="13064" width="5.5703125" bestFit="1" customWidth="1"/>
    <col min="13065" max="13066" width="2.140625" bestFit="1" customWidth="1"/>
    <col min="13067" max="13067" width="4.5703125" bestFit="1" customWidth="1"/>
    <col min="13068" max="13068" width="7.85546875" bestFit="1" customWidth="1"/>
    <col min="13069" max="13069" width="8.5703125" bestFit="1" customWidth="1"/>
    <col min="13070" max="13070" width="17.5703125" bestFit="1" customWidth="1"/>
    <col min="13314" max="13314" width="26" bestFit="1" customWidth="1"/>
    <col min="13315" max="13315" width="21.42578125" bestFit="1" customWidth="1"/>
    <col min="13316" max="13316" width="10.5703125" bestFit="1" customWidth="1"/>
    <col min="13317" max="13317" width="8.42578125" bestFit="1" customWidth="1"/>
    <col min="13318" max="13318" width="22.7109375" bestFit="1" customWidth="1"/>
    <col min="13319" max="13319" width="25" bestFit="1" customWidth="1"/>
    <col min="13320" max="13320" width="5.5703125" bestFit="1" customWidth="1"/>
    <col min="13321" max="13322" width="2.140625" bestFit="1" customWidth="1"/>
    <col min="13323" max="13323" width="4.5703125" bestFit="1" customWidth="1"/>
    <col min="13324" max="13324" width="7.85546875" bestFit="1" customWidth="1"/>
    <col min="13325" max="13325" width="8.5703125" bestFit="1" customWidth="1"/>
    <col min="13326" max="13326" width="17.5703125" bestFit="1" customWidth="1"/>
    <col min="13570" max="13570" width="26" bestFit="1" customWidth="1"/>
    <col min="13571" max="13571" width="21.42578125" bestFit="1" customWidth="1"/>
    <col min="13572" max="13572" width="10.5703125" bestFit="1" customWidth="1"/>
    <col min="13573" max="13573" width="8.42578125" bestFit="1" customWidth="1"/>
    <col min="13574" max="13574" width="22.7109375" bestFit="1" customWidth="1"/>
    <col min="13575" max="13575" width="25" bestFit="1" customWidth="1"/>
    <col min="13576" max="13576" width="5.5703125" bestFit="1" customWidth="1"/>
    <col min="13577" max="13578" width="2.140625" bestFit="1" customWidth="1"/>
    <col min="13579" max="13579" width="4.5703125" bestFit="1" customWidth="1"/>
    <col min="13580" max="13580" width="7.85546875" bestFit="1" customWidth="1"/>
    <col min="13581" max="13581" width="8.5703125" bestFit="1" customWidth="1"/>
    <col min="13582" max="13582" width="17.5703125" bestFit="1" customWidth="1"/>
    <col min="13826" max="13826" width="26" bestFit="1" customWidth="1"/>
    <col min="13827" max="13827" width="21.42578125" bestFit="1" customWidth="1"/>
    <col min="13828" max="13828" width="10.5703125" bestFit="1" customWidth="1"/>
    <col min="13829" max="13829" width="8.42578125" bestFit="1" customWidth="1"/>
    <col min="13830" max="13830" width="22.7109375" bestFit="1" customWidth="1"/>
    <col min="13831" max="13831" width="25" bestFit="1" customWidth="1"/>
    <col min="13832" max="13832" width="5.5703125" bestFit="1" customWidth="1"/>
    <col min="13833" max="13834" width="2.140625" bestFit="1" customWidth="1"/>
    <col min="13835" max="13835" width="4.5703125" bestFit="1" customWidth="1"/>
    <col min="13836" max="13836" width="7.85546875" bestFit="1" customWidth="1"/>
    <col min="13837" max="13837" width="8.5703125" bestFit="1" customWidth="1"/>
    <col min="13838" max="13838" width="17.5703125" bestFit="1" customWidth="1"/>
    <col min="14082" max="14082" width="26" bestFit="1" customWidth="1"/>
    <col min="14083" max="14083" width="21.42578125" bestFit="1" customWidth="1"/>
    <col min="14084" max="14084" width="10.5703125" bestFit="1" customWidth="1"/>
    <col min="14085" max="14085" width="8.42578125" bestFit="1" customWidth="1"/>
    <col min="14086" max="14086" width="22.7109375" bestFit="1" customWidth="1"/>
    <col min="14087" max="14087" width="25" bestFit="1" customWidth="1"/>
    <col min="14088" max="14088" width="5.5703125" bestFit="1" customWidth="1"/>
    <col min="14089" max="14090" width="2.140625" bestFit="1" customWidth="1"/>
    <col min="14091" max="14091" width="4.5703125" bestFit="1" customWidth="1"/>
    <col min="14092" max="14092" width="7.85546875" bestFit="1" customWidth="1"/>
    <col min="14093" max="14093" width="8.5703125" bestFit="1" customWidth="1"/>
    <col min="14094" max="14094" width="17.5703125" bestFit="1" customWidth="1"/>
    <col min="14338" max="14338" width="26" bestFit="1" customWidth="1"/>
    <col min="14339" max="14339" width="21.42578125" bestFit="1" customWidth="1"/>
    <col min="14340" max="14340" width="10.5703125" bestFit="1" customWidth="1"/>
    <col min="14341" max="14341" width="8.42578125" bestFit="1" customWidth="1"/>
    <col min="14342" max="14342" width="22.7109375" bestFit="1" customWidth="1"/>
    <col min="14343" max="14343" width="25" bestFit="1" customWidth="1"/>
    <col min="14344" max="14344" width="5.5703125" bestFit="1" customWidth="1"/>
    <col min="14345" max="14346" width="2.140625" bestFit="1" customWidth="1"/>
    <col min="14347" max="14347" width="4.5703125" bestFit="1" customWidth="1"/>
    <col min="14348" max="14348" width="7.85546875" bestFit="1" customWidth="1"/>
    <col min="14349" max="14349" width="8.5703125" bestFit="1" customWidth="1"/>
    <col min="14350" max="14350" width="17.5703125" bestFit="1" customWidth="1"/>
    <col min="14594" max="14594" width="26" bestFit="1" customWidth="1"/>
    <col min="14595" max="14595" width="21.42578125" bestFit="1" customWidth="1"/>
    <col min="14596" max="14596" width="10.5703125" bestFit="1" customWidth="1"/>
    <col min="14597" max="14597" width="8.42578125" bestFit="1" customWidth="1"/>
    <col min="14598" max="14598" width="22.7109375" bestFit="1" customWidth="1"/>
    <col min="14599" max="14599" width="25" bestFit="1" customWidth="1"/>
    <col min="14600" max="14600" width="5.5703125" bestFit="1" customWidth="1"/>
    <col min="14601" max="14602" width="2.140625" bestFit="1" customWidth="1"/>
    <col min="14603" max="14603" width="4.5703125" bestFit="1" customWidth="1"/>
    <col min="14604" max="14604" width="7.85546875" bestFit="1" customWidth="1"/>
    <col min="14605" max="14605" width="8.5703125" bestFit="1" customWidth="1"/>
    <col min="14606" max="14606" width="17.5703125" bestFit="1" customWidth="1"/>
    <col min="14850" max="14850" width="26" bestFit="1" customWidth="1"/>
    <col min="14851" max="14851" width="21.42578125" bestFit="1" customWidth="1"/>
    <col min="14852" max="14852" width="10.5703125" bestFit="1" customWidth="1"/>
    <col min="14853" max="14853" width="8.42578125" bestFit="1" customWidth="1"/>
    <col min="14854" max="14854" width="22.7109375" bestFit="1" customWidth="1"/>
    <col min="14855" max="14855" width="25" bestFit="1" customWidth="1"/>
    <col min="14856" max="14856" width="5.5703125" bestFit="1" customWidth="1"/>
    <col min="14857" max="14858" width="2.140625" bestFit="1" customWidth="1"/>
    <col min="14859" max="14859" width="4.5703125" bestFit="1" customWidth="1"/>
    <col min="14860" max="14860" width="7.85546875" bestFit="1" customWidth="1"/>
    <col min="14861" max="14861" width="8.5703125" bestFit="1" customWidth="1"/>
    <col min="14862" max="14862" width="17.5703125" bestFit="1" customWidth="1"/>
    <col min="15106" max="15106" width="26" bestFit="1" customWidth="1"/>
    <col min="15107" max="15107" width="21.42578125" bestFit="1" customWidth="1"/>
    <col min="15108" max="15108" width="10.5703125" bestFit="1" customWidth="1"/>
    <col min="15109" max="15109" width="8.42578125" bestFit="1" customWidth="1"/>
    <col min="15110" max="15110" width="22.7109375" bestFit="1" customWidth="1"/>
    <col min="15111" max="15111" width="25" bestFit="1" customWidth="1"/>
    <col min="15112" max="15112" width="5.5703125" bestFit="1" customWidth="1"/>
    <col min="15113" max="15114" width="2.140625" bestFit="1" customWidth="1"/>
    <col min="15115" max="15115" width="4.5703125" bestFit="1" customWidth="1"/>
    <col min="15116" max="15116" width="7.85546875" bestFit="1" customWidth="1"/>
    <col min="15117" max="15117" width="8.5703125" bestFit="1" customWidth="1"/>
    <col min="15118" max="15118" width="17.5703125" bestFit="1" customWidth="1"/>
    <col min="15362" max="15362" width="26" bestFit="1" customWidth="1"/>
    <col min="15363" max="15363" width="21.42578125" bestFit="1" customWidth="1"/>
    <col min="15364" max="15364" width="10.5703125" bestFit="1" customWidth="1"/>
    <col min="15365" max="15365" width="8.42578125" bestFit="1" customWidth="1"/>
    <col min="15366" max="15366" width="22.7109375" bestFit="1" customWidth="1"/>
    <col min="15367" max="15367" width="25" bestFit="1" customWidth="1"/>
    <col min="15368" max="15368" width="5.5703125" bestFit="1" customWidth="1"/>
    <col min="15369" max="15370" width="2.140625" bestFit="1" customWidth="1"/>
    <col min="15371" max="15371" width="4.5703125" bestFit="1" customWidth="1"/>
    <col min="15372" max="15372" width="7.85546875" bestFit="1" customWidth="1"/>
    <col min="15373" max="15373" width="8.5703125" bestFit="1" customWidth="1"/>
    <col min="15374" max="15374" width="17.5703125" bestFit="1" customWidth="1"/>
    <col min="15618" max="15618" width="26" bestFit="1" customWidth="1"/>
    <col min="15619" max="15619" width="21.42578125" bestFit="1" customWidth="1"/>
    <col min="15620" max="15620" width="10.5703125" bestFit="1" customWidth="1"/>
    <col min="15621" max="15621" width="8.42578125" bestFit="1" customWidth="1"/>
    <col min="15622" max="15622" width="22.7109375" bestFit="1" customWidth="1"/>
    <col min="15623" max="15623" width="25" bestFit="1" customWidth="1"/>
    <col min="15624" max="15624" width="5.5703125" bestFit="1" customWidth="1"/>
    <col min="15625" max="15626" width="2.140625" bestFit="1" customWidth="1"/>
    <col min="15627" max="15627" width="4.5703125" bestFit="1" customWidth="1"/>
    <col min="15628" max="15628" width="7.85546875" bestFit="1" customWidth="1"/>
    <col min="15629" max="15629" width="8.5703125" bestFit="1" customWidth="1"/>
    <col min="15630" max="15630" width="17.5703125" bestFit="1" customWidth="1"/>
    <col min="15874" max="15874" width="26" bestFit="1" customWidth="1"/>
    <col min="15875" max="15875" width="21.42578125" bestFit="1" customWidth="1"/>
    <col min="15876" max="15876" width="10.5703125" bestFit="1" customWidth="1"/>
    <col min="15877" max="15877" width="8.42578125" bestFit="1" customWidth="1"/>
    <col min="15878" max="15878" width="22.7109375" bestFit="1" customWidth="1"/>
    <col min="15879" max="15879" width="25" bestFit="1" customWidth="1"/>
    <col min="15880" max="15880" width="5.5703125" bestFit="1" customWidth="1"/>
    <col min="15881" max="15882" width="2.140625" bestFit="1" customWidth="1"/>
    <col min="15883" max="15883" width="4.5703125" bestFit="1" customWidth="1"/>
    <col min="15884" max="15884" width="7.85546875" bestFit="1" customWidth="1"/>
    <col min="15885" max="15885" width="8.5703125" bestFit="1" customWidth="1"/>
    <col min="15886" max="15886" width="17.5703125" bestFit="1" customWidth="1"/>
    <col min="16130" max="16130" width="26" bestFit="1" customWidth="1"/>
    <col min="16131" max="16131" width="21.42578125" bestFit="1" customWidth="1"/>
    <col min="16132" max="16132" width="10.5703125" bestFit="1" customWidth="1"/>
    <col min="16133" max="16133" width="8.42578125" bestFit="1" customWidth="1"/>
    <col min="16134" max="16134" width="22.7109375" bestFit="1" customWidth="1"/>
    <col min="16135" max="16135" width="25" bestFit="1" customWidth="1"/>
    <col min="16136" max="16136" width="5.5703125" bestFit="1" customWidth="1"/>
    <col min="16137" max="16138" width="2.140625" bestFit="1" customWidth="1"/>
    <col min="16139" max="16139" width="4.5703125" bestFit="1" customWidth="1"/>
    <col min="16140" max="16140" width="7.85546875" bestFit="1" customWidth="1"/>
    <col min="16141" max="16141" width="8.5703125" bestFit="1" customWidth="1"/>
    <col min="16142" max="16142" width="17.5703125" bestFit="1" customWidth="1"/>
  </cols>
  <sheetData>
    <row r="1" spans="1:14" ht="30" x14ac:dyDescent="0.4">
      <c r="A1" s="348" t="s">
        <v>4054</v>
      </c>
      <c r="B1" s="349"/>
      <c r="C1" s="349"/>
      <c r="D1" s="349"/>
      <c r="E1" s="349"/>
      <c r="F1" s="349"/>
      <c r="G1" s="349"/>
      <c r="H1" s="349"/>
      <c r="I1" s="349"/>
      <c r="J1" s="349"/>
      <c r="K1" s="349"/>
      <c r="L1" s="349"/>
      <c r="M1" s="349"/>
      <c r="N1" s="350"/>
    </row>
    <row r="2" spans="1:14" ht="30" x14ac:dyDescent="0.4">
      <c r="A2" s="351" t="s">
        <v>4071</v>
      </c>
      <c r="B2" s="352"/>
      <c r="C2" s="352"/>
      <c r="D2" s="352"/>
      <c r="E2" s="352"/>
      <c r="F2" s="352"/>
      <c r="G2" s="352"/>
      <c r="H2" s="352"/>
      <c r="I2" s="352"/>
      <c r="J2" s="352"/>
      <c r="K2" s="352"/>
      <c r="L2" s="352"/>
      <c r="M2" s="352"/>
      <c r="N2" s="353"/>
    </row>
    <row r="3" spans="1:14" ht="30.75" thickBot="1" x14ac:dyDescent="0.45">
      <c r="A3" s="354" t="s">
        <v>4056</v>
      </c>
      <c r="B3" s="355"/>
      <c r="C3" s="355"/>
      <c r="D3" s="355"/>
      <c r="E3" s="355"/>
      <c r="F3" s="355"/>
      <c r="G3" s="355"/>
      <c r="H3" s="355"/>
      <c r="I3" s="355"/>
      <c r="J3" s="355"/>
      <c r="K3" s="355"/>
      <c r="L3" s="355"/>
      <c r="M3" s="355"/>
      <c r="N3" s="356"/>
    </row>
    <row r="4" spans="1:14" s="5" customFormat="1" ht="15" customHeight="1" x14ac:dyDescent="0.2">
      <c r="A4" s="300" t="s">
        <v>2842</v>
      </c>
      <c r="B4" s="312" t="s">
        <v>2820</v>
      </c>
      <c r="C4" s="357" t="s">
        <v>2843</v>
      </c>
      <c r="D4" s="357" t="s">
        <v>2844</v>
      </c>
      <c r="E4" s="304" t="s">
        <v>2821</v>
      </c>
      <c r="F4" s="304" t="s">
        <v>2822</v>
      </c>
      <c r="G4" s="305" t="s">
        <v>2841</v>
      </c>
      <c r="H4" s="304" t="s">
        <v>2823</v>
      </c>
      <c r="I4" s="304"/>
      <c r="J4" s="304"/>
      <c r="K4" s="304"/>
      <c r="L4" s="359" t="s">
        <v>2848</v>
      </c>
      <c r="M4" s="304" t="s">
        <v>2825</v>
      </c>
      <c r="N4" s="307" t="s">
        <v>2826</v>
      </c>
    </row>
    <row r="5" spans="1:14" s="5" customFormat="1" ht="15.75" thickBot="1" x14ac:dyDescent="0.25">
      <c r="A5" s="301"/>
      <c r="B5" s="313"/>
      <c r="C5" s="358"/>
      <c r="D5" s="358"/>
      <c r="E5" s="303"/>
      <c r="F5" s="303"/>
      <c r="G5" s="306"/>
      <c r="H5" s="2">
        <v>1</v>
      </c>
      <c r="I5" s="2">
        <v>2</v>
      </c>
      <c r="J5" s="2">
        <v>3</v>
      </c>
      <c r="K5" s="2" t="s">
        <v>2827</v>
      </c>
      <c r="L5" s="360"/>
      <c r="M5" s="303"/>
      <c r="N5" s="310"/>
    </row>
    <row r="6" spans="1:14" ht="15" x14ac:dyDescent="0.2">
      <c r="B6" s="299" t="s">
        <v>2850</v>
      </c>
      <c r="C6" s="299"/>
      <c r="D6" s="299"/>
      <c r="E6" s="299"/>
      <c r="F6" s="299"/>
      <c r="G6" s="299"/>
      <c r="H6" s="299"/>
      <c r="I6" s="299"/>
      <c r="J6" s="299"/>
      <c r="K6" s="299"/>
      <c r="L6" s="299"/>
      <c r="M6" s="299"/>
    </row>
    <row r="7" spans="1:14" x14ac:dyDescent="0.2">
      <c r="A7" s="43">
        <v>1</v>
      </c>
      <c r="B7" s="7" t="s">
        <v>2972</v>
      </c>
      <c r="C7" s="7" t="s">
        <v>2973</v>
      </c>
      <c r="D7" s="7" t="s">
        <v>154</v>
      </c>
      <c r="E7" s="7" t="str">
        <f>"1,0239"</f>
        <v>1,0239</v>
      </c>
      <c r="F7" s="7" t="s">
        <v>2853</v>
      </c>
      <c r="G7" s="7" t="s">
        <v>2862</v>
      </c>
      <c r="H7" s="34" t="s">
        <v>46</v>
      </c>
      <c r="I7" s="20"/>
      <c r="J7" s="20"/>
      <c r="K7" s="20"/>
      <c r="L7" s="19" t="s">
        <v>46</v>
      </c>
      <c r="M7" s="19" t="str">
        <f>"92,1510"</f>
        <v>92,1510</v>
      </c>
      <c r="N7" s="7" t="s">
        <v>2976</v>
      </c>
    </row>
    <row r="8" spans="1:14" x14ac:dyDescent="0.2">
      <c r="A8" s="43"/>
    </row>
    <row r="9" spans="1:14" ht="15" x14ac:dyDescent="0.2">
      <c r="A9" s="43"/>
      <c r="B9" s="294" t="s">
        <v>2869</v>
      </c>
      <c r="C9" s="294"/>
      <c r="D9" s="294"/>
      <c r="E9" s="294"/>
      <c r="F9" s="294"/>
      <c r="G9" s="294"/>
      <c r="H9" s="294"/>
      <c r="I9" s="294"/>
      <c r="J9" s="294"/>
      <c r="K9" s="294"/>
      <c r="L9" s="294"/>
      <c r="M9" s="294"/>
    </row>
    <row r="10" spans="1:14" x14ac:dyDescent="0.2">
      <c r="A10" s="43">
        <v>1</v>
      </c>
      <c r="B10" s="7" t="s">
        <v>2974</v>
      </c>
      <c r="C10" s="7" t="s">
        <v>2975</v>
      </c>
      <c r="D10" s="7" t="s">
        <v>647</v>
      </c>
      <c r="E10" s="7" t="str">
        <f>"0,6177"</f>
        <v>0,6177</v>
      </c>
      <c r="F10" s="7" t="s">
        <v>2853</v>
      </c>
      <c r="G10" s="7" t="s">
        <v>2862</v>
      </c>
      <c r="H10" s="34" t="s">
        <v>140</v>
      </c>
      <c r="I10" s="20"/>
      <c r="J10" s="20"/>
      <c r="K10" s="20"/>
      <c r="L10" s="19" t="s">
        <v>140</v>
      </c>
      <c r="M10" s="19" t="str">
        <f>"123,5400"</f>
        <v>123,5400</v>
      </c>
      <c r="N10" s="7" t="s">
        <v>2977</v>
      </c>
    </row>
    <row r="12" spans="1:14" ht="13.5" thickBot="1" x14ac:dyDescent="0.25"/>
    <row r="13" spans="1:14" ht="30" x14ac:dyDescent="0.4">
      <c r="A13" s="348" t="s">
        <v>4054</v>
      </c>
      <c r="B13" s="349"/>
      <c r="C13" s="349"/>
      <c r="D13" s="349"/>
      <c r="E13" s="349"/>
      <c r="F13" s="349"/>
      <c r="G13" s="349"/>
      <c r="H13" s="349"/>
      <c r="I13" s="349"/>
      <c r="J13" s="349"/>
      <c r="K13" s="349"/>
      <c r="L13" s="349"/>
      <c r="M13" s="349"/>
      <c r="N13" s="350"/>
    </row>
    <row r="14" spans="1:14" ht="30" x14ac:dyDescent="0.4">
      <c r="A14" s="351" t="s">
        <v>4072</v>
      </c>
      <c r="B14" s="352"/>
      <c r="C14" s="352"/>
      <c r="D14" s="352"/>
      <c r="E14" s="352"/>
      <c r="F14" s="352"/>
      <c r="G14" s="352"/>
      <c r="H14" s="352"/>
      <c r="I14" s="352"/>
      <c r="J14" s="352"/>
      <c r="K14" s="352"/>
      <c r="L14" s="352"/>
      <c r="M14" s="352"/>
      <c r="N14" s="353"/>
    </row>
    <row r="15" spans="1:14" ht="30.75" thickBot="1" x14ac:dyDescent="0.45">
      <c r="A15" s="354" t="s">
        <v>4056</v>
      </c>
      <c r="B15" s="355"/>
      <c r="C15" s="355"/>
      <c r="D15" s="355"/>
      <c r="E15" s="355"/>
      <c r="F15" s="355"/>
      <c r="G15" s="355"/>
      <c r="H15" s="355"/>
      <c r="I15" s="355"/>
      <c r="J15" s="355"/>
      <c r="K15" s="355"/>
      <c r="L15" s="355"/>
      <c r="M15" s="355"/>
      <c r="N15" s="356"/>
    </row>
    <row r="16" spans="1:14" ht="15" x14ac:dyDescent="0.2">
      <c r="A16" s="300" t="s">
        <v>2842</v>
      </c>
      <c r="B16" s="312" t="s">
        <v>2820</v>
      </c>
      <c r="C16" s="357" t="s">
        <v>2843</v>
      </c>
      <c r="D16" s="357" t="s">
        <v>2844</v>
      </c>
      <c r="E16" s="304" t="s">
        <v>2821</v>
      </c>
      <c r="F16" s="304" t="s">
        <v>2822</v>
      </c>
      <c r="G16" s="305" t="s">
        <v>2841</v>
      </c>
      <c r="H16" s="304" t="s">
        <v>2823</v>
      </c>
      <c r="I16" s="304"/>
      <c r="J16" s="304"/>
      <c r="K16" s="304"/>
      <c r="L16" s="359" t="s">
        <v>2848</v>
      </c>
      <c r="M16" s="304" t="s">
        <v>2825</v>
      </c>
      <c r="N16" s="307" t="s">
        <v>2826</v>
      </c>
    </row>
    <row r="17" spans="1:14" ht="15" thickBot="1" x14ac:dyDescent="0.25">
      <c r="A17" s="301"/>
      <c r="B17" s="313"/>
      <c r="C17" s="358"/>
      <c r="D17" s="358"/>
      <c r="E17" s="303"/>
      <c r="F17" s="303"/>
      <c r="G17" s="306"/>
      <c r="H17" s="2">
        <v>1</v>
      </c>
      <c r="I17" s="2">
        <v>2</v>
      </c>
      <c r="J17" s="2">
        <v>3</v>
      </c>
      <c r="K17" s="2" t="s">
        <v>2827</v>
      </c>
      <c r="L17" s="360"/>
      <c r="M17" s="303"/>
      <c r="N17" s="310"/>
    </row>
    <row r="18" spans="1:14" ht="15" x14ac:dyDescent="0.2">
      <c r="B18" s="299" t="s">
        <v>2863</v>
      </c>
      <c r="C18" s="299"/>
      <c r="D18" s="299"/>
      <c r="E18" s="299"/>
      <c r="F18" s="299"/>
      <c r="G18" s="299"/>
      <c r="H18" s="299"/>
      <c r="I18" s="299"/>
      <c r="J18" s="299"/>
      <c r="K18" s="299"/>
      <c r="L18" s="299"/>
      <c r="M18" s="299"/>
    </row>
    <row r="19" spans="1:14" x14ac:dyDescent="0.2">
      <c r="A19" s="43">
        <v>1</v>
      </c>
      <c r="B19" s="7" t="s">
        <v>2978</v>
      </c>
      <c r="C19" s="7" t="s">
        <v>2979</v>
      </c>
      <c r="D19" s="7" t="s">
        <v>1783</v>
      </c>
      <c r="E19" s="7" t="str">
        <f>"0,6800"</f>
        <v>0,6800</v>
      </c>
      <c r="F19" s="7" t="s">
        <v>2831</v>
      </c>
      <c r="G19" s="7" t="s">
        <v>2832</v>
      </c>
      <c r="H19" s="34" t="s">
        <v>140</v>
      </c>
      <c r="I19" s="20"/>
      <c r="J19" s="20"/>
      <c r="K19" s="20"/>
      <c r="L19" s="19" t="s">
        <v>140</v>
      </c>
      <c r="M19" s="19" t="str">
        <f>"136,0000"</f>
        <v>136,0000</v>
      </c>
      <c r="N19" s="7" t="s">
        <v>2980</v>
      </c>
    </row>
  </sheetData>
  <mergeCells count="31">
    <mergeCell ref="A1:N1"/>
    <mergeCell ref="A2:N2"/>
    <mergeCell ref="A3:N3"/>
    <mergeCell ref="A13:N13"/>
    <mergeCell ref="A14:N14"/>
    <mergeCell ref="N4:N5"/>
    <mergeCell ref="B6:M6"/>
    <mergeCell ref="B9:M9"/>
    <mergeCell ref="A4:A5"/>
    <mergeCell ref="B4:B5"/>
    <mergeCell ref="C4:C5"/>
    <mergeCell ref="D4:D5"/>
    <mergeCell ref="E4:E5"/>
    <mergeCell ref="F4:F5"/>
    <mergeCell ref="G4:G5"/>
    <mergeCell ref="N16:N17"/>
    <mergeCell ref="H4:K4"/>
    <mergeCell ref="L4:L5"/>
    <mergeCell ref="M4:M5"/>
    <mergeCell ref="B18:M18"/>
    <mergeCell ref="F16:F17"/>
    <mergeCell ref="G16:G17"/>
    <mergeCell ref="H16:K16"/>
    <mergeCell ref="L16:L17"/>
    <mergeCell ref="M16:M17"/>
    <mergeCell ref="A15:N15"/>
    <mergeCell ref="A16:A17"/>
    <mergeCell ref="B16:B17"/>
    <mergeCell ref="C16:C17"/>
    <mergeCell ref="D16:D17"/>
    <mergeCell ref="E16:E17"/>
  </mergeCells>
  <pageMargins left="0.7" right="0.7" top="0.75" bottom="0.75" header="0.3" footer="0.3"/>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F13" sqref="F13:F14"/>
    </sheetView>
  </sheetViews>
  <sheetFormatPr defaultColWidth="8.7109375" defaultRowHeight="12.75" x14ac:dyDescent="0.2"/>
  <cols>
    <col min="1" max="1" width="8.7109375" style="43"/>
    <col min="2" max="2" width="26" style="6" bestFit="1" customWidth="1"/>
    <col min="3" max="3" width="26.85546875" style="6" bestFit="1" customWidth="1"/>
    <col min="4" max="4" width="10.5703125" style="6" bestFit="1" customWidth="1"/>
    <col min="5" max="5" width="8.42578125" style="6" bestFit="1" customWidth="1"/>
    <col min="6" max="6" width="22.7109375" style="6" bestFit="1" customWidth="1"/>
    <col min="7" max="7" width="28.5703125" style="6" bestFit="1" customWidth="1"/>
    <col min="8" max="8" width="5.28515625" style="27" bestFit="1" customWidth="1"/>
    <col min="9" max="9" width="10" style="27" bestFit="1" customWidth="1"/>
    <col min="10" max="10" width="9.42578125" style="32" bestFit="1" customWidth="1"/>
    <col min="11" max="11" width="9.5703125" style="27" bestFit="1" customWidth="1"/>
    <col min="12" max="12" width="19.140625" style="6" bestFit="1" customWidth="1"/>
    <col min="258" max="258" width="26" bestFit="1" customWidth="1"/>
    <col min="259" max="259" width="26.85546875" bestFit="1" customWidth="1"/>
    <col min="260" max="260" width="10.5703125" bestFit="1" customWidth="1"/>
    <col min="261" max="261" width="8.42578125" bestFit="1" customWidth="1"/>
    <col min="262" max="262" width="22.7109375" bestFit="1" customWidth="1"/>
    <col min="263" max="263" width="28.5703125" bestFit="1" customWidth="1"/>
    <col min="264" max="265" width="4.5703125" bestFit="1" customWidth="1"/>
    <col min="266" max="266" width="7.85546875" bestFit="1" customWidth="1"/>
    <col min="267" max="267" width="9.5703125" bestFit="1" customWidth="1"/>
    <col min="268" max="268" width="19.140625" bestFit="1" customWidth="1"/>
    <col min="514" max="514" width="26" bestFit="1" customWidth="1"/>
    <col min="515" max="515" width="26.85546875" bestFit="1" customWidth="1"/>
    <col min="516" max="516" width="10.5703125" bestFit="1" customWidth="1"/>
    <col min="517" max="517" width="8.42578125" bestFit="1" customWidth="1"/>
    <col min="518" max="518" width="22.7109375" bestFit="1" customWidth="1"/>
    <col min="519" max="519" width="28.5703125" bestFit="1" customWidth="1"/>
    <col min="520" max="521" width="4.5703125" bestFit="1" customWidth="1"/>
    <col min="522" max="522" width="7.85546875" bestFit="1" customWidth="1"/>
    <col min="523" max="523" width="9.5703125" bestFit="1" customWidth="1"/>
    <col min="524" max="524" width="19.140625" bestFit="1" customWidth="1"/>
    <col min="770" max="770" width="26" bestFit="1" customWidth="1"/>
    <col min="771" max="771" width="26.85546875" bestFit="1" customWidth="1"/>
    <col min="772" max="772" width="10.5703125" bestFit="1" customWidth="1"/>
    <col min="773" max="773" width="8.42578125" bestFit="1" customWidth="1"/>
    <col min="774" max="774" width="22.7109375" bestFit="1" customWidth="1"/>
    <col min="775" max="775" width="28.5703125" bestFit="1" customWidth="1"/>
    <col min="776" max="777" width="4.5703125" bestFit="1" customWidth="1"/>
    <col min="778" max="778" width="7.85546875" bestFit="1" customWidth="1"/>
    <col min="779" max="779" width="9.5703125" bestFit="1" customWidth="1"/>
    <col min="780" max="780" width="19.140625" bestFit="1" customWidth="1"/>
    <col min="1026" max="1026" width="26" bestFit="1" customWidth="1"/>
    <col min="1027" max="1027" width="26.85546875" bestFit="1" customWidth="1"/>
    <col min="1028" max="1028" width="10.5703125" bestFit="1" customWidth="1"/>
    <col min="1029" max="1029" width="8.42578125" bestFit="1" customWidth="1"/>
    <col min="1030" max="1030" width="22.7109375" bestFit="1" customWidth="1"/>
    <col min="1031" max="1031" width="28.5703125" bestFit="1" customWidth="1"/>
    <col min="1032" max="1033" width="4.5703125" bestFit="1" customWidth="1"/>
    <col min="1034" max="1034" width="7.85546875" bestFit="1" customWidth="1"/>
    <col min="1035" max="1035" width="9.5703125" bestFit="1" customWidth="1"/>
    <col min="1036" max="1036" width="19.140625" bestFit="1" customWidth="1"/>
    <col min="1282" max="1282" width="26" bestFit="1" customWidth="1"/>
    <col min="1283" max="1283" width="26.85546875" bestFit="1" customWidth="1"/>
    <col min="1284" max="1284" width="10.5703125" bestFit="1" customWidth="1"/>
    <col min="1285" max="1285" width="8.42578125" bestFit="1" customWidth="1"/>
    <col min="1286" max="1286" width="22.7109375" bestFit="1" customWidth="1"/>
    <col min="1287" max="1287" width="28.5703125" bestFit="1" customWidth="1"/>
    <col min="1288" max="1289" width="4.5703125" bestFit="1" customWidth="1"/>
    <col min="1290" max="1290" width="7.85546875" bestFit="1" customWidth="1"/>
    <col min="1291" max="1291" width="9.5703125" bestFit="1" customWidth="1"/>
    <col min="1292" max="1292" width="19.140625" bestFit="1" customWidth="1"/>
    <col min="1538" max="1538" width="26" bestFit="1" customWidth="1"/>
    <col min="1539" max="1539" width="26.85546875" bestFit="1" customWidth="1"/>
    <col min="1540" max="1540" width="10.5703125" bestFit="1" customWidth="1"/>
    <col min="1541" max="1541" width="8.42578125" bestFit="1" customWidth="1"/>
    <col min="1542" max="1542" width="22.7109375" bestFit="1" customWidth="1"/>
    <col min="1543" max="1543" width="28.5703125" bestFit="1" customWidth="1"/>
    <col min="1544" max="1545" width="4.5703125" bestFit="1" customWidth="1"/>
    <col min="1546" max="1546" width="7.85546875" bestFit="1" customWidth="1"/>
    <col min="1547" max="1547" width="9.5703125" bestFit="1" customWidth="1"/>
    <col min="1548" max="1548" width="19.140625" bestFit="1" customWidth="1"/>
    <col min="1794" max="1794" width="26" bestFit="1" customWidth="1"/>
    <col min="1795" max="1795" width="26.85546875" bestFit="1" customWidth="1"/>
    <col min="1796" max="1796" width="10.5703125" bestFit="1" customWidth="1"/>
    <col min="1797" max="1797" width="8.42578125" bestFit="1" customWidth="1"/>
    <col min="1798" max="1798" width="22.7109375" bestFit="1" customWidth="1"/>
    <col min="1799" max="1799" width="28.5703125" bestFit="1" customWidth="1"/>
    <col min="1800" max="1801" width="4.5703125" bestFit="1" customWidth="1"/>
    <col min="1802" max="1802" width="7.85546875" bestFit="1" customWidth="1"/>
    <col min="1803" max="1803" width="9.5703125" bestFit="1" customWidth="1"/>
    <col min="1804" max="1804" width="19.140625" bestFit="1" customWidth="1"/>
    <col min="2050" max="2050" width="26" bestFit="1" customWidth="1"/>
    <col min="2051" max="2051" width="26.85546875" bestFit="1" customWidth="1"/>
    <col min="2052" max="2052" width="10.5703125" bestFit="1" customWidth="1"/>
    <col min="2053" max="2053" width="8.42578125" bestFit="1" customWidth="1"/>
    <col min="2054" max="2054" width="22.7109375" bestFit="1" customWidth="1"/>
    <col min="2055" max="2055" width="28.5703125" bestFit="1" customWidth="1"/>
    <col min="2056" max="2057" width="4.5703125" bestFit="1" customWidth="1"/>
    <col min="2058" max="2058" width="7.85546875" bestFit="1" customWidth="1"/>
    <col min="2059" max="2059" width="9.5703125" bestFit="1" customWidth="1"/>
    <col min="2060" max="2060" width="19.140625" bestFit="1" customWidth="1"/>
    <col min="2306" max="2306" width="26" bestFit="1" customWidth="1"/>
    <col min="2307" max="2307" width="26.85546875" bestFit="1" customWidth="1"/>
    <col min="2308" max="2308" width="10.5703125" bestFit="1" customWidth="1"/>
    <col min="2309" max="2309" width="8.42578125" bestFit="1" customWidth="1"/>
    <col min="2310" max="2310" width="22.7109375" bestFit="1" customWidth="1"/>
    <col min="2311" max="2311" width="28.5703125" bestFit="1" customWidth="1"/>
    <col min="2312" max="2313" width="4.5703125" bestFit="1" customWidth="1"/>
    <col min="2314" max="2314" width="7.85546875" bestFit="1" customWidth="1"/>
    <col min="2315" max="2315" width="9.5703125" bestFit="1" customWidth="1"/>
    <col min="2316" max="2316" width="19.140625" bestFit="1" customWidth="1"/>
    <col min="2562" max="2562" width="26" bestFit="1" customWidth="1"/>
    <col min="2563" max="2563" width="26.85546875" bestFit="1" customWidth="1"/>
    <col min="2564" max="2564" width="10.5703125" bestFit="1" customWidth="1"/>
    <col min="2565" max="2565" width="8.42578125" bestFit="1" customWidth="1"/>
    <col min="2566" max="2566" width="22.7109375" bestFit="1" customWidth="1"/>
    <col min="2567" max="2567" width="28.5703125" bestFit="1" customWidth="1"/>
    <col min="2568" max="2569" width="4.5703125" bestFit="1" customWidth="1"/>
    <col min="2570" max="2570" width="7.85546875" bestFit="1" customWidth="1"/>
    <col min="2571" max="2571" width="9.5703125" bestFit="1" customWidth="1"/>
    <col min="2572" max="2572" width="19.140625" bestFit="1" customWidth="1"/>
    <col min="2818" max="2818" width="26" bestFit="1" customWidth="1"/>
    <col min="2819" max="2819" width="26.85546875" bestFit="1" customWidth="1"/>
    <col min="2820" max="2820" width="10.5703125" bestFit="1" customWidth="1"/>
    <col min="2821" max="2821" width="8.42578125" bestFit="1" customWidth="1"/>
    <col min="2822" max="2822" width="22.7109375" bestFit="1" customWidth="1"/>
    <col min="2823" max="2823" width="28.5703125" bestFit="1" customWidth="1"/>
    <col min="2824" max="2825" width="4.5703125" bestFit="1" customWidth="1"/>
    <col min="2826" max="2826" width="7.85546875" bestFit="1" customWidth="1"/>
    <col min="2827" max="2827" width="9.5703125" bestFit="1" customWidth="1"/>
    <col min="2828" max="2828" width="19.140625" bestFit="1" customWidth="1"/>
    <col min="3074" max="3074" width="26" bestFit="1" customWidth="1"/>
    <col min="3075" max="3075" width="26.85546875" bestFit="1" customWidth="1"/>
    <col min="3076" max="3076" width="10.5703125" bestFit="1" customWidth="1"/>
    <col min="3077" max="3077" width="8.42578125" bestFit="1" customWidth="1"/>
    <col min="3078" max="3078" width="22.7109375" bestFit="1" customWidth="1"/>
    <col min="3079" max="3079" width="28.5703125" bestFit="1" customWidth="1"/>
    <col min="3080" max="3081" width="4.5703125" bestFit="1" customWidth="1"/>
    <col min="3082" max="3082" width="7.85546875" bestFit="1" customWidth="1"/>
    <col min="3083" max="3083" width="9.5703125" bestFit="1" customWidth="1"/>
    <col min="3084" max="3084" width="19.140625" bestFit="1" customWidth="1"/>
    <col min="3330" max="3330" width="26" bestFit="1" customWidth="1"/>
    <col min="3331" max="3331" width="26.85546875" bestFit="1" customWidth="1"/>
    <col min="3332" max="3332" width="10.5703125" bestFit="1" customWidth="1"/>
    <col min="3333" max="3333" width="8.42578125" bestFit="1" customWidth="1"/>
    <col min="3334" max="3334" width="22.7109375" bestFit="1" customWidth="1"/>
    <col min="3335" max="3335" width="28.5703125" bestFit="1" customWidth="1"/>
    <col min="3336" max="3337" width="4.5703125" bestFit="1" customWidth="1"/>
    <col min="3338" max="3338" width="7.85546875" bestFit="1" customWidth="1"/>
    <col min="3339" max="3339" width="9.5703125" bestFit="1" customWidth="1"/>
    <col min="3340" max="3340" width="19.140625" bestFit="1" customWidth="1"/>
    <col min="3586" max="3586" width="26" bestFit="1" customWidth="1"/>
    <col min="3587" max="3587" width="26.85546875" bestFit="1" customWidth="1"/>
    <col min="3588" max="3588" width="10.5703125" bestFit="1" customWidth="1"/>
    <col min="3589" max="3589" width="8.42578125" bestFit="1" customWidth="1"/>
    <col min="3590" max="3590" width="22.7109375" bestFit="1" customWidth="1"/>
    <col min="3591" max="3591" width="28.5703125" bestFit="1" customWidth="1"/>
    <col min="3592" max="3593" width="4.5703125" bestFit="1" customWidth="1"/>
    <col min="3594" max="3594" width="7.85546875" bestFit="1" customWidth="1"/>
    <col min="3595" max="3595" width="9.5703125" bestFit="1" customWidth="1"/>
    <col min="3596" max="3596" width="19.140625" bestFit="1" customWidth="1"/>
    <col min="3842" max="3842" width="26" bestFit="1" customWidth="1"/>
    <col min="3843" max="3843" width="26.85546875" bestFit="1" customWidth="1"/>
    <col min="3844" max="3844" width="10.5703125" bestFit="1" customWidth="1"/>
    <col min="3845" max="3845" width="8.42578125" bestFit="1" customWidth="1"/>
    <col min="3846" max="3846" width="22.7109375" bestFit="1" customWidth="1"/>
    <col min="3847" max="3847" width="28.5703125" bestFit="1" customWidth="1"/>
    <col min="3848" max="3849" width="4.5703125" bestFit="1" customWidth="1"/>
    <col min="3850" max="3850" width="7.85546875" bestFit="1" customWidth="1"/>
    <col min="3851" max="3851" width="9.5703125" bestFit="1" customWidth="1"/>
    <col min="3852" max="3852" width="19.140625" bestFit="1" customWidth="1"/>
    <col min="4098" max="4098" width="26" bestFit="1" customWidth="1"/>
    <col min="4099" max="4099" width="26.85546875" bestFit="1" customWidth="1"/>
    <col min="4100" max="4100" width="10.5703125" bestFit="1" customWidth="1"/>
    <col min="4101" max="4101" width="8.42578125" bestFit="1" customWidth="1"/>
    <col min="4102" max="4102" width="22.7109375" bestFit="1" customWidth="1"/>
    <col min="4103" max="4103" width="28.5703125" bestFit="1" customWidth="1"/>
    <col min="4104" max="4105" width="4.5703125" bestFit="1" customWidth="1"/>
    <col min="4106" max="4106" width="7.85546875" bestFit="1" customWidth="1"/>
    <col min="4107" max="4107" width="9.5703125" bestFit="1" customWidth="1"/>
    <col min="4108" max="4108" width="19.140625" bestFit="1" customWidth="1"/>
    <col min="4354" max="4354" width="26" bestFit="1" customWidth="1"/>
    <col min="4355" max="4355" width="26.85546875" bestFit="1" customWidth="1"/>
    <col min="4356" max="4356" width="10.5703125" bestFit="1" customWidth="1"/>
    <col min="4357" max="4357" width="8.42578125" bestFit="1" customWidth="1"/>
    <col min="4358" max="4358" width="22.7109375" bestFit="1" customWidth="1"/>
    <col min="4359" max="4359" width="28.5703125" bestFit="1" customWidth="1"/>
    <col min="4360" max="4361" width="4.5703125" bestFit="1" customWidth="1"/>
    <col min="4362" max="4362" width="7.85546875" bestFit="1" customWidth="1"/>
    <col min="4363" max="4363" width="9.5703125" bestFit="1" customWidth="1"/>
    <col min="4364" max="4364" width="19.140625" bestFit="1" customWidth="1"/>
    <col min="4610" max="4610" width="26" bestFit="1" customWidth="1"/>
    <col min="4611" max="4611" width="26.85546875" bestFit="1" customWidth="1"/>
    <col min="4612" max="4612" width="10.5703125" bestFit="1" customWidth="1"/>
    <col min="4613" max="4613" width="8.42578125" bestFit="1" customWidth="1"/>
    <col min="4614" max="4614" width="22.7109375" bestFit="1" customWidth="1"/>
    <col min="4615" max="4615" width="28.5703125" bestFit="1" customWidth="1"/>
    <col min="4616" max="4617" width="4.5703125" bestFit="1" customWidth="1"/>
    <col min="4618" max="4618" width="7.85546875" bestFit="1" customWidth="1"/>
    <col min="4619" max="4619" width="9.5703125" bestFit="1" customWidth="1"/>
    <col min="4620" max="4620" width="19.140625" bestFit="1" customWidth="1"/>
    <col min="4866" max="4866" width="26" bestFit="1" customWidth="1"/>
    <col min="4867" max="4867" width="26.85546875" bestFit="1" customWidth="1"/>
    <col min="4868" max="4868" width="10.5703125" bestFit="1" customWidth="1"/>
    <col min="4869" max="4869" width="8.42578125" bestFit="1" customWidth="1"/>
    <col min="4870" max="4870" width="22.7109375" bestFit="1" customWidth="1"/>
    <col min="4871" max="4871" width="28.5703125" bestFit="1" customWidth="1"/>
    <col min="4872" max="4873" width="4.5703125" bestFit="1" customWidth="1"/>
    <col min="4874" max="4874" width="7.85546875" bestFit="1" customWidth="1"/>
    <col min="4875" max="4875" width="9.5703125" bestFit="1" customWidth="1"/>
    <col min="4876" max="4876" width="19.140625" bestFit="1" customWidth="1"/>
    <col min="5122" max="5122" width="26" bestFit="1" customWidth="1"/>
    <col min="5123" max="5123" width="26.85546875" bestFit="1" customWidth="1"/>
    <col min="5124" max="5124" width="10.5703125" bestFit="1" customWidth="1"/>
    <col min="5125" max="5125" width="8.42578125" bestFit="1" customWidth="1"/>
    <col min="5126" max="5126" width="22.7109375" bestFit="1" customWidth="1"/>
    <col min="5127" max="5127" width="28.5703125" bestFit="1" customWidth="1"/>
    <col min="5128" max="5129" width="4.5703125" bestFit="1" customWidth="1"/>
    <col min="5130" max="5130" width="7.85546875" bestFit="1" customWidth="1"/>
    <col min="5131" max="5131" width="9.5703125" bestFit="1" customWidth="1"/>
    <col min="5132" max="5132" width="19.140625" bestFit="1" customWidth="1"/>
    <col min="5378" max="5378" width="26" bestFit="1" customWidth="1"/>
    <col min="5379" max="5379" width="26.85546875" bestFit="1" customWidth="1"/>
    <col min="5380" max="5380" width="10.5703125" bestFit="1" customWidth="1"/>
    <col min="5381" max="5381" width="8.42578125" bestFit="1" customWidth="1"/>
    <col min="5382" max="5382" width="22.7109375" bestFit="1" customWidth="1"/>
    <col min="5383" max="5383" width="28.5703125" bestFit="1" customWidth="1"/>
    <col min="5384" max="5385" width="4.5703125" bestFit="1" customWidth="1"/>
    <col min="5386" max="5386" width="7.85546875" bestFit="1" customWidth="1"/>
    <col min="5387" max="5387" width="9.5703125" bestFit="1" customWidth="1"/>
    <col min="5388" max="5388" width="19.140625" bestFit="1" customWidth="1"/>
    <col min="5634" max="5634" width="26" bestFit="1" customWidth="1"/>
    <col min="5635" max="5635" width="26.85546875" bestFit="1" customWidth="1"/>
    <col min="5636" max="5636" width="10.5703125" bestFit="1" customWidth="1"/>
    <col min="5637" max="5637" width="8.42578125" bestFit="1" customWidth="1"/>
    <col min="5638" max="5638" width="22.7109375" bestFit="1" customWidth="1"/>
    <col min="5639" max="5639" width="28.5703125" bestFit="1" customWidth="1"/>
    <col min="5640" max="5641" width="4.5703125" bestFit="1" customWidth="1"/>
    <col min="5642" max="5642" width="7.85546875" bestFit="1" customWidth="1"/>
    <col min="5643" max="5643" width="9.5703125" bestFit="1" customWidth="1"/>
    <col min="5644" max="5644" width="19.140625" bestFit="1" customWidth="1"/>
    <col min="5890" max="5890" width="26" bestFit="1" customWidth="1"/>
    <col min="5891" max="5891" width="26.85546875" bestFit="1" customWidth="1"/>
    <col min="5892" max="5892" width="10.5703125" bestFit="1" customWidth="1"/>
    <col min="5893" max="5893" width="8.42578125" bestFit="1" customWidth="1"/>
    <col min="5894" max="5894" width="22.7109375" bestFit="1" customWidth="1"/>
    <col min="5895" max="5895" width="28.5703125" bestFit="1" customWidth="1"/>
    <col min="5896" max="5897" width="4.5703125" bestFit="1" customWidth="1"/>
    <col min="5898" max="5898" width="7.85546875" bestFit="1" customWidth="1"/>
    <col min="5899" max="5899" width="9.5703125" bestFit="1" customWidth="1"/>
    <col min="5900" max="5900" width="19.140625" bestFit="1" customWidth="1"/>
    <col min="6146" max="6146" width="26" bestFit="1" customWidth="1"/>
    <col min="6147" max="6147" width="26.85546875" bestFit="1" customWidth="1"/>
    <col min="6148" max="6148" width="10.5703125" bestFit="1" customWidth="1"/>
    <col min="6149" max="6149" width="8.42578125" bestFit="1" customWidth="1"/>
    <col min="6150" max="6150" width="22.7109375" bestFit="1" customWidth="1"/>
    <col min="6151" max="6151" width="28.5703125" bestFit="1" customWidth="1"/>
    <col min="6152" max="6153" width="4.5703125" bestFit="1" customWidth="1"/>
    <col min="6154" max="6154" width="7.85546875" bestFit="1" customWidth="1"/>
    <col min="6155" max="6155" width="9.5703125" bestFit="1" customWidth="1"/>
    <col min="6156" max="6156" width="19.140625" bestFit="1" customWidth="1"/>
    <col min="6402" max="6402" width="26" bestFit="1" customWidth="1"/>
    <col min="6403" max="6403" width="26.85546875" bestFit="1" customWidth="1"/>
    <col min="6404" max="6404" width="10.5703125" bestFit="1" customWidth="1"/>
    <col min="6405" max="6405" width="8.42578125" bestFit="1" customWidth="1"/>
    <col min="6406" max="6406" width="22.7109375" bestFit="1" customWidth="1"/>
    <col min="6407" max="6407" width="28.5703125" bestFit="1" customWidth="1"/>
    <col min="6408" max="6409" width="4.5703125" bestFit="1" customWidth="1"/>
    <col min="6410" max="6410" width="7.85546875" bestFit="1" customWidth="1"/>
    <col min="6411" max="6411" width="9.5703125" bestFit="1" customWidth="1"/>
    <col min="6412" max="6412" width="19.140625" bestFit="1" customWidth="1"/>
    <col min="6658" max="6658" width="26" bestFit="1" customWidth="1"/>
    <col min="6659" max="6659" width="26.85546875" bestFit="1" customWidth="1"/>
    <col min="6660" max="6660" width="10.5703125" bestFit="1" customWidth="1"/>
    <col min="6661" max="6661" width="8.42578125" bestFit="1" customWidth="1"/>
    <col min="6662" max="6662" width="22.7109375" bestFit="1" customWidth="1"/>
    <col min="6663" max="6663" width="28.5703125" bestFit="1" customWidth="1"/>
    <col min="6664" max="6665" width="4.5703125" bestFit="1" customWidth="1"/>
    <col min="6666" max="6666" width="7.85546875" bestFit="1" customWidth="1"/>
    <col min="6667" max="6667" width="9.5703125" bestFit="1" customWidth="1"/>
    <col min="6668" max="6668" width="19.140625" bestFit="1" customWidth="1"/>
    <col min="6914" max="6914" width="26" bestFit="1" customWidth="1"/>
    <col min="6915" max="6915" width="26.85546875" bestFit="1" customWidth="1"/>
    <col min="6916" max="6916" width="10.5703125" bestFit="1" customWidth="1"/>
    <col min="6917" max="6917" width="8.42578125" bestFit="1" customWidth="1"/>
    <col min="6918" max="6918" width="22.7109375" bestFit="1" customWidth="1"/>
    <col min="6919" max="6919" width="28.5703125" bestFit="1" customWidth="1"/>
    <col min="6920" max="6921" width="4.5703125" bestFit="1" customWidth="1"/>
    <col min="6922" max="6922" width="7.85546875" bestFit="1" customWidth="1"/>
    <col min="6923" max="6923" width="9.5703125" bestFit="1" customWidth="1"/>
    <col min="6924" max="6924" width="19.140625" bestFit="1" customWidth="1"/>
    <col min="7170" max="7170" width="26" bestFit="1" customWidth="1"/>
    <col min="7171" max="7171" width="26.85546875" bestFit="1" customWidth="1"/>
    <col min="7172" max="7172" width="10.5703125" bestFit="1" customWidth="1"/>
    <col min="7173" max="7173" width="8.42578125" bestFit="1" customWidth="1"/>
    <col min="7174" max="7174" width="22.7109375" bestFit="1" customWidth="1"/>
    <col min="7175" max="7175" width="28.5703125" bestFit="1" customWidth="1"/>
    <col min="7176" max="7177" width="4.5703125" bestFit="1" customWidth="1"/>
    <col min="7178" max="7178" width="7.85546875" bestFit="1" customWidth="1"/>
    <col min="7179" max="7179" width="9.5703125" bestFit="1" customWidth="1"/>
    <col min="7180" max="7180" width="19.140625" bestFit="1" customWidth="1"/>
    <col min="7426" max="7426" width="26" bestFit="1" customWidth="1"/>
    <col min="7427" max="7427" width="26.85546875" bestFit="1" customWidth="1"/>
    <col min="7428" max="7428" width="10.5703125" bestFit="1" customWidth="1"/>
    <col min="7429" max="7429" width="8.42578125" bestFit="1" customWidth="1"/>
    <col min="7430" max="7430" width="22.7109375" bestFit="1" customWidth="1"/>
    <col min="7431" max="7431" width="28.5703125" bestFit="1" customWidth="1"/>
    <col min="7432" max="7433" width="4.5703125" bestFit="1" customWidth="1"/>
    <col min="7434" max="7434" width="7.85546875" bestFit="1" customWidth="1"/>
    <col min="7435" max="7435" width="9.5703125" bestFit="1" customWidth="1"/>
    <col min="7436" max="7436" width="19.140625" bestFit="1" customWidth="1"/>
    <col min="7682" max="7682" width="26" bestFit="1" customWidth="1"/>
    <col min="7683" max="7683" width="26.85546875" bestFit="1" customWidth="1"/>
    <col min="7684" max="7684" width="10.5703125" bestFit="1" customWidth="1"/>
    <col min="7685" max="7685" width="8.42578125" bestFit="1" customWidth="1"/>
    <col min="7686" max="7686" width="22.7109375" bestFit="1" customWidth="1"/>
    <col min="7687" max="7687" width="28.5703125" bestFit="1" customWidth="1"/>
    <col min="7688" max="7689" width="4.5703125" bestFit="1" customWidth="1"/>
    <col min="7690" max="7690" width="7.85546875" bestFit="1" customWidth="1"/>
    <col min="7691" max="7691" width="9.5703125" bestFit="1" customWidth="1"/>
    <col min="7692" max="7692" width="19.140625" bestFit="1" customWidth="1"/>
    <col min="7938" max="7938" width="26" bestFit="1" customWidth="1"/>
    <col min="7939" max="7939" width="26.85546875" bestFit="1" customWidth="1"/>
    <col min="7940" max="7940" width="10.5703125" bestFit="1" customWidth="1"/>
    <col min="7941" max="7941" width="8.42578125" bestFit="1" customWidth="1"/>
    <col min="7942" max="7942" width="22.7109375" bestFit="1" customWidth="1"/>
    <col min="7943" max="7943" width="28.5703125" bestFit="1" customWidth="1"/>
    <col min="7944" max="7945" width="4.5703125" bestFit="1" customWidth="1"/>
    <col min="7946" max="7946" width="7.85546875" bestFit="1" customWidth="1"/>
    <col min="7947" max="7947" width="9.5703125" bestFit="1" customWidth="1"/>
    <col min="7948" max="7948" width="19.140625" bestFit="1" customWidth="1"/>
    <col min="8194" max="8194" width="26" bestFit="1" customWidth="1"/>
    <col min="8195" max="8195" width="26.85546875" bestFit="1" customWidth="1"/>
    <col min="8196" max="8196" width="10.5703125" bestFit="1" customWidth="1"/>
    <col min="8197" max="8197" width="8.42578125" bestFit="1" customWidth="1"/>
    <col min="8198" max="8198" width="22.7109375" bestFit="1" customWidth="1"/>
    <col min="8199" max="8199" width="28.5703125" bestFit="1" customWidth="1"/>
    <col min="8200" max="8201" width="4.5703125" bestFit="1" customWidth="1"/>
    <col min="8202" max="8202" width="7.85546875" bestFit="1" customWidth="1"/>
    <col min="8203" max="8203" width="9.5703125" bestFit="1" customWidth="1"/>
    <col min="8204" max="8204" width="19.140625" bestFit="1" customWidth="1"/>
    <col min="8450" max="8450" width="26" bestFit="1" customWidth="1"/>
    <col min="8451" max="8451" width="26.85546875" bestFit="1" customWidth="1"/>
    <col min="8452" max="8452" width="10.5703125" bestFit="1" customWidth="1"/>
    <col min="8453" max="8453" width="8.42578125" bestFit="1" customWidth="1"/>
    <col min="8454" max="8454" width="22.7109375" bestFit="1" customWidth="1"/>
    <col min="8455" max="8455" width="28.5703125" bestFit="1" customWidth="1"/>
    <col min="8456" max="8457" width="4.5703125" bestFit="1" customWidth="1"/>
    <col min="8458" max="8458" width="7.85546875" bestFit="1" customWidth="1"/>
    <col min="8459" max="8459" width="9.5703125" bestFit="1" customWidth="1"/>
    <col min="8460" max="8460" width="19.140625" bestFit="1" customWidth="1"/>
    <col min="8706" max="8706" width="26" bestFit="1" customWidth="1"/>
    <col min="8707" max="8707" width="26.85546875" bestFit="1" customWidth="1"/>
    <col min="8708" max="8708" width="10.5703125" bestFit="1" customWidth="1"/>
    <col min="8709" max="8709" width="8.42578125" bestFit="1" customWidth="1"/>
    <col min="8710" max="8710" width="22.7109375" bestFit="1" customWidth="1"/>
    <col min="8711" max="8711" width="28.5703125" bestFit="1" customWidth="1"/>
    <col min="8712" max="8713" width="4.5703125" bestFit="1" customWidth="1"/>
    <col min="8714" max="8714" width="7.85546875" bestFit="1" customWidth="1"/>
    <col min="8715" max="8715" width="9.5703125" bestFit="1" customWidth="1"/>
    <col min="8716" max="8716" width="19.140625" bestFit="1" customWidth="1"/>
    <col min="8962" max="8962" width="26" bestFit="1" customWidth="1"/>
    <col min="8963" max="8963" width="26.85546875" bestFit="1" customWidth="1"/>
    <col min="8964" max="8964" width="10.5703125" bestFit="1" customWidth="1"/>
    <col min="8965" max="8965" width="8.42578125" bestFit="1" customWidth="1"/>
    <col min="8966" max="8966" width="22.7109375" bestFit="1" customWidth="1"/>
    <col min="8967" max="8967" width="28.5703125" bestFit="1" customWidth="1"/>
    <col min="8968" max="8969" width="4.5703125" bestFit="1" customWidth="1"/>
    <col min="8970" max="8970" width="7.85546875" bestFit="1" customWidth="1"/>
    <col min="8971" max="8971" width="9.5703125" bestFit="1" customWidth="1"/>
    <col min="8972" max="8972" width="19.140625" bestFit="1" customWidth="1"/>
    <col min="9218" max="9218" width="26" bestFit="1" customWidth="1"/>
    <col min="9219" max="9219" width="26.85546875" bestFit="1" customWidth="1"/>
    <col min="9220" max="9220" width="10.5703125" bestFit="1" customWidth="1"/>
    <col min="9221" max="9221" width="8.42578125" bestFit="1" customWidth="1"/>
    <col min="9222" max="9222" width="22.7109375" bestFit="1" customWidth="1"/>
    <col min="9223" max="9223" width="28.5703125" bestFit="1" customWidth="1"/>
    <col min="9224" max="9225" width="4.5703125" bestFit="1" customWidth="1"/>
    <col min="9226" max="9226" width="7.85546875" bestFit="1" customWidth="1"/>
    <col min="9227" max="9227" width="9.5703125" bestFit="1" customWidth="1"/>
    <col min="9228" max="9228" width="19.140625" bestFit="1" customWidth="1"/>
    <col min="9474" max="9474" width="26" bestFit="1" customWidth="1"/>
    <col min="9475" max="9475" width="26.85546875" bestFit="1" customWidth="1"/>
    <col min="9476" max="9476" width="10.5703125" bestFit="1" customWidth="1"/>
    <col min="9477" max="9477" width="8.42578125" bestFit="1" customWidth="1"/>
    <col min="9478" max="9478" width="22.7109375" bestFit="1" customWidth="1"/>
    <col min="9479" max="9479" width="28.5703125" bestFit="1" customWidth="1"/>
    <col min="9480" max="9481" width="4.5703125" bestFit="1" customWidth="1"/>
    <col min="9482" max="9482" width="7.85546875" bestFit="1" customWidth="1"/>
    <col min="9483" max="9483" width="9.5703125" bestFit="1" customWidth="1"/>
    <col min="9484" max="9484" width="19.140625" bestFit="1" customWidth="1"/>
    <col min="9730" max="9730" width="26" bestFit="1" customWidth="1"/>
    <col min="9731" max="9731" width="26.85546875" bestFit="1" customWidth="1"/>
    <col min="9732" max="9732" width="10.5703125" bestFit="1" customWidth="1"/>
    <col min="9733" max="9733" width="8.42578125" bestFit="1" customWidth="1"/>
    <col min="9734" max="9734" width="22.7109375" bestFit="1" customWidth="1"/>
    <col min="9735" max="9735" width="28.5703125" bestFit="1" customWidth="1"/>
    <col min="9736" max="9737" width="4.5703125" bestFit="1" customWidth="1"/>
    <col min="9738" max="9738" width="7.85546875" bestFit="1" customWidth="1"/>
    <col min="9739" max="9739" width="9.5703125" bestFit="1" customWidth="1"/>
    <col min="9740" max="9740" width="19.140625" bestFit="1" customWidth="1"/>
    <col min="9986" max="9986" width="26" bestFit="1" customWidth="1"/>
    <col min="9987" max="9987" width="26.85546875" bestFit="1" customWidth="1"/>
    <col min="9988" max="9988" width="10.5703125" bestFit="1" customWidth="1"/>
    <col min="9989" max="9989" width="8.42578125" bestFit="1" customWidth="1"/>
    <col min="9990" max="9990" width="22.7109375" bestFit="1" customWidth="1"/>
    <col min="9991" max="9991" width="28.5703125" bestFit="1" customWidth="1"/>
    <col min="9992" max="9993" width="4.5703125" bestFit="1" customWidth="1"/>
    <col min="9994" max="9994" width="7.85546875" bestFit="1" customWidth="1"/>
    <col min="9995" max="9995" width="9.5703125" bestFit="1" customWidth="1"/>
    <col min="9996" max="9996" width="19.140625" bestFit="1" customWidth="1"/>
    <col min="10242" max="10242" width="26" bestFit="1" customWidth="1"/>
    <col min="10243" max="10243" width="26.85546875" bestFit="1" customWidth="1"/>
    <col min="10244" max="10244" width="10.5703125" bestFit="1" customWidth="1"/>
    <col min="10245" max="10245" width="8.42578125" bestFit="1" customWidth="1"/>
    <col min="10246" max="10246" width="22.7109375" bestFit="1" customWidth="1"/>
    <col min="10247" max="10247" width="28.5703125" bestFit="1" customWidth="1"/>
    <col min="10248" max="10249" width="4.5703125" bestFit="1" customWidth="1"/>
    <col min="10250" max="10250" width="7.85546875" bestFit="1" customWidth="1"/>
    <col min="10251" max="10251" width="9.5703125" bestFit="1" customWidth="1"/>
    <col min="10252" max="10252" width="19.140625" bestFit="1" customWidth="1"/>
    <col min="10498" max="10498" width="26" bestFit="1" customWidth="1"/>
    <col min="10499" max="10499" width="26.85546875" bestFit="1" customWidth="1"/>
    <col min="10500" max="10500" width="10.5703125" bestFit="1" customWidth="1"/>
    <col min="10501" max="10501" width="8.42578125" bestFit="1" customWidth="1"/>
    <col min="10502" max="10502" width="22.7109375" bestFit="1" customWidth="1"/>
    <col min="10503" max="10503" width="28.5703125" bestFit="1" customWidth="1"/>
    <col min="10504" max="10505" width="4.5703125" bestFit="1" customWidth="1"/>
    <col min="10506" max="10506" width="7.85546875" bestFit="1" customWidth="1"/>
    <col min="10507" max="10507" width="9.5703125" bestFit="1" customWidth="1"/>
    <col min="10508" max="10508" width="19.140625" bestFit="1" customWidth="1"/>
    <col min="10754" max="10754" width="26" bestFit="1" customWidth="1"/>
    <col min="10755" max="10755" width="26.85546875" bestFit="1" customWidth="1"/>
    <col min="10756" max="10756" width="10.5703125" bestFit="1" customWidth="1"/>
    <col min="10757" max="10757" width="8.42578125" bestFit="1" customWidth="1"/>
    <col min="10758" max="10758" width="22.7109375" bestFit="1" customWidth="1"/>
    <col min="10759" max="10759" width="28.5703125" bestFit="1" customWidth="1"/>
    <col min="10760" max="10761" width="4.5703125" bestFit="1" customWidth="1"/>
    <col min="10762" max="10762" width="7.85546875" bestFit="1" customWidth="1"/>
    <col min="10763" max="10763" width="9.5703125" bestFit="1" customWidth="1"/>
    <col min="10764" max="10764" width="19.140625" bestFit="1" customWidth="1"/>
    <col min="11010" max="11010" width="26" bestFit="1" customWidth="1"/>
    <col min="11011" max="11011" width="26.85546875" bestFit="1" customWidth="1"/>
    <col min="11012" max="11012" width="10.5703125" bestFit="1" customWidth="1"/>
    <col min="11013" max="11013" width="8.42578125" bestFit="1" customWidth="1"/>
    <col min="11014" max="11014" width="22.7109375" bestFit="1" customWidth="1"/>
    <col min="11015" max="11015" width="28.5703125" bestFit="1" customWidth="1"/>
    <col min="11016" max="11017" width="4.5703125" bestFit="1" customWidth="1"/>
    <col min="11018" max="11018" width="7.85546875" bestFit="1" customWidth="1"/>
    <col min="11019" max="11019" width="9.5703125" bestFit="1" customWidth="1"/>
    <col min="11020" max="11020" width="19.140625" bestFit="1" customWidth="1"/>
    <col min="11266" max="11266" width="26" bestFit="1" customWidth="1"/>
    <col min="11267" max="11267" width="26.85546875" bestFit="1" customWidth="1"/>
    <col min="11268" max="11268" width="10.5703125" bestFit="1" customWidth="1"/>
    <col min="11269" max="11269" width="8.42578125" bestFit="1" customWidth="1"/>
    <col min="11270" max="11270" width="22.7109375" bestFit="1" customWidth="1"/>
    <col min="11271" max="11271" width="28.5703125" bestFit="1" customWidth="1"/>
    <col min="11272" max="11273" width="4.5703125" bestFit="1" customWidth="1"/>
    <col min="11274" max="11274" width="7.85546875" bestFit="1" customWidth="1"/>
    <col min="11275" max="11275" width="9.5703125" bestFit="1" customWidth="1"/>
    <col min="11276" max="11276" width="19.140625" bestFit="1" customWidth="1"/>
    <col min="11522" max="11522" width="26" bestFit="1" customWidth="1"/>
    <col min="11523" max="11523" width="26.85546875" bestFit="1" customWidth="1"/>
    <col min="11524" max="11524" width="10.5703125" bestFit="1" customWidth="1"/>
    <col min="11525" max="11525" width="8.42578125" bestFit="1" customWidth="1"/>
    <col min="11526" max="11526" width="22.7109375" bestFit="1" customWidth="1"/>
    <col min="11527" max="11527" width="28.5703125" bestFit="1" customWidth="1"/>
    <col min="11528" max="11529" width="4.5703125" bestFit="1" customWidth="1"/>
    <col min="11530" max="11530" width="7.85546875" bestFit="1" customWidth="1"/>
    <col min="11531" max="11531" width="9.5703125" bestFit="1" customWidth="1"/>
    <col min="11532" max="11532" width="19.140625" bestFit="1" customWidth="1"/>
    <col min="11778" max="11778" width="26" bestFit="1" customWidth="1"/>
    <col min="11779" max="11779" width="26.85546875" bestFit="1" customWidth="1"/>
    <col min="11780" max="11780" width="10.5703125" bestFit="1" customWidth="1"/>
    <col min="11781" max="11781" width="8.42578125" bestFit="1" customWidth="1"/>
    <col min="11782" max="11782" width="22.7109375" bestFit="1" customWidth="1"/>
    <col min="11783" max="11783" width="28.5703125" bestFit="1" customWidth="1"/>
    <col min="11784" max="11785" width="4.5703125" bestFit="1" customWidth="1"/>
    <col min="11786" max="11786" width="7.85546875" bestFit="1" customWidth="1"/>
    <col min="11787" max="11787" width="9.5703125" bestFit="1" customWidth="1"/>
    <col min="11788" max="11788" width="19.140625" bestFit="1" customWidth="1"/>
    <col min="12034" max="12034" width="26" bestFit="1" customWidth="1"/>
    <col min="12035" max="12035" width="26.85546875" bestFit="1" customWidth="1"/>
    <col min="12036" max="12036" width="10.5703125" bestFit="1" customWidth="1"/>
    <col min="12037" max="12037" width="8.42578125" bestFit="1" customWidth="1"/>
    <col min="12038" max="12038" width="22.7109375" bestFit="1" customWidth="1"/>
    <col min="12039" max="12039" width="28.5703125" bestFit="1" customWidth="1"/>
    <col min="12040" max="12041" width="4.5703125" bestFit="1" customWidth="1"/>
    <col min="12042" max="12042" width="7.85546875" bestFit="1" customWidth="1"/>
    <col min="12043" max="12043" width="9.5703125" bestFit="1" customWidth="1"/>
    <col min="12044" max="12044" width="19.140625" bestFit="1" customWidth="1"/>
    <col min="12290" max="12290" width="26" bestFit="1" customWidth="1"/>
    <col min="12291" max="12291" width="26.85546875" bestFit="1" customWidth="1"/>
    <col min="12292" max="12292" width="10.5703125" bestFit="1" customWidth="1"/>
    <col min="12293" max="12293" width="8.42578125" bestFit="1" customWidth="1"/>
    <col min="12294" max="12294" width="22.7109375" bestFit="1" customWidth="1"/>
    <col min="12295" max="12295" width="28.5703125" bestFit="1" customWidth="1"/>
    <col min="12296" max="12297" width="4.5703125" bestFit="1" customWidth="1"/>
    <col min="12298" max="12298" width="7.85546875" bestFit="1" customWidth="1"/>
    <col min="12299" max="12299" width="9.5703125" bestFit="1" customWidth="1"/>
    <col min="12300" max="12300" width="19.140625" bestFit="1" customWidth="1"/>
    <col min="12546" max="12546" width="26" bestFit="1" customWidth="1"/>
    <col min="12547" max="12547" width="26.85546875" bestFit="1" customWidth="1"/>
    <col min="12548" max="12548" width="10.5703125" bestFit="1" customWidth="1"/>
    <col min="12549" max="12549" width="8.42578125" bestFit="1" customWidth="1"/>
    <col min="12550" max="12550" width="22.7109375" bestFit="1" customWidth="1"/>
    <col min="12551" max="12551" width="28.5703125" bestFit="1" customWidth="1"/>
    <col min="12552" max="12553" width="4.5703125" bestFit="1" customWidth="1"/>
    <col min="12554" max="12554" width="7.85546875" bestFit="1" customWidth="1"/>
    <col min="12555" max="12555" width="9.5703125" bestFit="1" customWidth="1"/>
    <col min="12556" max="12556" width="19.140625" bestFit="1" customWidth="1"/>
    <col min="12802" max="12802" width="26" bestFit="1" customWidth="1"/>
    <col min="12803" max="12803" width="26.85546875" bestFit="1" customWidth="1"/>
    <col min="12804" max="12804" width="10.5703125" bestFit="1" customWidth="1"/>
    <col min="12805" max="12805" width="8.42578125" bestFit="1" customWidth="1"/>
    <col min="12806" max="12806" width="22.7109375" bestFit="1" customWidth="1"/>
    <col min="12807" max="12807" width="28.5703125" bestFit="1" customWidth="1"/>
    <col min="12808" max="12809" width="4.5703125" bestFit="1" customWidth="1"/>
    <col min="12810" max="12810" width="7.85546875" bestFit="1" customWidth="1"/>
    <col min="12811" max="12811" width="9.5703125" bestFit="1" customWidth="1"/>
    <col min="12812" max="12812" width="19.140625" bestFit="1" customWidth="1"/>
    <col min="13058" max="13058" width="26" bestFit="1" customWidth="1"/>
    <col min="13059" max="13059" width="26.85546875" bestFit="1" customWidth="1"/>
    <col min="13060" max="13060" width="10.5703125" bestFit="1" customWidth="1"/>
    <col min="13061" max="13061" width="8.42578125" bestFit="1" customWidth="1"/>
    <col min="13062" max="13062" width="22.7109375" bestFit="1" customWidth="1"/>
    <col min="13063" max="13063" width="28.5703125" bestFit="1" customWidth="1"/>
    <col min="13064" max="13065" width="4.5703125" bestFit="1" customWidth="1"/>
    <col min="13066" max="13066" width="7.85546875" bestFit="1" customWidth="1"/>
    <col min="13067" max="13067" width="9.5703125" bestFit="1" customWidth="1"/>
    <col min="13068" max="13068" width="19.140625" bestFit="1" customWidth="1"/>
    <col min="13314" max="13314" width="26" bestFit="1" customWidth="1"/>
    <col min="13315" max="13315" width="26.85546875" bestFit="1" customWidth="1"/>
    <col min="13316" max="13316" width="10.5703125" bestFit="1" customWidth="1"/>
    <col min="13317" max="13317" width="8.42578125" bestFit="1" customWidth="1"/>
    <col min="13318" max="13318" width="22.7109375" bestFit="1" customWidth="1"/>
    <col min="13319" max="13319" width="28.5703125" bestFit="1" customWidth="1"/>
    <col min="13320" max="13321" width="4.5703125" bestFit="1" customWidth="1"/>
    <col min="13322" max="13322" width="7.85546875" bestFit="1" customWidth="1"/>
    <col min="13323" max="13323" width="9.5703125" bestFit="1" customWidth="1"/>
    <col min="13324" max="13324" width="19.140625" bestFit="1" customWidth="1"/>
    <col min="13570" max="13570" width="26" bestFit="1" customWidth="1"/>
    <col min="13571" max="13571" width="26.85546875" bestFit="1" customWidth="1"/>
    <col min="13572" max="13572" width="10.5703125" bestFit="1" customWidth="1"/>
    <col min="13573" max="13573" width="8.42578125" bestFit="1" customWidth="1"/>
    <col min="13574" max="13574" width="22.7109375" bestFit="1" customWidth="1"/>
    <col min="13575" max="13575" width="28.5703125" bestFit="1" customWidth="1"/>
    <col min="13576" max="13577" width="4.5703125" bestFit="1" customWidth="1"/>
    <col min="13578" max="13578" width="7.85546875" bestFit="1" customWidth="1"/>
    <col min="13579" max="13579" width="9.5703125" bestFit="1" customWidth="1"/>
    <col min="13580" max="13580" width="19.140625" bestFit="1" customWidth="1"/>
    <col min="13826" max="13826" width="26" bestFit="1" customWidth="1"/>
    <col min="13827" max="13827" width="26.85546875" bestFit="1" customWidth="1"/>
    <col min="13828" max="13828" width="10.5703125" bestFit="1" customWidth="1"/>
    <col min="13829" max="13829" width="8.42578125" bestFit="1" customWidth="1"/>
    <col min="13830" max="13830" width="22.7109375" bestFit="1" customWidth="1"/>
    <col min="13831" max="13831" width="28.5703125" bestFit="1" customWidth="1"/>
    <col min="13832" max="13833" width="4.5703125" bestFit="1" customWidth="1"/>
    <col min="13834" max="13834" width="7.85546875" bestFit="1" customWidth="1"/>
    <col min="13835" max="13835" width="9.5703125" bestFit="1" customWidth="1"/>
    <col min="13836" max="13836" width="19.140625" bestFit="1" customWidth="1"/>
    <col min="14082" max="14082" width="26" bestFit="1" customWidth="1"/>
    <col min="14083" max="14083" width="26.85546875" bestFit="1" customWidth="1"/>
    <col min="14084" max="14084" width="10.5703125" bestFit="1" customWidth="1"/>
    <col min="14085" max="14085" width="8.42578125" bestFit="1" customWidth="1"/>
    <col min="14086" max="14086" width="22.7109375" bestFit="1" customWidth="1"/>
    <col min="14087" max="14087" width="28.5703125" bestFit="1" customWidth="1"/>
    <col min="14088" max="14089" width="4.5703125" bestFit="1" customWidth="1"/>
    <col min="14090" max="14090" width="7.85546875" bestFit="1" customWidth="1"/>
    <col min="14091" max="14091" width="9.5703125" bestFit="1" customWidth="1"/>
    <col min="14092" max="14092" width="19.140625" bestFit="1" customWidth="1"/>
    <col min="14338" max="14338" width="26" bestFit="1" customWidth="1"/>
    <col min="14339" max="14339" width="26.85546875" bestFit="1" customWidth="1"/>
    <col min="14340" max="14340" width="10.5703125" bestFit="1" customWidth="1"/>
    <col min="14341" max="14341" width="8.42578125" bestFit="1" customWidth="1"/>
    <col min="14342" max="14342" width="22.7109375" bestFit="1" customWidth="1"/>
    <col min="14343" max="14343" width="28.5703125" bestFit="1" customWidth="1"/>
    <col min="14344" max="14345" width="4.5703125" bestFit="1" customWidth="1"/>
    <col min="14346" max="14346" width="7.85546875" bestFit="1" customWidth="1"/>
    <col min="14347" max="14347" width="9.5703125" bestFit="1" customWidth="1"/>
    <col min="14348" max="14348" width="19.140625" bestFit="1" customWidth="1"/>
    <col min="14594" max="14594" width="26" bestFit="1" customWidth="1"/>
    <col min="14595" max="14595" width="26.85546875" bestFit="1" customWidth="1"/>
    <col min="14596" max="14596" width="10.5703125" bestFit="1" customWidth="1"/>
    <col min="14597" max="14597" width="8.42578125" bestFit="1" customWidth="1"/>
    <col min="14598" max="14598" width="22.7109375" bestFit="1" customWidth="1"/>
    <col min="14599" max="14599" width="28.5703125" bestFit="1" customWidth="1"/>
    <col min="14600" max="14601" width="4.5703125" bestFit="1" customWidth="1"/>
    <col min="14602" max="14602" width="7.85546875" bestFit="1" customWidth="1"/>
    <col min="14603" max="14603" width="9.5703125" bestFit="1" customWidth="1"/>
    <col min="14604" max="14604" width="19.140625" bestFit="1" customWidth="1"/>
    <col min="14850" max="14850" width="26" bestFit="1" customWidth="1"/>
    <col min="14851" max="14851" width="26.85546875" bestFit="1" customWidth="1"/>
    <col min="14852" max="14852" width="10.5703125" bestFit="1" customWidth="1"/>
    <col min="14853" max="14853" width="8.42578125" bestFit="1" customWidth="1"/>
    <col min="14854" max="14854" width="22.7109375" bestFit="1" customWidth="1"/>
    <col min="14855" max="14855" width="28.5703125" bestFit="1" customWidth="1"/>
    <col min="14856" max="14857" width="4.5703125" bestFit="1" customWidth="1"/>
    <col min="14858" max="14858" width="7.85546875" bestFit="1" customWidth="1"/>
    <col min="14859" max="14859" width="9.5703125" bestFit="1" customWidth="1"/>
    <col min="14860" max="14860" width="19.140625" bestFit="1" customWidth="1"/>
    <col min="15106" max="15106" width="26" bestFit="1" customWidth="1"/>
    <col min="15107" max="15107" width="26.85546875" bestFit="1" customWidth="1"/>
    <col min="15108" max="15108" width="10.5703125" bestFit="1" customWidth="1"/>
    <col min="15109" max="15109" width="8.42578125" bestFit="1" customWidth="1"/>
    <col min="15110" max="15110" width="22.7109375" bestFit="1" customWidth="1"/>
    <col min="15111" max="15111" width="28.5703125" bestFit="1" customWidth="1"/>
    <col min="15112" max="15113" width="4.5703125" bestFit="1" customWidth="1"/>
    <col min="15114" max="15114" width="7.85546875" bestFit="1" customWidth="1"/>
    <col min="15115" max="15115" width="9.5703125" bestFit="1" customWidth="1"/>
    <col min="15116" max="15116" width="19.140625" bestFit="1" customWidth="1"/>
    <col min="15362" max="15362" width="26" bestFit="1" customWidth="1"/>
    <col min="15363" max="15363" width="26.85546875" bestFit="1" customWidth="1"/>
    <col min="15364" max="15364" width="10.5703125" bestFit="1" customWidth="1"/>
    <col min="15365" max="15365" width="8.42578125" bestFit="1" customWidth="1"/>
    <col min="15366" max="15366" width="22.7109375" bestFit="1" customWidth="1"/>
    <col min="15367" max="15367" width="28.5703125" bestFit="1" customWidth="1"/>
    <col min="15368" max="15369" width="4.5703125" bestFit="1" customWidth="1"/>
    <col min="15370" max="15370" width="7.85546875" bestFit="1" customWidth="1"/>
    <col min="15371" max="15371" width="9.5703125" bestFit="1" customWidth="1"/>
    <col min="15372" max="15372" width="19.140625" bestFit="1" customWidth="1"/>
    <col min="15618" max="15618" width="26" bestFit="1" customWidth="1"/>
    <col min="15619" max="15619" width="26.85546875" bestFit="1" customWidth="1"/>
    <col min="15620" max="15620" width="10.5703125" bestFit="1" customWidth="1"/>
    <col min="15621" max="15621" width="8.42578125" bestFit="1" customWidth="1"/>
    <col min="15622" max="15622" width="22.7109375" bestFit="1" customWidth="1"/>
    <col min="15623" max="15623" width="28.5703125" bestFit="1" customWidth="1"/>
    <col min="15624" max="15625" width="4.5703125" bestFit="1" customWidth="1"/>
    <col min="15626" max="15626" width="7.85546875" bestFit="1" customWidth="1"/>
    <col min="15627" max="15627" width="9.5703125" bestFit="1" customWidth="1"/>
    <col min="15628" max="15628" width="19.140625" bestFit="1" customWidth="1"/>
    <col min="15874" max="15874" width="26" bestFit="1" customWidth="1"/>
    <col min="15875" max="15875" width="26.85546875" bestFit="1" customWidth="1"/>
    <col min="15876" max="15876" width="10.5703125" bestFit="1" customWidth="1"/>
    <col min="15877" max="15877" width="8.42578125" bestFit="1" customWidth="1"/>
    <col min="15878" max="15878" width="22.7109375" bestFit="1" customWidth="1"/>
    <col min="15879" max="15879" width="28.5703125" bestFit="1" customWidth="1"/>
    <col min="15880" max="15881" width="4.5703125" bestFit="1" customWidth="1"/>
    <col min="15882" max="15882" width="7.85546875" bestFit="1" customWidth="1"/>
    <col min="15883" max="15883" width="9.5703125" bestFit="1" customWidth="1"/>
    <col min="15884" max="15884" width="19.140625" bestFit="1" customWidth="1"/>
    <col min="16130" max="16130" width="26" bestFit="1" customWidth="1"/>
    <col min="16131" max="16131" width="26.85546875" bestFit="1" customWidth="1"/>
    <col min="16132" max="16132" width="10.5703125" bestFit="1" customWidth="1"/>
    <col min="16133" max="16133" width="8.42578125" bestFit="1" customWidth="1"/>
    <col min="16134" max="16134" width="22.7109375" bestFit="1" customWidth="1"/>
    <col min="16135" max="16135" width="28.5703125" bestFit="1" customWidth="1"/>
    <col min="16136" max="16137" width="4.5703125" bestFit="1" customWidth="1"/>
    <col min="16138" max="16138" width="7.85546875" bestFit="1" customWidth="1"/>
    <col min="16139" max="16139" width="9.5703125" bestFit="1" customWidth="1"/>
    <col min="16140" max="16140" width="19.140625" bestFit="1" customWidth="1"/>
  </cols>
  <sheetData>
    <row r="1" spans="1:12" ht="30" x14ac:dyDescent="0.4">
      <c r="A1" s="348" t="s">
        <v>4054</v>
      </c>
      <c r="B1" s="349"/>
      <c r="C1" s="349"/>
      <c r="D1" s="349"/>
      <c r="E1" s="349"/>
      <c r="F1" s="349"/>
      <c r="G1" s="349"/>
      <c r="H1" s="349"/>
      <c r="I1" s="349"/>
      <c r="J1" s="349"/>
      <c r="K1" s="349"/>
      <c r="L1" s="350"/>
    </row>
    <row r="2" spans="1:12" ht="30" x14ac:dyDescent="0.4">
      <c r="A2" s="351" t="s">
        <v>4073</v>
      </c>
      <c r="B2" s="352"/>
      <c r="C2" s="352"/>
      <c r="D2" s="352"/>
      <c r="E2" s="352"/>
      <c r="F2" s="352"/>
      <c r="G2" s="352"/>
      <c r="H2" s="352"/>
      <c r="I2" s="352"/>
      <c r="J2" s="352"/>
      <c r="K2" s="352"/>
      <c r="L2" s="353"/>
    </row>
    <row r="3" spans="1:12" ht="30.75" thickBot="1" x14ac:dyDescent="0.45">
      <c r="A3" s="354" t="s">
        <v>4056</v>
      </c>
      <c r="B3" s="355"/>
      <c r="C3" s="355"/>
      <c r="D3" s="355"/>
      <c r="E3" s="355"/>
      <c r="F3" s="355"/>
      <c r="G3" s="355"/>
      <c r="H3" s="355"/>
      <c r="I3" s="355"/>
      <c r="J3" s="355"/>
      <c r="K3" s="355"/>
      <c r="L3" s="356"/>
    </row>
    <row r="4" spans="1:12" s="5" customFormat="1" ht="15" customHeight="1" x14ac:dyDescent="0.2">
      <c r="A4" s="300" t="s">
        <v>2842</v>
      </c>
      <c r="B4" s="312" t="s">
        <v>2820</v>
      </c>
      <c r="C4" s="357" t="s">
        <v>2843</v>
      </c>
      <c r="D4" s="357" t="s">
        <v>2844</v>
      </c>
      <c r="E4" s="304" t="s">
        <v>2821</v>
      </c>
      <c r="F4" s="304" t="s">
        <v>2822</v>
      </c>
      <c r="G4" s="305" t="s">
        <v>2841</v>
      </c>
      <c r="H4" s="304" t="s">
        <v>2823</v>
      </c>
      <c r="I4" s="304"/>
      <c r="J4" s="359" t="s">
        <v>2940</v>
      </c>
      <c r="K4" s="304" t="s">
        <v>2825</v>
      </c>
      <c r="L4" s="307" t="s">
        <v>2826</v>
      </c>
    </row>
    <row r="5" spans="1:12" s="5" customFormat="1" ht="15.75" thickBot="1" x14ac:dyDescent="0.25">
      <c r="A5" s="301"/>
      <c r="B5" s="313"/>
      <c r="C5" s="358"/>
      <c r="D5" s="358"/>
      <c r="E5" s="303"/>
      <c r="F5" s="303"/>
      <c r="G5" s="306"/>
      <c r="H5" s="2" t="s">
        <v>2847</v>
      </c>
      <c r="I5" s="2" t="s">
        <v>2846</v>
      </c>
      <c r="J5" s="360"/>
      <c r="K5" s="303"/>
      <c r="L5" s="310"/>
    </row>
    <row r="6" spans="1:12" ht="15" x14ac:dyDescent="0.2">
      <c r="B6" s="299" t="s">
        <v>2850</v>
      </c>
      <c r="C6" s="299"/>
      <c r="D6" s="299"/>
      <c r="E6" s="299"/>
      <c r="F6" s="299"/>
      <c r="G6" s="299"/>
      <c r="H6" s="299"/>
      <c r="I6" s="299"/>
      <c r="J6" s="299"/>
      <c r="K6" s="299"/>
    </row>
    <row r="7" spans="1:12" x14ac:dyDescent="0.2">
      <c r="A7" s="43">
        <v>1</v>
      </c>
      <c r="B7" s="7" t="s">
        <v>2943</v>
      </c>
      <c r="C7" s="7" t="s">
        <v>2944</v>
      </c>
      <c r="D7" s="7" t="s">
        <v>2945</v>
      </c>
      <c r="E7" s="7" t="str">
        <f>"0,7535"</f>
        <v>0,7535</v>
      </c>
      <c r="F7" s="7" t="s">
        <v>2853</v>
      </c>
      <c r="G7" s="7" t="s">
        <v>2946</v>
      </c>
      <c r="H7" s="19" t="s">
        <v>51</v>
      </c>
      <c r="I7" s="19" t="s">
        <v>2857</v>
      </c>
      <c r="J7" s="28">
        <v>2730</v>
      </c>
      <c r="K7" s="19" t="str">
        <f>"2057,0550"</f>
        <v>2057,0550</v>
      </c>
      <c r="L7" s="7" t="s">
        <v>2855</v>
      </c>
    </row>
    <row r="9" spans="1:12" ht="15" x14ac:dyDescent="0.2">
      <c r="B9" s="294" t="s">
        <v>2891</v>
      </c>
      <c r="C9" s="294"/>
      <c r="D9" s="294"/>
      <c r="E9" s="294"/>
      <c r="F9" s="294"/>
      <c r="G9" s="294"/>
      <c r="H9" s="294"/>
      <c r="I9" s="294"/>
      <c r="J9" s="294"/>
      <c r="K9" s="294"/>
    </row>
    <row r="10" spans="1:12" x14ac:dyDescent="0.2">
      <c r="A10" s="43">
        <v>1</v>
      </c>
      <c r="B10" s="7" t="s">
        <v>2947</v>
      </c>
      <c r="C10" s="7" t="s">
        <v>2445</v>
      </c>
      <c r="D10" s="7" t="s">
        <v>2452</v>
      </c>
      <c r="E10" s="7" t="str">
        <f>"0,6838"</f>
        <v>0,6838</v>
      </c>
      <c r="F10" s="7" t="s">
        <v>2853</v>
      </c>
      <c r="G10" s="7" t="s">
        <v>2948</v>
      </c>
      <c r="H10" s="19" t="s">
        <v>52</v>
      </c>
      <c r="I10" s="19" t="s">
        <v>2954</v>
      </c>
      <c r="J10" s="28">
        <v>1080</v>
      </c>
      <c r="K10" s="19" t="str">
        <f>"738,5040"</f>
        <v>738,5040</v>
      </c>
      <c r="L10" s="7" t="s">
        <v>2957</v>
      </c>
    </row>
    <row r="12" spans="1:12" ht="15" x14ac:dyDescent="0.2">
      <c r="B12" s="294" t="s">
        <v>2863</v>
      </c>
      <c r="C12" s="294"/>
      <c r="D12" s="294"/>
      <c r="E12" s="294"/>
      <c r="F12" s="294"/>
      <c r="G12" s="294"/>
      <c r="H12" s="294"/>
      <c r="I12" s="294"/>
      <c r="J12" s="294"/>
      <c r="K12" s="294"/>
    </row>
    <row r="13" spans="1:12" x14ac:dyDescent="0.2">
      <c r="A13" s="43">
        <v>1</v>
      </c>
      <c r="B13" s="15" t="s">
        <v>2949</v>
      </c>
      <c r="C13" s="15" t="s">
        <v>2950</v>
      </c>
      <c r="D13" s="15" t="s">
        <v>460</v>
      </c>
      <c r="E13" s="114" t="str">
        <f>"0,6467"</f>
        <v>0,6467</v>
      </c>
      <c r="F13" s="15" t="s">
        <v>2853</v>
      </c>
      <c r="G13" s="146" t="s">
        <v>2951</v>
      </c>
      <c r="H13" s="21" t="s">
        <v>45</v>
      </c>
      <c r="I13" s="21" t="s">
        <v>2955</v>
      </c>
      <c r="J13" s="29">
        <v>2385</v>
      </c>
      <c r="K13" s="21" t="str">
        <f>"1542,3796"</f>
        <v>1542,3796</v>
      </c>
      <c r="L13" s="15" t="s">
        <v>2958</v>
      </c>
    </row>
    <row r="14" spans="1:12" x14ac:dyDescent="0.2">
      <c r="A14" s="43">
        <v>2</v>
      </c>
      <c r="B14" s="17" t="s">
        <v>2952</v>
      </c>
      <c r="C14" s="17" t="s">
        <v>2953</v>
      </c>
      <c r="D14" s="17" t="s">
        <v>2297</v>
      </c>
      <c r="E14" s="116" t="str">
        <f>"0,6651"</f>
        <v>0,6651</v>
      </c>
      <c r="F14" s="17" t="s">
        <v>2853</v>
      </c>
      <c r="G14" s="141" t="s">
        <v>2948</v>
      </c>
      <c r="H14" s="25" t="s">
        <v>81</v>
      </c>
      <c r="I14" s="25" t="s">
        <v>2956</v>
      </c>
      <c r="J14" s="31">
        <v>1615</v>
      </c>
      <c r="K14" s="25" t="str">
        <f>"1074,1365"</f>
        <v>1074,1365</v>
      </c>
      <c r="L14" s="17" t="s">
        <v>2959</v>
      </c>
    </row>
    <row r="24" spans="6:6" x14ac:dyDescent="0.2">
      <c r="F24" s="6" t="s">
        <v>794</v>
      </c>
    </row>
  </sheetData>
  <mergeCells count="17">
    <mergeCell ref="A1:L1"/>
    <mergeCell ref="A2:L2"/>
    <mergeCell ref="A3:L3"/>
    <mergeCell ref="B6:K6"/>
    <mergeCell ref="B9:K9"/>
    <mergeCell ref="L4:L5"/>
    <mergeCell ref="B12:K12"/>
    <mergeCell ref="A4:A5"/>
    <mergeCell ref="B4:B5"/>
    <mergeCell ref="C4:C5"/>
    <mergeCell ref="D4:D5"/>
    <mergeCell ref="E4:E5"/>
    <mergeCell ref="F4:F5"/>
    <mergeCell ref="G4:G5"/>
    <mergeCell ref="H4:I4"/>
    <mergeCell ref="J4:J5"/>
    <mergeCell ref="K4:K5"/>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sqref="A1:N1"/>
    </sheetView>
  </sheetViews>
  <sheetFormatPr defaultColWidth="8.7109375" defaultRowHeight="12.75" x14ac:dyDescent="0.2"/>
  <cols>
    <col min="1" max="1" width="8.7109375" style="43"/>
    <col min="2" max="2" width="26" style="6" bestFit="1" customWidth="1"/>
    <col min="3" max="3" width="21.42578125" style="6" bestFit="1" customWidth="1"/>
    <col min="4" max="4" width="10.5703125" style="6" bestFit="1" customWidth="1"/>
    <col min="5" max="5" width="8.42578125" style="6" bestFit="1" customWidth="1"/>
    <col min="6" max="6" width="22.7109375" style="6" bestFit="1" customWidth="1"/>
    <col min="7" max="7" width="36.42578125" style="6" customWidth="1"/>
    <col min="8" max="8" width="6" style="27" customWidth="1"/>
    <col min="9" max="9" width="4.28515625" style="27" customWidth="1"/>
    <col min="10" max="10" width="4.85546875" style="27" customWidth="1"/>
    <col min="11" max="11" width="5" style="27" customWidth="1"/>
    <col min="12" max="12" width="12.7109375" style="27" customWidth="1"/>
    <col min="13" max="13" width="7.5703125" style="27" bestFit="1" customWidth="1"/>
    <col min="14" max="14" width="15.42578125" style="6" bestFit="1" customWidth="1"/>
    <col min="258" max="258" width="26" bestFit="1" customWidth="1"/>
    <col min="259" max="259" width="21.42578125" bestFit="1" customWidth="1"/>
    <col min="260" max="260" width="10.5703125" bestFit="1" customWidth="1"/>
    <col min="261" max="261" width="8.42578125" bestFit="1" customWidth="1"/>
    <col min="262" max="262" width="22.7109375" bestFit="1" customWidth="1"/>
    <col min="263" max="263" width="23.5703125" bestFit="1" customWidth="1"/>
    <col min="264" max="264" width="5.5703125" bestFit="1" customWidth="1"/>
    <col min="265" max="266" width="2.140625" bestFit="1" customWidth="1"/>
    <col min="267" max="267" width="4.5703125" bestFit="1" customWidth="1"/>
    <col min="268" max="268" width="7.85546875" bestFit="1" customWidth="1"/>
    <col min="269" max="269" width="7.5703125" bestFit="1" customWidth="1"/>
    <col min="270" max="270" width="15.42578125" bestFit="1" customWidth="1"/>
    <col min="514" max="514" width="26" bestFit="1" customWidth="1"/>
    <col min="515" max="515" width="21.42578125" bestFit="1" customWidth="1"/>
    <col min="516" max="516" width="10.5703125" bestFit="1" customWidth="1"/>
    <col min="517" max="517" width="8.42578125" bestFit="1" customWidth="1"/>
    <col min="518" max="518" width="22.7109375" bestFit="1" customWidth="1"/>
    <col min="519" max="519" width="23.5703125" bestFit="1" customWidth="1"/>
    <col min="520" max="520" width="5.5703125" bestFit="1" customWidth="1"/>
    <col min="521" max="522" width="2.140625" bestFit="1" customWidth="1"/>
    <col min="523" max="523" width="4.5703125" bestFit="1" customWidth="1"/>
    <col min="524" max="524" width="7.85546875" bestFit="1" customWidth="1"/>
    <col min="525" max="525" width="7.5703125" bestFit="1" customWidth="1"/>
    <col min="526" max="526" width="15.42578125" bestFit="1" customWidth="1"/>
    <col min="770" max="770" width="26" bestFit="1" customWidth="1"/>
    <col min="771" max="771" width="21.42578125" bestFit="1" customWidth="1"/>
    <col min="772" max="772" width="10.5703125" bestFit="1" customWidth="1"/>
    <col min="773" max="773" width="8.42578125" bestFit="1" customWidth="1"/>
    <col min="774" max="774" width="22.7109375" bestFit="1" customWidth="1"/>
    <col min="775" max="775" width="23.5703125" bestFit="1" customWidth="1"/>
    <col min="776" max="776" width="5.5703125" bestFit="1" customWidth="1"/>
    <col min="777" max="778" width="2.140625" bestFit="1" customWidth="1"/>
    <col min="779" max="779" width="4.5703125" bestFit="1" customWidth="1"/>
    <col min="780" max="780" width="7.85546875" bestFit="1" customWidth="1"/>
    <col min="781" max="781" width="7.5703125" bestFit="1" customWidth="1"/>
    <col min="782" max="782" width="15.42578125" bestFit="1" customWidth="1"/>
    <col min="1026" max="1026" width="26" bestFit="1" customWidth="1"/>
    <col min="1027" max="1027" width="21.42578125" bestFit="1" customWidth="1"/>
    <col min="1028" max="1028" width="10.5703125" bestFit="1" customWidth="1"/>
    <col min="1029" max="1029" width="8.42578125" bestFit="1" customWidth="1"/>
    <col min="1030" max="1030" width="22.7109375" bestFit="1" customWidth="1"/>
    <col min="1031" max="1031" width="23.5703125" bestFit="1" customWidth="1"/>
    <col min="1032" max="1032" width="5.5703125" bestFit="1" customWidth="1"/>
    <col min="1033" max="1034" width="2.140625" bestFit="1" customWidth="1"/>
    <col min="1035" max="1035" width="4.5703125" bestFit="1" customWidth="1"/>
    <col min="1036" max="1036" width="7.85546875" bestFit="1" customWidth="1"/>
    <col min="1037" max="1037" width="7.5703125" bestFit="1" customWidth="1"/>
    <col min="1038" max="1038" width="15.42578125" bestFit="1" customWidth="1"/>
    <col min="1282" max="1282" width="26" bestFit="1" customWidth="1"/>
    <col min="1283" max="1283" width="21.42578125" bestFit="1" customWidth="1"/>
    <col min="1284" max="1284" width="10.5703125" bestFit="1" customWidth="1"/>
    <col min="1285" max="1285" width="8.42578125" bestFit="1" customWidth="1"/>
    <col min="1286" max="1286" width="22.7109375" bestFit="1" customWidth="1"/>
    <col min="1287" max="1287" width="23.5703125" bestFit="1" customWidth="1"/>
    <col min="1288" max="1288" width="5.5703125" bestFit="1" customWidth="1"/>
    <col min="1289" max="1290" width="2.140625" bestFit="1" customWidth="1"/>
    <col min="1291" max="1291" width="4.5703125" bestFit="1" customWidth="1"/>
    <col min="1292" max="1292" width="7.85546875" bestFit="1" customWidth="1"/>
    <col min="1293" max="1293" width="7.5703125" bestFit="1" customWidth="1"/>
    <col min="1294" max="1294" width="15.42578125" bestFit="1" customWidth="1"/>
    <col min="1538" max="1538" width="26" bestFit="1" customWidth="1"/>
    <col min="1539" max="1539" width="21.42578125" bestFit="1" customWidth="1"/>
    <col min="1540" max="1540" width="10.5703125" bestFit="1" customWidth="1"/>
    <col min="1541" max="1541" width="8.42578125" bestFit="1" customWidth="1"/>
    <col min="1542" max="1542" width="22.7109375" bestFit="1" customWidth="1"/>
    <col min="1543" max="1543" width="23.5703125" bestFit="1" customWidth="1"/>
    <col min="1544" max="1544" width="5.5703125" bestFit="1" customWidth="1"/>
    <col min="1545" max="1546" width="2.140625" bestFit="1" customWidth="1"/>
    <col min="1547" max="1547" width="4.5703125" bestFit="1" customWidth="1"/>
    <col min="1548" max="1548" width="7.85546875" bestFit="1" customWidth="1"/>
    <col min="1549" max="1549" width="7.5703125" bestFit="1" customWidth="1"/>
    <col min="1550" max="1550" width="15.42578125" bestFit="1" customWidth="1"/>
    <col min="1794" max="1794" width="26" bestFit="1" customWidth="1"/>
    <col min="1795" max="1795" width="21.42578125" bestFit="1" customWidth="1"/>
    <col min="1796" max="1796" width="10.5703125" bestFit="1" customWidth="1"/>
    <col min="1797" max="1797" width="8.42578125" bestFit="1" customWidth="1"/>
    <col min="1798" max="1798" width="22.7109375" bestFit="1" customWidth="1"/>
    <col min="1799" max="1799" width="23.5703125" bestFit="1" customWidth="1"/>
    <col min="1800" max="1800" width="5.5703125" bestFit="1" customWidth="1"/>
    <col min="1801" max="1802" width="2.140625" bestFit="1" customWidth="1"/>
    <col min="1803" max="1803" width="4.5703125" bestFit="1" customWidth="1"/>
    <col min="1804" max="1804" width="7.85546875" bestFit="1" customWidth="1"/>
    <col min="1805" max="1805" width="7.5703125" bestFit="1" customWidth="1"/>
    <col min="1806" max="1806" width="15.42578125" bestFit="1" customWidth="1"/>
    <col min="2050" max="2050" width="26" bestFit="1" customWidth="1"/>
    <col min="2051" max="2051" width="21.42578125" bestFit="1" customWidth="1"/>
    <col min="2052" max="2052" width="10.5703125" bestFit="1" customWidth="1"/>
    <col min="2053" max="2053" width="8.42578125" bestFit="1" customWidth="1"/>
    <col min="2054" max="2054" width="22.7109375" bestFit="1" customWidth="1"/>
    <col min="2055" max="2055" width="23.5703125" bestFit="1" customWidth="1"/>
    <col min="2056" max="2056" width="5.5703125" bestFit="1" customWidth="1"/>
    <col min="2057" max="2058" width="2.140625" bestFit="1" customWidth="1"/>
    <col min="2059" max="2059" width="4.5703125" bestFit="1" customWidth="1"/>
    <col min="2060" max="2060" width="7.85546875" bestFit="1" customWidth="1"/>
    <col min="2061" max="2061" width="7.5703125" bestFit="1" customWidth="1"/>
    <col min="2062" max="2062" width="15.42578125" bestFit="1" customWidth="1"/>
    <col min="2306" max="2306" width="26" bestFit="1" customWidth="1"/>
    <col min="2307" max="2307" width="21.42578125" bestFit="1" customWidth="1"/>
    <col min="2308" max="2308" width="10.5703125" bestFit="1" customWidth="1"/>
    <col min="2309" max="2309" width="8.42578125" bestFit="1" customWidth="1"/>
    <col min="2310" max="2310" width="22.7109375" bestFit="1" customWidth="1"/>
    <col min="2311" max="2311" width="23.5703125" bestFit="1" customWidth="1"/>
    <col min="2312" max="2312" width="5.5703125" bestFit="1" customWidth="1"/>
    <col min="2313" max="2314" width="2.140625" bestFit="1" customWidth="1"/>
    <col min="2315" max="2315" width="4.5703125" bestFit="1" customWidth="1"/>
    <col min="2316" max="2316" width="7.85546875" bestFit="1" customWidth="1"/>
    <col min="2317" max="2317" width="7.5703125" bestFit="1" customWidth="1"/>
    <col min="2318" max="2318" width="15.42578125" bestFit="1" customWidth="1"/>
    <col min="2562" max="2562" width="26" bestFit="1" customWidth="1"/>
    <col min="2563" max="2563" width="21.42578125" bestFit="1" customWidth="1"/>
    <col min="2564" max="2564" width="10.5703125" bestFit="1" customWidth="1"/>
    <col min="2565" max="2565" width="8.42578125" bestFit="1" customWidth="1"/>
    <col min="2566" max="2566" width="22.7109375" bestFit="1" customWidth="1"/>
    <col min="2567" max="2567" width="23.5703125" bestFit="1" customWidth="1"/>
    <col min="2568" max="2568" width="5.5703125" bestFit="1" customWidth="1"/>
    <col min="2569" max="2570" width="2.140625" bestFit="1" customWidth="1"/>
    <col min="2571" max="2571" width="4.5703125" bestFit="1" customWidth="1"/>
    <col min="2572" max="2572" width="7.85546875" bestFit="1" customWidth="1"/>
    <col min="2573" max="2573" width="7.5703125" bestFit="1" customWidth="1"/>
    <col min="2574" max="2574" width="15.42578125" bestFit="1" customWidth="1"/>
    <col min="2818" max="2818" width="26" bestFit="1" customWidth="1"/>
    <col min="2819" max="2819" width="21.42578125" bestFit="1" customWidth="1"/>
    <col min="2820" max="2820" width="10.5703125" bestFit="1" customWidth="1"/>
    <col min="2821" max="2821" width="8.42578125" bestFit="1" customWidth="1"/>
    <col min="2822" max="2822" width="22.7109375" bestFit="1" customWidth="1"/>
    <col min="2823" max="2823" width="23.5703125" bestFit="1" customWidth="1"/>
    <col min="2824" max="2824" width="5.5703125" bestFit="1" customWidth="1"/>
    <col min="2825" max="2826" width="2.140625" bestFit="1" customWidth="1"/>
    <col min="2827" max="2827" width="4.5703125" bestFit="1" customWidth="1"/>
    <col min="2828" max="2828" width="7.85546875" bestFit="1" customWidth="1"/>
    <col min="2829" max="2829" width="7.5703125" bestFit="1" customWidth="1"/>
    <col min="2830" max="2830" width="15.42578125" bestFit="1" customWidth="1"/>
    <col min="3074" max="3074" width="26" bestFit="1" customWidth="1"/>
    <col min="3075" max="3075" width="21.42578125" bestFit="1" customWidth="1"/>
    <col min="3076" max="3076" width="10.5703125" bestFit="1" customWidth="1"/>
    <col min="3077" max="3077" width="8.42578125" bestFit="1" customWidth="1"/>
    <col min="3078" max="3078" width="22.7109375" bestFit="1" customWidth="1"/>
    <col min="3079" max="3079" width="23.5703125" bestFit="1" customWidth="1"/>
    <col min="3080" max="3080" width="5.5703125" bestFit="1" customWidth="1"/>
    <col min="3081" max="3082" width="2.140625" bestFit="1" customWidth="1"/>
    <col min="3083" max="3083" width="4.5703125" bestFit="1" customWidth="1"/>
    <col min="3084" max="3084" width="7.85546875" bestFit="1" customWidth="1"/>
    <col min="3085" max="3085" width="7.5703125" bestFit="1" customWidth="1"/>
    <col min="3086" max="3086" width="15.42578125" bestFit="1" customWidth="1"/>
    <col min="3330" max="3330" width="26" bestFit="1" customWidth="1"/>
    <col min="3331" max="3331" width="21.42578125" bestFit="1" customWidth="1"/>
    <col min="3332" max="3332" width="10.5703125" bestFit="1" customWidth="1"/>
    <col min="3333" max="3333" width="8.42578125" bestFit="1" customWidth="1"/>
    <col min="3334" max="3334" width="22.7109375" bestFit="1" customWidth="1"/>
    <col min="3335" max="3335" width="23.5703125" bestFit="1" customWidth="1"/>
    <col min="3336" max="3336" width="5.5703125" bestFit="1" customWidth="1"/>
    <col min="3337" max="3338" width="2.140625" bestFit="1" customWidth="1"/>
    <col min="3339" max="3339" width="4.5703125" bestFit="1" customWidth="1"/>
    <col min="3340" max="3340" width="7.85546875" bestFit="1" customWidth="1"/>
    <col min="3341" max="3341" width="7.5703125" bestFit="1" customWidth="1"/>
    <col min="3342" max="3342" width="15.42578125" bestFit="1" customWidth="1"/>
    <col min="3586" max="3586" width="26" bestFit="1" customWidth="1"/>
    <col min="3587" max="3587" width="21.42578125" bestFit="1" customWidth="1"/>
    <col min="3588" max="3588" width="10.5703125" bestFit="1" customWidth="1"/>
    <col min="3589" max="3589" width="8.42578125" bestFit="1" customWidth="1"/>
    <col min="3590" max="3590" width="22.7109375" bestFit="1" customWidth="1"/>
    <col min="3591" max="3591" width="23.5703125" bestFit="1" customWidth="1"/>
    <col min="3592" max="3592" width="5.5703125" bestFit="1" customWidth="1"/>
    <col min="3593" max="3594" width="2.140625" bestFit="1" customWidth="1"/>
    <col min="3595" max="3595" width="4.5703125" bestFit="1" customWidth="1"/>
    <col min="3596" max="3596" width="7.85546875" bestFit="1" customWidth="1"/>
    <col min="3597" max="3597" width="7.5703125" bestFit="1" customWidth="1"/>
    <col min="3598" max="3598" width="15.42578125" bestFit="1" customWidth="1"/>
    <col min="3842" max="3842" width="26" bestFit="1" customWidth="1"/>
    <col min="3843" max="3843" width="21.42578125" bestFit="1" customWidth="1"/>
    <col min="3844" max="3844" width="10.5703125" bestFit="1" customWidth="1"/>
    <col min="3845" max="3845" width="8.42578125" bestFit="1" customWidth="1"/>
    <col min="3846" max="3846" width="22.7109375" bestFit="1" customWidth="1"/>
    <col min="3847" max="3847" width="23.5703125" bestFit="1" customWidth="1"/>
    <col min="3848" max="3848" width="5.5703125" bestFit="1" customWidth="1"/>
    <col min="3849" max="3850" width="2.140625" bestFit="1" customWidth="1"/>
    <col min="3851" max="3851" width="4.5703125" bestFit="1" customWidth="1"/>
    <col min="3852" max="3852" width="7.85546875" bestFit="1" customWidth="1"/>
    <col min="3853" max="3853" width="7.5703125" bestFit="1" customWidth="1"/>
    <col min="3854" max="3854" width="15.42578125" bestFit="1" customWidth="1"/>
    <col min="4098" max="4098" width="26" bestFit="1" customWidth="1"/>
    <col min="4099" max="4099" width="21.42578125" bestFit="1" customWidth="1"/>
    <col min="4100" max="4100" width="10.5703125" bestFit="1" customWidth="1"/>
    <col min="4101" max="4101" width="8.42578125" bestFit="1" customWidth="1"/>
    <col min="4102" max="4102" width="22.7109375" bestFit="1" customWidth="1"/>
    <col min="4103" max="4103" width="23.5703125" bestFit="1" customWidth="1"/>
    <col min="4104" max="4104" width="5.5703125" bestFit="1" customWidth="1"/>
    <col min="4105" max="4106" width="2.140625" bestFit="1" customWidth="1"/>
    <col min="4107" max="4107" width="4.5703125" bestFit="1" customWidth="1"/>
    <col min="4108" max="4108" width="7.85546875" bestFit="1" customWidth="1"/>
    <col min="4109" max="4109" width="7.5703125" bestFit="1" customWidth="1"/>
    <col min="4110" max="4110" width="15.42578125" bestFit="1" customWidth="1"/>
    <col min="4354" max="4354" width="26" bestFit="1" customWidth="1"/>
    <col min="4355" max="4355" width="21.42578125" bestFit="1" customWidth="1"/>
    <col min="4356" max="4356" width="10.5703125" bestFit="1" customWidth="1"/>
    <col min="4357" max="4357" width="8.42578125" bestFit="1" customWidth="1"/>
    <col min="4358" max="4358" width="22.7109375" bestFit="1" customWidth="1"/>
    <col min="4359" max="4359" width="23.5703125" bestFit="1" customWidth="1"/>
    <col min="4360" max="4360" width="5.5703125" bestFit="1" customWidth="1"/>
    <col min="4361" max="4362" width="2.140625" bestFit="1" customWidth="1"/>
    <col min="4363" max="4363" width="4.5703125" bestFit="1" customWidth="1"/>
    <col min="4364" max="4364" width="7.85546875" bestFit="1" customWidth="1"/>
    <col min="4365" max="4365" width="7.5703125" bestFit="1" customWidth="1"/>
    <col min="4366" max="4366" width="15.42578125" bestFit="1" customWidth="1"/>
    <col min="4610" max="4610" width="26" bestFit="1" customWidth="1"/>
    <col min="4611" max="4611" width="21.42578125" bestFit="1" customWidth="1"/>
    <col min="4612" max="4612" width="10.5703125" bestFit="1" customWidth="1"/>
    <col min="4613" max="4613" width="8.42578125" bestFit="1" customWidth="1"/>
    <col min="4614" max="4614" width="22.7109375" bestFit="1" customWidth="1"/>
    <col min="4615" max="4615" width="23.5703125" bestFit="1" customWidth="1"/>
    <col min="4616" max="4616" width="5.5703125" bestFit="1" customWidth="1"/>
    <col min="4617" max="4618" width="2.140625" bestFit="1" customWidth="1"/>
    <col min="4619" max="4619" width="4.5703125" bestFit="1" customWidth="1"/>
    <col min="4620" max="4620" width="7.85546875" bestFit="1" customWidth="1"/>
    <col min="4621" max="4621" width="7.5703125" bestFit="1" customWidth="1"/>
    <col min="4622" max="4622" width="15.42578125" bestFit="1" customWidth="1"/>
    <col min="4866" max="4866" width="26" bestFit="1" customWidth="1"/>
    <col min="4867" max="4867" width="21.42578125" bestFit="1" customWidth="1"/>
    <col min="4868" max="4868" width="10.5703125" bestFit="1" customWidth="1"/>
    <col min="4869" max="4869" width="8.42578125" bestFit="1" customWidth="1"/>
    <col min="4870" max="4870" width="22.7109375" bestFit="1" customWidth="1"/>
    <col min="4871" max="4871" width="23.5703125" bestFit="1" customWidth="1"/>
    <col min="4872" max="4872" width="5.5703125" bestFit="1" customWidth="1"/>
    <col min="4873" max="4874" width="2.140625" bestFit="1" customWidth="1"/>
    <col min="4875" max="4875" width="4.5703125" bestFit="1" customWidth="1"/>
    <col min="4876" max="4876" width="7.85546875" bestFit="1" customWidth="1"/>
    <col min="4877" max="4877" width="7.5703125" bestFit="1" customWidth="1"/>
    <col min="4878" max="4878" width="15.42578125" bestFit="1" customWidth="1"/>
    <col min="5122" max="5122" width="26" bestFit="1" customWidth="1"/>
    <col min="5123" max="5123" width="21.42578125" bestFit="1" customWidth="1"/>
    <col min="5124" max="5124" width="10.5703125" bestFit="1" customWidth="1"/>
    <col min="5125" max="5125" width="8.42578125" bestFit="1" customWidth="1"/>
    <col min="5126" max="5126" width="22.7109375" bestFit="1" customWidth="1"/>
    <col min="5127" max="5127" width="23.5703125" bestFit="1" customWidth="1"/>
    <col min="5128" max="5128" width="5.5703125" bestFit="1" customWidth="1"/>
    <col min="5129" max="5130" width="2.140625" bestFit="1" customWidth="1"/>
    <col min="5131" max="5131" width="4.5703125" bestFit="1" customWidth="1"/>
    <col min="5132" max="5132" width="7.85546875" bestFit="1" customWidth="1"/>
    <col min="5133" max="5133" width="7.5703125" bestFit="1" customWidth="1"/>
    <col min="5134" max="5134" width="15.42578125" bestFit="1" customWidth="1"/>
    <col min="5378" max="5378" width="26" bestFit="1" customWidth="1"/>
    <col min="5379" max="5379" width="21.42578125" bestFit="1" customWidth="1"/>
    <col min="5380" max="5380" width="10.5703125" bestFit="1" customWidth="1"/>
    <col min="5381" max="5381" width="8.42578125" bestFit="1" customWidth="1"/>
    <col min="5382" max="5382" width="22.7109375" bestFit="1" customWidth="1"/>
    <col min="5383" max="5383" width="23.5703125" bestFit="1" customWidth="1"/>
    <col min="5384" max="5384" width="5.5703125" bestFit="1" customWidth="1"/>
    <col min="5385" max="5386" width="2.140625" bestFit="1" customWidth="1"/>
    <col min="5387" max="5387" width="4.5703125" bestFit="1" customWidth="1"/>
    <col min="5388" max="5388" width="7.85546875" bestFit="1" customWidth="1"/>
    <col min="5389" max="5389" width="7.5703125" bestFit="1" customWidth="1"/>
    <col min="5390" max="5390" width="15.42578125" bestFit="1" customWidth="1"/>
    <col min="5634" max="5634" width="26" bestFit="1" customWidth="1"/>
    <col min="5635" max="5635" width="21.42578125" bestFit="1" customWidth="1"/>
    <col min="5636" max="5636" width="10.5703125" bestFit="1" customWidth="1"/>
    <col min="5637" max="5637" width="8.42578125" bestFit="1" customWidth="1"/>
    <col min="5638" max="5638" width="22.7109375" bestFit="1" customWidth="1"/>
    <col min="5639" max="5639" width="23.5703125" bestFit="1" customWidth="1"/>
    <col min="5640" max="5640" width="5.5703125" bestFit="1" customWidth="1"/>
    <col min="5641" max="5642" width="2.140625" bestFit="1" customWidth="1"/>
    <col min="5643" max="5643" width="4.5703125" bestFit="1" customWidth="1"/>
    <col min="5644" max="5644" width="7.85546875" bestFit="1" customWidth="1"/>
    <col min="5645" max="5645" width="7.5703125" bestFit="1" customWidth="1"/>
    <col min="5646" max="5646" width="15.42578125" bestFit="1" customWidth="1"/>
    <col min="5890" max="5890" width="26" bestFit="1" customWidth="1"/>
    <col min="5891" max="5891" width="21.42578125" bestFit="1" customWidth="1"/>
    <col min="5892" max="5892" width="10.5703125" bestFit="1" customWidth="1"/>
    <col min="5893" max="5893" width="8.42578125" bestFit="1" customWidth="1"/>
    <col min="5894" max="5894" width="22.7109375" bestFit="1" customWidth="1"/>
    <col min="5895" max="5895" width="23.5703125" bestFit="1" customWidth="1"/>
    <col min="5896" max="5896" width="5.5703125" bestFit="1" customWidth="1"/>
    <col min="5897" max="5898" width="2.140625" bestFit="1" customWidth="1"/>
    <col min="5899" max="5899" width="4.5703125" bestFit="1" customWidth="1"/>
    <col min="5900" max="5900" width="7.85546875" bestFit="1" customWidth="1"/>
    <col min="5901" max="5901" width="7.5703125" bestFit="1" customWidth="1"/>
    <col min="5902" max="5902" width="15.42578125" bestFit="1" customWidth="1"/>
    <col min="6146" max="6146" width="26" bestFit="1" customWidth="1"/>
    <col min="6147" max="6147" width="21.42578125" bestFit="1" customWidth="1"/>
    <col min="6148" max="6148" width="10.5703125" bestFit="1" customWidth="1"/>
    <col min="6149" max="6149" width="8.42578125" bestFit="1" customWidth="1"/>
    <col min="6150" max="6150" width="22.7109375" bestFit="1" customWidth="1"/>
    <col min="6151" max="6151" width="23.5703125" bestFit="1" customWidth="1"/>
    <col min="6152" max="6152" width="5.5703125" bestFit="1" customWidth="1"/>
    <col min="6153" max="6154" width="2.140625" bestFit="1" customWidth="1"/>
    <col min="6155" max="6155" width="4.5703125" bestFit="1" customWidth="1"/>
    <col min="6156" max="6156" width="7.85546875" bestFit="1" customWidth="1"/>
    <col min="6157" max="6157" width="7.5703125" bestFit="1" customWidth="1"/>
    <col min="6158" max="6158" width="15.42578125" bestFit="1" customWidth="1"/>
    <col min="6402" max="6402" width="26" bestFit="1" customWidth="1"/>
    <col min="6403" max="6403" width="21.42578125" bestFit="1" customWidth="1"/>
    <col min="6404" max="6404" width="10.5703125" bestFit="1" customWidth="1"/>
    <col min="6405" max="6405" width="8.42578125" bestFit="1" customWidth="1"/>
    <col min="6406" max="6406" width="22.7109375" bestFit="1" customWidth="1"/>
    <col min="6407" max="6407" width="23.5703125" bestFit="1" customWidth="1"/>
    <col min="6408" max="6408" width="5.5703125" bestFit="1" customWidth="1"/>
    <col min="6409" max="6410" width="2.140625" bestFit="1" customWidth="1"/>
    <col min="6411" max="6411" width="4.5703125" bestFit="1" customWidth="1"/>
    <col min="6412" max="6412" width="7.85546875" bestFit="1" customWidth="1"/>
    <col min="6413" max="6413" width="7.5703125" bestFit="1" customWidth="1"/>
    <col min="6414" max="6414" width="15.42578125" bestFit="1" customWidth="1"/>
    <col min="6658" max="6658" width="26" bestFit="1" customWidth="1"/>
    <col min="6659" max="6659" width="21.42578125" bestFit="1" customWidth="1"/>
    <col min="6660" max="6660" width="10.5703125" bestFit="1" customWidth="1"/>
    <col min="6661" max="6661" width="8.42578125" bestFit="1" customWidth="1"/>
    <col min="6662" max="6662" width="22.7109375" bestFit="1" customWidth="1"/>
    <col min="6663" max="6663" width="23.5703125" bestFit="1" customWidth="1"/>
    <col min="6664" max="6664" width="5.5703125" bestFit="1" customWidth="1"/>
    <col min="6665" max="6666" width="2.140625" bestFit="1" customWidth="1"/>
    <col min="6667" max="6667" width="4.5703125" bestFit="1" customWidth="1"/>
    <col min="6668" max="6668" width="7.85546875" bestFit="1" customWidth="1"/>
    <col min="6669" max="6669" width="7.5703125" bestFit="1" customWidth="1"/>
    <col min="6670" max="6670" width="15.42578125" bestFit="1" customWidth="1"/>
    <col min="6914" max="6914" width="26" bestFit="1" customWidth="1"/>
    <col min="6915" max="6915" width="21.42578125" bestFit="1" customWidth="1"/>
    <col min="6916" max="6916" width="10.5703125" bestFit="1" customWidth="1"/>
    <col min="6917" max="6917" width="8.42578125" bestFit="1" customWidth="1"/>
    <col min="6918" max="6918" width="22.7109375" bestFit="1" customWidth="1"/>
    <col min="6919" max="6919" width="23.5703125" bestFit="1" customWidth="1"/>
    <col min="6920" max="6920" width="5.5703125" bestFit="1" customWidth="1"/>
    <col min="6921" max="6922" width="2.140625" bestFit="1" customWidth="1"/>
    <col min="6923" max="6923" width="4.5703125" bestFit="1" customWidth="1"/>
    <col min="6924" max="6924" width="7.85546875" bestFit="1" customWidth="1"/>
    <col min="6925" max="6925" width="7.5703125" bestFit="1" customWidth="1"/>
    <col min="6926" max="6926" width="15.42578125" bestFit="1" customWidth="1"/>
    <col min="7170" max="7170" width="26" bestFit="1" customWidth="1"/>
    <col min="7171" max="7171" width="21.42578125" bestFit="1" customWidth="1"/>
    <col min="7172" max="7172" width="10.5703125" bestFit="1" customWidth="1"/>
    <col min="7173" max="7173" width="8.42578125" bestFit="1" customWidth="1"/>
    <col min="7174" max="7174" width="22.7109375" bestFit="1" customWidth="1"/>
    <col min="7175" max="7175" width="23.5703125" bestFit="1" customWidth="1"/>
    <col min="7176" max="7176" width="5.5703125" bestFit="1" customWidth="1"/>
    <col min="7177" max="7178" width="2.140625" bestFit="1" customWidth="1"/>
    <col min="7179" max="7179" width="4.5703125" bestFit="1" customWidth="1"/>
    <col min="7180" max="7180" width="7.85546875" bestFit="1" customWidth="1"/>
    <col min="7181" max="7181" width="7.5703125" bestFit="1" customWidth="1"/>
    <col min="7182" max="7182" width="15.42578125" bestFit="1" customWidth="1"/>
    <col min="7426" max="7426" width="26" bestFit="1" customWidth="1"/>
    <col min="7427" max="7427" width="21.42578125" bestFit="1" customWidth="1"/>
    <col min="7428" max="7428" width="10.5703125" bestFit="1" customWidth="1"/>
    <col min="7429" max="7429" width="8.42578125" bestFit="1" customWidth="1"/>
    <col min="7430" max="7430" width="22.7109375" bestFit="1" customWidth="1"/>
    <col min="7431" max="7431" width="23.5703125" bestFit="1" customWidth="1"/>
    <col min="7432" max="7432" width="5.5703125" bestFit="1" customWidth="1"/>
    <col min="7433" max="7434" width="2.140625" bestFit="1" customWidth="1"/>
    <col min="7435" max="7435" width="4.5703125" bestFit="1" customWidth="1"/>
    <col min="7436" max="7436" width="7.85546875" bestFit="1" customWidth="1"/>
    <col min="7437" max="7437" width="7.5703125" bestFit="1" customWidth="1"/>
    <col min="7438" max="7438" width="15.42578125" bestFit="1" customWidth="1"/>
    <col min="7682" max="7682" width="26" bestFit="1" customWidth="1"/>
    <col min="7683" max="7683" width="21.42578125" bestFit="1" customWidth="1"/>
    <col min="7684" max="7684" width="10.5703125" bestFit="1" customWidth="1"/>
    <col min="7685" max="7685" width="8.42578125" bestFit="1" customWidth="1"/>
    <col min="7686" max="7686" width="22.7109375" bestFit="1" customWidth="1"/>
    <col min="7687" max="7687" width="23.5703125" bestFit="1" customWidth="1"/>
    <col min="7688" max="7688" width="5.5703125" bestFit="1" customWidth="1"/>
    <col min="7689" max="7690" width="2.140625" bestFit="1" customWidth="1"/>
    <col min="7691" max="7691" width="4.5703125" bestFit="1" customWidth="1"/>
    <col min="7692" max="7692" width="7.85546875" bestFit="1" customWidth="1"/>
    <col min="7693" max="7693" width="7.5703125" bestFit="1" customWidth="1"/>
    <col min="7694" max="7694" width="15.42578125" bestFit="1" customWidth="1"/>
    <col min="7938" max="7938" width="26" bestFit="1" customWidth="1"/>
    <col min="7939" max="7939" width="21.42578125" bestFit="1" customWidth="1"/>
    <col min="7940" max="7940" width="10.5703125" bestFit="1" customWidth="1"/>
    <col min="7941" max="7941" width="8.42578125" bestFit="1" customWidth="1"/>
    <col min="7942" max="7942" width="22.7109375" bestFit="1" customWidth="1"/>
    <col min="7943" max="7943" width="23.5703125" bestFit="1" customWidth="1"/>
    <col min="7944" max="7944" width="5.5703125" bestFit="1" customWidth="1"/>
    <col min="7945" max="7946" width="2.140625" bestFit="1" customWidth="1"/>
    <col min="7947" max="7947" width="4.5703125" bestFit="1" customWidth="1"/>
    <col min="7948" max="7948" width="7.85546875" bestFit="1" customWidth="1"/>
    <col min="7949" max="7949" width="7.5703125" bestFit="1" customWidth="1"/>
    <col min="7950" max="7950" width="15.42578125" bestFit="1" customWidth="1"/>
    <col min="8194" max="8194" width="26" bestFit="1" customWidth="1"/>
    <col min="8195" max="8195" width="21.42578125" bestFit="1" customWidth="1"/>
    <col min="8196" max="8196" width="10.5703125" bestFit="1" customWidth="1"/>
    <col min="8197" max="8197" width="8.42578125" bestFit="1" customWidth="1"/>
    <col min="8198" max="8198" width="22.7109375" bestFit="1" customWidth="1"/>
    <col min="8199" max="8199" width="23.5703125" bestFit="1" customWidth="1"/>
    <col min="8200" max="8200" width="5.5703125" bestFit="1" customWidth="1"/>
    <col min="8201" max="8202" width="2.140625" bestFit="1" customWidth="1"/>
    <col min="8203" max="8203" width="4.5703125" bestFit="1" customWidth="1"/>
    <col min="8204" max="8204" width="7.85546875" bestFit="1" customWidth="1"/>
    <col min="8205" max="8205" width="7.5703125" bestFit="1" customWidth="1"/>
    <col min="8206" max="8206" width="15.42578125" bestFit="1" customWidth="1"/>
    <col min="8450" max="8450" width="26" bestFit="1" customWidth="1"/>
    <col min="8451" max="8451" width="21.42578125" bestFit="1" customWidth="1"/>
    <col min="8452" max="8452" width="10.5703125" bestFit="1" customWidth="1"/>
    <col min="8453" max="8453" width="8.42578125" bestFit="1" customWidth="1"/>
    <col min="8454" max="8454" width="22.7109375" bestFit="1" customWidth="1"/>
    <col min="8455" max="8455" width="23.5703125" bestFit="1" customWidth="1"/>
    <col min="8456" max="8456" width="5.5703125" bestFit="1" customWidth="1"/>
    <col min="8457" max="8458" width="2.140625" bestFit="1" customWidth="1"/>
    <col min="8459" max="8459" width="4.5703125" bestFit="1" customWidth="1"/>
    <col min="8460" max="8460" width="7.85546875" bestFit="1" customWidth="1"/>
    <col min="8461" max="8461" width="7.5703125" bestFit="1" customWidth="1"/>
    <col min="8462" max="8462" width="15.42578125" bestFit="1" customWidth="1"/>
    <col min="8706" max="8706" width="26" bestFit="1" customWidth="1"/>
    <col min="8707" max="8707" width="21.42578125" bestFit="1" customWidth="1"/>
    <col min="8708" max="8708" width="10.5703125" bestFit="1" customWidth="1"/>
    <col min="8709" max="8709" width="8.42578125" bestFit="1" customWidth="1"/>
    <col min="8710" max="8710" width="22.7109375" bestFit="1" customWidth="1"/>
    <col min="8711" max="8711" width="23.5703125" bestFit="1" customWidth="1"/>
    <col min="8712" max="8712" width="5.5703125" bestFit="1" customWidth="1"/>
    <col min="8713" max="8714" width="2.140625" bestFit="1" customWidth="1"/>
    <col min="8715" max="8715" width="4.5703125" bestFit="1" customWidth="1"/>
    <col min="8716" max="8716" width="7.85546875" bestFit="1" customWidth="1"/>
    <col min="8717" max="8717" width="7.5703125" bestFit="1" customWidth="1"/>
    <col min="8718" max="8718" width="15.42578125" bestFit="1" customWidth="1"/>
    <col min="8962" max="8962" width="26" bestFit="1" customWidth="1"/>
    <col min="8963" max="8963" width="21.42578125" bestFit="1" customWidth="1"/>
    <col min="8964" max="8964" width="10.5703125" bestFit="1" customWidth="1"/>
    <col min="8965" max="8965" width="8.42578125" bestFit="1" customWidth="1"/>
    <col min="8966" max="8966" width="22.7109375" bestFit="1" customWidth="1"/>
    <col min="8967" max="8967" width="23.5703125" bestFit="1" customWidth="1"/>
    <col min="8968" max="8968" width="5.5703125" bestFit="1" customWidth="1"/>
    <col min="8969" max="8970" width="2.140625" bestFit="1" customWidth="1"/>
    <col min="8971" max="8971" width="4.5703125" bestFit="1" customWidth="1"/>
    <col min="8972" max="8972" width="7.85546875" bestFit="1" customWidth="1"/>
    <col min="8973" max="8973" width="7.5703125" bestFit="1" customWidth="1"/>
    <col min="8974" max="8974" width="15.42578125" bestFit="1" customWidth="1"/>
    <col min="9218" max="9218" width="26" bestFit="1" customWidth="1"/>
    <col min="9219" max="9219" width="21.42578125" bestFit="1" customWidth="1"/>
    <col min="9220" max="9220" width="10.5703125" bestFit="1" customWidth="1"/>
    <col min="9221" max="9221" width="8.42578125" bestFit="1" customWidth="1"/>
    <col min="9222" max="9222" width="22.7109375" bestFit="1" customWidth="1"/>
    <col min="9223" max="9223" width="23.5703125" bestFit="1" customWidth="1"/>
    <col min="9224" max="9224" width="5.5703125" bestFit="1" customWidth="1"/>
    <col min="9225" max="9226" width="2.140625" bestFit="1" customWidth="1"/>
    <col min="9227" max="9227" width="4.5703125" bestFit="1" customWidth="1"/>
    <col min="9228" max="9228" width="7.85546875" bestFit="1" customWidth="1"/>
    <col min="9229" max="9229" width="7.5703125" bestFit="1" customWidth="1"/>
    <col min="9230" max="9230" width="15.42578125" bestFit="1" customWidth="1"/>
    <col min="9474" max="9474" width="26" bestFit="1" customWidth="1"/>
    <col min="9475" max="9475" width="21.42578125" bestFit="1" customWidth="1"/>
    <col min="9476" max="9476" width="10.5703125" bestFit="1" customWidth="1"/>
    <col min="9477" max="9477" width="8.42578125" bestFit="1" customWidth="1"/>
    <col min="9478" max="9478" width="22.7109375" bestFit="1" customWidth="1"/>
    <col min="9479" max="9479" width="23.5703125" bestFit="1" customWidth="1"/>
    <col min="9480" max="9480" width="5.5703125" bestFit="1" customWidth="1"/>
    <col min="9481" max="9482" width="2.140625" bestFit="1" customWidth="1"/>
    <col min="9483" max="9483" width="4.5703125" bestFit="1" customWidth="1"/>
    <col min="9484" max="9484" width="7.85546875" bestFit="1" customWidth="1"/>
    <col min="9485" max="9485" width="7.5703125" bestFit="1" customWidth="1"/>
    <col min="9486" max="9486" width="15.42578125" bestFit="1" customWidth="1"/>
    <col min="9730" max="9730" width="26" bestFit="1" customWidth="1"/>
    <col min="9731" max="9731" width="21.42578125" bestFit="1" customWidth="1"/>
    <col min="9732" max="9732" width="10.5703125" bestFit="1" customWidth="1"/>
    <col min="9733" max="9733" width="8.42578125" bestFit="1" customWidth="1"/>
    <col min="9734" max="9734" width="22.7109375" bestFit="1" customWidth="1"/>
    <col min="9735" max="9735" width="23.5703125" bestFit="1" customWidth="1"/>
    <col min="9736" max="9736" width="5.5703125" bestFit="1" customWidth="1"/>
    <col min="9737" max="9738" width="2.140625" bestFit="1" customWidth="1"/>
    <col min="9739" max="9739" width="4.5703125" bestFit="1" customWidth="1"/>
    <col min="9740" max="9740" width="7.85546875" bestFit="1" customWidth="1"/>
    <col min="9741" max="9741" width="7.5703125" bestFit="1" customWidth="1"/>
    <col min="9742" max="9742" width="15.42578125" bestFit="1" customWidth="1"/>
    <col min="9986" max="9986" width="26" bestFit="1" customWidth="1"/>
    <col min="9987" max="9987" width="21.42578125" bestFit="1" customWidth="1"/>
    <col min="9988" max="9988" width="10.5703125" bestFit="1" customWidth="1"/>
    <col min="9989" max="9989" width="8.42578125" bestFit="1" customWidth="1"/>
    <col min="9990" max="9990" width="22.7109375" bestFit="1" customWidth="1"/>
    <col min="9991" max="9991" width="23.5703125" bestFit="1" customWidth="1"/>
    <col min="9992" max="9992" width="5.5703125" bestFit="1" customWidth="1"/>
    <col min="9993" max="9994" width="2.140625" bestFit="1" customWidth="1"/>
    <col min="9995" max="9995" width="4.5703125" bestFit="1" customWidth="1"/>
    <col min="9996" max="9996" width="7.85546875" bestFit="1" customWidth="1"/>
    <col min="9997" max="9997" width="7.5703125" bestFit="1" customWidth="1"/>
    <col min="9998" max="9998" width="15.42578125" bestFit="1" customWidth="1"/>
    <col min="10242" max="10242" width="26" bestFit="1" customWidth="1"/>
    <col min="10243" max="10243" width="21.42578125" bestFit="1" customWidth="1"/>
    <col min="10244" max="10244" width="10.5703125" bestFit="1" customWidth="1"/>
    <col min="10245" max="10245" width="8.42578125" bestFit="1" customWidth="1"/>
    <col min="10246" max="10246" width="22.7109375" bestFit="1" customWidth="1"/>
    <col min="10247" max="10247" width="23.5703125" bestFit="1" customWidth="1"/>
    <col min="10248" max="10248" width="5.5703125" bestFit="1" customWidth="1"/>
    <col min="10249" max="10250" width="2.140625" bestFit="1" customWidth="1"/>
    <col min="10251" max="10251" width="4.5703125" bestFit="1" customWidth="1"/>
    <col min="10252" max="10252" width="7.85546875" bestFit="1" customWidth="1"/>
    <col min="10253" max="10253" width="7.5703125" bestFit="1" customWidth="1"/>
    <col min="10254" max="10254" width="15.42578125" bestFit="1" customWidth="1"/>
    <col min="10498" max="10498" width="26" bestFit="1" customWidth="1"/>
    <col min="10499" max="10499" width="21.42578125" bestFit="1" customWidth="1"/>
    <col min="10500" max="10500" width="10.5703125" bestFit="1" customWidth="1"/>
    <col min="10501" max="10501" width="8.42578125" bestFit="1" customWidth="1"/>
    <col min="10502" max="10502" width="22.7109375" bestFit="1" customWidth="1"/>
    <col min="10503" max="10503" width="23.5703125" bestFit="1" customWidth="1"/>
    <col min="10504" max="10504" width="5.5703125" bestFit="1" customWidth="1"/>
    <col min="10505" max="10506" width="2.140625" bestFit="1" customWidth="1"/>
    <col min="10507" max="10507" width="4.5703125" bestFit="1" customWidth="1"/>
    <col min="10508" max="10508" width="7.85546875" bestFit="1" customWidth="1"/>
    <col min="10509" max="10509" width="7.5703125" bestFit="1" customWidth="1"/>
    <col min="10510" max="10510" width="15.42578125" bestFit="1" customWidth="1"/>
    <col min="10754" max="10754" width="26" bestFit="1" customWidth="1"/>
    <col min="10755" max="10755" width="21.42578125" bestFit="1" customWidth="1"/>
    <col min="10756" max="10756" width="10.5703125" bestFit="1" customWidth="1"/>
    <col min="10757" max="10757" width="8.42578125" bestFit="1" customWidth="1"/>
    <col min="10758" max="10758" width="22.7109375" bestFit="1" customWidth="1"/>
    <col min="10759" max="10759" width="23.5703125" bestFit="1" customWidth="1"/>
    <col min="10760" max="10760" width="5.5703125" bestFit="1" customWidth="1"/>
    <col min="10761" max="10762" width="2.140625" bestFit="1" customWidth="1"/>
    <col min="10763" max="10763" width="4.5703125" bestFit="1" customWidth="1"/>
    <col min="10764" max="10764" width="7.85546875" bestFit="1" customWidth="1"/>
    <col min="10765" max="10765" width="7.5703125" bestFit="1" customWidth="1"/>
    <col min="10766" max="10766" width="15.42578125" bestFit="1" customWidth="1"/>
    <col min="11010" max="11010" width="26" bestFit="1" customWidth="1"/>
    <col min="11011" max="11011" width="21.42578125" bestFit="1" customWidth="1"/>
    <col min="11012" max="11012" width="10.5703125" bestFit="1" customWidth="1"/>
    <col min="11013" max="11013" width="8.42578125" bestFit="1" customWidth="1"/>
    <col min="11014" max="11014" width="22.7109375" bestFit="1" customWidth="1"/>
    <col min="11015" max="11015" width="23.5703125" bestFit="1" customWidth="1"/>
    <col min="11016" max="11016" width="5.5703125" bestFit="1" customWidth="1"/>
    <col min="11017" max="11018" width="2.140625" bestFit="1" customWidth="1"/>
    <col min="11019" max="11019" width="4.5703125" bestFit="1" customWidth="1"/>
    <col min="11020" max="11020" width="7.85546875" bestFit="1" customWidth="1"/>
    <col min="11021" max="11021" width="7.5703125" bestFit="1" customWidth="1"/>
    <col min="11022" max="11022" width="15.42578125" bestFit="1" customWidth="1"/>
    <col min="11266" max="11266" width="26" bestFit="1" customWidth="1"/>
    <col min="11267" max="11267" width="21.42578125" bestFit="1" customWidth="1"/>
    <col min="11268" max="11268" width="10.5703125" bestFit="1" customWidth="1"/>
    <col min="11269" max="11269" width="8.42578125" bestFit="1" customWidth="1"/>
    <col min="11270" max="11270" width="22.7109375" bestFit="1" customWidth="1"/>
    <col min="11271" max="11271" width="23.5703125" bestFit="1" customWidth="1"/>
    <col min="11272" max="11272" width="5.5703125" bestFit="1" customWidth="1"/>
    <col min="11273" max="11274" width="2.140625" bestFit="1" customWidth="1"/>
    <col min="11275" max="11275" width="4.5703125" bestFit="1" customWidth="1"/>
    <col min="11276" max="11276" width="7.85546875" bestFit="1" customWidth="1"/>
    <col min="11277" max="11277" width="7.5703125" bestFit="1" customWidth="1"/>
    <col min="11278" max="11278" width="15.42578125" bestFit="1" customWidth="1"/>
    <col min="11522" max="11522" width="26" bestFit="1" customWidth="1"/>
    <col min="11523" max="11523" width="21.42578125" bestFit="1" customWidth="1"/>
    <col min="11524" max="11524" width="10.5703125" bestFit="1" customWidth="1"/>
    <col min="11525" max="11525" width="8.42578125" bestFit="1" customWidth="1"/>
    <col min="11526" max="11526" width="22.7109375" bestFit="1" customWidth="1"/>
    <col min="11527" max="11527" width="23.5703125" bestFit="1" customWidth="1"/>
    <col min="11528" max="11528" width="5.5703125" bestFit="1" customWidth="1"/>
    <col min="11529" max="11530" width="2.140625" bestFit="1" customWidth="1"/>
    <col min="11531" max="11531" width="4.5703125" bestFit="1" customWidth="1"/>
    <col min="11532" max="11532" width="7.85546875" bestFit="1" customWidth="1"/>
    <col min="11533" max="11533" width="7.5703125" bestFit="1" customWidth="1"/>
    <col min="11534" max="11534" width="15.42578125" bestFit="1" customWidth="1"/>
    <col min="11778" max="11778" width="26" bestFit="1" customWidth="1"/>
    <col min="11779" max="11779" width="21.42578125" bestFit="1" customWidth="1"/>
    <col min="11780" max="11780" width="10.5703125" bestFit="1" customWidth="1"/>
    <col min="11781" max="11781" width="8.42578125" bestFit="1" customWidth="1"/>
    <col min="11782" max="11782" width="22.7109375" bestFit="1" customWidth="1"/>
    <col min="11783" max="11783" width="23.5703125" bestFit="1" customWidth="1"/>
    <col min="11784" max="11784" width="5.5703125" bestFit="1" customWidth="1"/>
    <col min="11785" max="11786" width="2.140625" bestFit="1" customWidth="1"/>
    <col min="11787" max="11787" width="4.5703125" bestFit="1" customWidth="1"/>
    <col min="11788" max="11788" width="7.85546875" bestFit="1" customWidth="1"/>
    <col min="11789" max="11789" width="7.5703125" bestFit="1" customWidth="1"/>
    <col min="11790" max="11790" width="15.42578125" bestFit="1" customWidth="1"/>
    <col min="12034" max="12034" width="26" bestFit="1" customWidth="1"/>
    <col min="12035" max="12035" width="21.42578125" bestFit="1" customWidth="1"/>
    <col min="12036" max="12036" width="10.5703125" bestFit="1" customWidth="1"/>
    <col min="12037" max="12037" width="8.42578125" bestFit="1" customWidth="1"/>
    <col min="12038" max="12038" width="22.7109375" bestFit="1" customWidth="1"/>
    <col min="12039" max="12039" width="23.5703125" bestFit="1" customWidth="1"/>
    <col min="12040" max="12040" width="5.5703125" bestFit="1" customWidth="1"/>
    <col min="12041" max="12042" width="2.140625" bestFit="1" customWidth="1"/>
    <col min="12043" max="12043" width="4.5703125" bestFit="1" customWidth="1"/>
    <col min="12044" max="12044" width="7.85546875" bestFit="1" customWidth="1"/>
    <col min="12045" max="12045" width="7.5703125" bestFit="1" customWidth="1"/>
    <col min="12046" max="12046" width="15.42578125" bestFit="1" customWidth="1"/>
    <col min="12290" max="12290" width="26" bestFit="1" customWidth="1"/>
    <col min="12291" max="12291" width="21.42578125" bestFit="1" customWidth="1"/>
    <col min="12292" max="12292" width="10.5703125" bestFit="1" customWidth="1"/>
    <col min="12293" max="12293" width="8.42578125" bestFit="1" customWidth="1"/>
    <col min="12294" max="12294" width="22.7109375" bestFit="1" customWidth="1"/>
    <col min="12295" max="12295" width="23.5703125" bestFit="1" customWidth="1"/>
    <col min="12296" max="12296" width="5.5703125" bestFit="1" customWidth="1"/>
    <col min="12297" max="12298" width="2.140625" bestFit="1" customWidth="1"/>
    <col min="12299" max="12299" width="4.5703125" bestFit="1" customWidth="1"/>
    <col min="12300" max="12300" width="7.85546875" bestFit="1" customWidth="1"/>
    <col min="12301" max="12301" width="7.5703125" bestFit="1" customWidth="1"/>
    <col min="12302" max="12302" width="15.42578125" bestFit="1" customWidth="1"/>
    <col min="12546" max="12546" width="26" bestFit="1" customWidth="1"/>
    <col min="12547" max="12547" width="21.42578125" bestFit="1" customWidth="1"/>
    <col min="12548" max="12548" width="10.5703125" bestFit="1" customWidth="1"/>
    <col min="12549" max="12549" width="8.42578125" bestFit="1" customWidth="1"/>
    <col min="12550" max="12550" width="22.7109375" bestFit="1" customWidth="1"/>
    <col min="12551" max="12551" width="23.5703125" bestFit="1" customWidth="1"/>
    <col min="12552" max="12552" width="5.5703125" bestFit="1" customWidth="1"/>
    <col min="12553" max="12554" width="2.140625" bestFit="1" customWidth="1"/>
    <col min="12555" max="12555" width="4.5703125" bestFit="1" customWidth="1"/>
    <col min="12556" max="12556" width="7.85546875" bestFit="1" customWidth="1"/>
    <col min="12557" max="12557" width="7.5703125" bestFit="1" customWidth="1"/>
    <col min="12558" max="12558" width="15.42578125" bestFit="1" customWidth="1"/>
    <col min="12802" max="12802" width="26" bestFit="1" customWidth="1"/>
    <col min="12803" max="12803" width="21.42578125" bestFit="1" customWidth="1"/>
    <col min="12804" max="12804" width="10.5703125" bestFit="1" customWidth="1"/>
    <col min="12805" max="12805" width="8.42578125" bestFit="1" customWidth="1"/>
    <col min="12806" max="12806" width="22.7109375" bestFit="1" customWidth="1"/>
    <col min="12807" max="12807" width="23.5703125" bestFit="1" customWidth="1"/>
    <col min="12808" max="12808" width="5.5703125" bestFit="1" customWidth="1"/>
    <col min="12809" max="12810" width="2.140625" bestFit="1" customWidth="1"/>
    <col min="12811" max="12811" width="4.5703125" bestFit="1" customWidth="1"/>
    <col min="12812" max="12812" width="7.85546875" bestFit="1" customWidth="1"/>
    <col min="12813" max="12813" width="7.5703125" bestFit="1" customWidth="1"/>
    <col min="12814" max="12814" width="15.42578125" bestFit="1" customWidth="1"/>
    <col min="13058" max="13058" width="26" bestFit="1" customWidth="1"/>
    <col min="13059" max="13059" width="21.42578125" bestFit="1" customWidth="1"/>
    <col min="13060" max="13060" width="10.5703125" bestFit="1" customWidth="1"/>
    <col min="13061" max="13061" width="8.42578125" bestFit="1" customWidth="1"/>
    <col min="13062" max="13062" width="22.7109375" bestFit="1" customWidth="1"/>
    <col min="13063" max="13063" width="23.5703125" bestFit="1" customWidth="1"/>
    <col min="13064" max="13064" width="5.5703125" bestFit="1" customWidth="1"/>
    <col min="13065" max="13066" width="2.140625" bestFit="1" customWidth="1"/>
    <col min="13067" max="13067" width="4.5703125" bestFit="1" customWidth="1"/>
    <col min="13068" max="13068" width="7.85546875" bestFit="1" customWidth="1"/>
    <col min="13069" max="13069" width="7.5703125" bestFit="1" customWidth="1"/>
    <col min="13070" max="13070" width="15.42578125" bestFit="1" customWidth="1"/>
    <col min="13314" max="13314" width="26" bestFit="1" customWidth="1"/>
    <col min="13315" max="13315" width="21.42578125" bestFit="1" customWidth="1"/>
    <col min="13316" max="13316" width="10.5703125" bestFit="1" customWidth="1"/>
    <col min="13317" max="13317" width="8.42578125" bestFit="1" customWidth="1"/>
    <col min="13318" max="13318" width="22.7109375" bestFit="1" customWidth="1"/>
    <col min="13319" max="13319" width="23.5703125" bestFit="1" customWidth="1"/>
    <col min="13320" max="13320" width="5.5703125" bestFit="1" customWidth="1"/>
    <col min="13321" max="13322" width="2.140625" bestFit="1" customWidth="1"/>
    <col min="13323" max="13323" width="4.5703125" bestFit="1" customWidth="1"/>
    <col min="13324" max="13324" width="7.85546875" bestFit="1" customWidth="1"/>
    <col min="13325" max="13325" width="7.5703125" bestFit="1" customWidth="1"/>
    <col min="13326" max="13326" width="15.42578125" bestFit="1" customWidth="1"/>
    <col min="13570" max="13570" width="26" bestFit="1" customWidth="1"/>
    <col min="13571" max="13571" width="21.42578125" bestFit="1" customWidth="1"/>
    <col min="13572" max="13572" width="10.5703125" bestFit="1" customWidth="1"/>
    <col min="13573" max="13573" width="8.42578125" bestFit="1" customWidth="1"/>
    <col min="13574" max="13574" width="22.7109375" bestFit="1" customWidth="1"/>
    <col min="13575" max="13575" width="23.5703125" bestFit="1" customWidth="1"/>
    <col min="13576" max="13576" width="5.5703125" bestFit="1" customWidth="1"/>
    <col min="13577" max="13578" width="2.140625" bestFit="1" customWidth="1"/>
    <col min="13579" max="13579" width="4.5703125" bestFit="1" customWidth="1"/>
    <col min="13580" max="13580" width="7.85546875" bestFit="1" customWidth="1"/>
    <col min="13581" max="13581" width="7.5703125" bestFit="1" customWidth="1"/>
    <col min="13582" max="13582" width="15.42578125" bestFit="1" customWidth="1"/>
    <col min="13826" max="13826" width="26" bestFit="1" customWidth="1"/>
    <col min="13827" max="13827" width="21.42578125" bestFit="1" customWidth="1"/>
    <col min="13828" max="13828" width="10.5703125" bestFit="1" customWidth="1"/>
    <col min="13829" max="13829" width="8.42578125" bestFit="1" customWidth="1"/>
    <col min="13830" max="13830" width="22.7109375" bestFit="1" customWidth="1"/>
    <col min="13831" max="13831" width="23.5703125" bestFit="1" customWidth="1"/>
    <col min="13832" max="13832" width="5.5703125" bestFit="1" customWidth="1"/>
    <col min="13833" max="13834" width="2.140625" bestFit="1" customWidth="1"/>
    <col min="13835" max="13835" width="4.5703125" bestFit="1" customWidth="1"/>
    <col min="13836" max="13836" width="7.85546875" bestFit="1" customWidth="1"/>
    <col min="13837" max="13837" width="7.5703125" bestFit="1" customWidth="1"/>
    <col min="13838" max="13838" width="15.42578125" bestFit="1" customWidth="1"/>
    <col min="14082" max="14082" width="26" bestFit="1" customWidth="1"/>
    <col min="14083" max="14083" width="21.42578125" bestFit="1" customWidth="1"/>
    <col min="14084" max="14084" width="10.5703125" bestFit="1" customWidth="1"/>
    <col min="14085" max="14085" width="8.42578125" bestFit="1" customWidth="1"/>
    <col min="14086" max="14086" width="22.7109375" bestFit="1" customWidth="1"/>
    <col min="14087" max="14087" width="23.5703125" bestFit="1" customWidth="1"/>
    <col min="14088" max="14088" width="5.5703125" bestFit="1" customWidth="1"/>
    <col min="14089" max="14090" width="2.140625" bestFit="1" customWidth="1"/>
    <col min="14091" max="14091" width="4.5703125" bestFit="1" customWidth="1"/>
    <col min="14092" max="14092" width="7.85546875" bestFit="1" customWidth="1"/>
    <col min="14093" max="14093" width="7.5703125" bestFit="1" customWidth="1"/>
    <col min="14094" max="14094" width="15.42578125" bestFit="1" customWidth="1"/>
    <col min="14338" max="14338" width="26" bestFit="1" customWidth="1"/>
    <col min="14339" max="14339" width="21.42578125" bestFit="1" customWidth="1"/>
    <col min="14340" max="14340" width="10.5703125" bestFit="1" customWidth="1"/>
    <col min="14341" max="14341" width="8.42578125" bestFit="1" customWidth="1"/>
    <col min="14342" max="14342" width="22.7109375" bestFit="1" customWidth="1"/>
    <col min="14343" max="14343" width="23.5703125" bestFit="1" customWidth="1"/>
    <col min="14344" max="14344" width="5.5703125" bestFit="1" customWidth="1"/>
    <col min="14345" max="14346" width="2.140625" bestFit="1" customWidth="1"/>
    <col min="14347" max="14347" width="4.5703125" bestFit="1" customWidth="1"/>
    <col min="14348" max="14348" width="7.85546875" bestFit="1" customWidth="1"/>
    <col min="14349" max="14349" width="7.5703125" bestFit="1" customWidth="1"/>
    <col min="14350" max="14350" width="15.42578125" bestFit="1" customWidth="1"/>
    <col min="14594" max="14594" width="26" bestFit="1" customWidth="1"/>
    <col min="14595" max="14595" width="21.42578125" bestFit="1" customWidth="1"/>
    <col min="14596" max="14596" width="10.5703125" bestFit="1" customWidth="1"/>
    <col min="14597" max="14597" width="8.42578125" bestFit="1" customWidth="1"/>
    <col min="14598" max="14598" width="22.7109375" bestFit="1" customWidth="1"/>
    <col min="14599" max="14599" width="23.5703125" bestFit="1" customWidth="1"/>
    <col min="14600" max="14600" width="5.5703125" bestFit="1" customWidth="1"/>
    <col min="14601" max="14602" width="2.140625" bestFit="1" customWidth="1"/>
    <col min="14603" max="14603" width="4.5703125" bestFit="1" customWidth="1"/>
    <col min="14604" max="14604" width="7.85546875" bestFit="1" customWidth="1"/>
    <col min="14605" max="14605" width="7.5703125" bestFit="1" customWidth="1"/>
    <col min="14606" max="14606" width="15.42578125" bestFit="1" customWidth="1"/>
    <col min="14850" max="14850" width="26" bestFit="1" customWidth="1"/>
    <col min="14851" max="14851" width="21.42578125" bestFit="1" customWidth="1"/>
    <col min="14852" max="14852" width="10.5703125" bestFit="1" customWidth="1"/>
    <col min="14853" max="14853" width="8.42578125" bestFit="1" customWidth="1"/>
    <col min="14854" max="14854" width="22.7109375" bestFit="1" customWidth="1"/>
    <col min="14855" max="14855" width="23.5703125" bestFit="1" customWidth="1"/>
    <col min="14856" max="14856" width="5.5703125" bestFit="1" customWidth="1"/>
    <col min="14857" max="14858" width="2.140625" bestFit="1" customWidth="1"/>
    <col min="14859" max="14859" width="4.5703125" bestFit="1" customWidth="1"/>
    <col min="14860" max="14860" width="7.85546875" bestFit="1" customWidth="1"/>
    <col min="14861" max="14861" width="7.5703125" bestFit="1" customWidth="1"/>
    <col min="14862" max="14862" width="15.42578125" bestFit="1" customWidth="1"/>
    <col min="15106" max="15106" width="26" bestFit="1" customWidth="1"/>
    <col min="15107" max="15107" width="21.42578125" bestFit="1" customWidth="1"/>
    <col min="15108" max="15108" width="10.5703125" bestFit="1" customWidth="1"/>
    <col min="15109" max="15109" width="8.42578125" bestFit="1" customWidth="1"/>
    <col min="15110" max="15110" width="22.7109375" bestFit="1" customWidth="1"/>
    <col min="15111" max="15111" width="23.5703125" bestFit="1" customWidth="1"/>
    <col min="15112" max="15112" width="5.5703125" bestFit="1" customWidth="1"/>
    <col min="15113" max="15114" width="2.140625" bestFit="1" customWidth="1"/>
    <col min="15115" max="15115" width="4.5703125" bestFit="1" customWidth="1"/>
    <col min="15116" max="15116" width="7.85546875" bestFit="1" customWidth="1"/>
    <col min="15117" max="15117" width="7.5703125" bestFit="1" customWidth="1"/>
    <col min="15118" max="15118" width="15.42578125" bestFit="1" customWidth="1"/>
    <col min="15362" max="15362" width="26" bestFit="1" customWidth="1"/>
    <col min="15363" max="15363" width="21.42578125" bestFit="1" customWidth="1"/>
    <col min="15364" max="15364" width="10.5703125" bestFit="1" customWidth="1"/>
    <col min="15365" max="15365" width="8.42578125" bestFit="1" customWidth="1"/>
    <col min="15366" max="15366" width="22.7109375" bestFit="1" customWidth="1"/>
    <col min="15367" max="15367" width="23.5703125" bestFit="1" customWidth="1"/>
    <col min="15368" max="15368" width="5.5703125" bestFit="1" customWidth="1"/>
    <col min="15369" max="15370" width="2.140625" bestFit="1" customWidth="1"/>
    <col min="15371" max="15371" width="4.5703125" bestFit="1" customWidth="1"/>
    <col min="15372" max="15372" width="7.85546875" bestFit="1" customWidth="1"/>
    <col min="15373" max="15373" width="7.5703125" bestFit="1" customWidth="1"/>
    <col min="15374" max="15374" width="15.42578125" bestFit="1" customWidth="1"/>
    <col min="15618" max="15618" width="26" bestFit="1" customWidth="1"/>
    <col min="15619" max="15619" width="21.42578125" bestFit="1" customWidth="1"/>
    <col min="15620" max="15620" width="10.5703125" bestFit="1" customWidth="1"/>
    <col min="15621" max="15621" width="8.42578125" bestFit="1" customWidth="1"/>
    <col min="15622" max="15622" width="22.7109375" bestFit="1" customWidth="1"/>
    <col min="15623" max="15623" width="23.5703125" bestFit="1" customWidth="1"/>
    <col min="15624" max="15624" width="5.5703125" bestFit="1" customWidth="1"/>
    <col min="15625" max="15626" width="2.140625" bestFit="1" customWidth="1"/>
    <col min="15627" max="15627" width="4.5703125" bestFit="1" customWidth="1"/>
    <col min="15628" max="15628" width="7.85546875" bestFit="1" customWidth="1"/>
    <col min="15629" max="15629" width="7.5703125" bestFit="1" customWidth="1"/>
    <col min="15630" max="15630" width="15.42578125" bestFit="1" customWidth="1"/>
    <col min="15874" max="15874" width="26" bestFit="1" customWidth="1"/>
    <col min="15875" max="15875" width="21.42578125" bestFit="1" customWidth="1"/>
    <col min="15876" max="15876" width="10.5703125" bestFit="1" customWidth="1"/>
    <col min="15877" max="15877" width="8.42578125" bestFit="1" customWidth="1"/>
    <col min="15878" max="15878" width="22.7109375" bestFit="1" customWidth="1"/>
    <col min="15879" max="15879" width="23.5703125" bestFit="1" customWidth="1"/>
    <col min="15880" max="15880" width="5.5703125" bestFit="1" customWidth="1"/>
    <col min="15881" max="15882" width="2.140625" bestFit="1" customWidth="1"/>
    <col min="15883" max="15883" width="4.5703125" bestFit="1" customWidth="1"/>
    <col min="15884" max="15884" width="7.85546875" bestFit="1" customWidth="1"/>
    <col min="15885" max="15885" width="7.5703125" bestFit="1" customWidth="1"/>
    <col min="15886" max="15886" width="15.42578125" bestFit="1" customWidth="1"/>
    <col min="16130" max="16130" width="26" bestFit="1" customWidth="1"/>
    <col min="16131" max="16131" width="21.42578125" bestFit="1" customWidth="1"/>
    <col min="16132" max="16132" width="10.5703125" bestFit="1" customWidth="1"/>
    <col min="16133" max="16133" width="8.42578125" bestFit="1" customWidth="1"/>
    <col min="16134" max="16134" width="22.7109375" bestFit="1" customWidth="1"/>
    <col min="16135" max="16135" width="23.5703125" bestFit="1" customWidth="1"/>
    <col min="16136" max="16136" width="5.5703125" bestFit="1" customWidth="1"/>
    <col min="16137" max="16138" width="2.140625" bestFit="1" customWidth="1"/>
    <col min="16139" max="16139" width="4.5703125" bestFit="1" customWidth="1"/>
    <col min="16140" max="16140" width="7.85546875" bestFit="1" customWidth="1"/>
    <col min="16141" max="16141" width="7.5703125" bestFit="1" customWidth="1"/>
    <col min="16142" max="16142" width="15.42578125" bestFit="1" customWidth="1"/>
  </cols>
  <sheetData>
    <row r="1" spans="1:14" ht="30" x14ac:dyDescent="0.4">
      <c r="A1" s="348" t="s">
        <v>4054</v>
      </c>
      <c r="B1" s="349"/>
      <c r="C1" s="349"/>
      <c r="D1" s="349"/>
      <c r="E1" s="349"/>
      <c r="F1" s="349"/>
      <c r="G1" s="349"/>
      <c r="H1" s="349"/>
      <c r="I1" s="349"/>
      <c r="J1" s="349"/>
      <c r="K1" s="349"/>
      <c r="L1" s="349"/>
      <c r="M1" s="349"/>
      <c r="N1" s="350"/>
    </row>
    <row r="2" spans="1:14" ht="30" x14ac:dyDescent="0.4">
      <c r="A2" s="351" t="s">
        <v>4074</v>
      </c>
      <c r="B2" s="352"/>
      <c r="C2" s="352"/>
      <c r="D2" s="352"/>
      <c r="E2" s="352"/>
      <c r="F2" s="352"/>
      <c r="G2" s="352"/>
      <c r="H2" s="352"/>
      <c r="I2" s="352"/>
      <c r="J2" s="352"/>
      <c r="K2" s="352"/>
      <c r="L2" s="352"/>
      <c r="M2" s="352"/>
      <c r="N2" s="353"/>
    </row>
    <row r="3" spans="1:14" ht="30.75" thickBot="1" x14ac:dyDescent="0.45">
      <c r="A3" s="354" t="s">
        <v>4056</v>
      </c>
      <c r="B3" s="355"/>
      <c r="C3" s="355"/>
      <c r="D3" s="355"/>
      <c r="E3" s="355"/>
      <c r="F3" s="355"/>
      <c r="G3" s="355"/>
      <c r="H3" s="355"/>
      <c r="I3" s="355"/>
      <c r="J3" s="355"/>
      <c r="K3" s="355"/>
      <c r="L3" s="355"/>
      <c r="M3" s="355"/>
      <c r="N3" s="356"/>
    </row>
    <row r="4" spans="1:14" s="5" customFormat="1" ht="15" customHeight="1" x14ac:dyDescent="0.2">
      <c r="A4" s="300" t="s">
        <v>2842</v>
      </c>
      <c r="B4" s="312" t="s">
        <v>2820</v>
      </c>
      <c r="C4" s="357" t="s">
        <v>2843</v>
      </c>
      <c r="D4" s="357" t="s">
        <v>2844</v>
      </c>
      <c r="E4" s="304" t="s">
        <v>2821</v>
      </c>
      <c r="F4" s="304" t="s">
        <v>2822</v>
      </c>
      <c r="G4" s="305" t="s">
        <v>2841</v>
      </c>
      <c r="H4" s="304" t="s">
        <v>2823</v>
      </c>
      <c r="I4" s="304"/>
      <c r="J4" s="304"/>
      <c r="K4" s="304"/>
      <c r="L4" s="359" t="s">
        <v>2848</v>
      </c>
      <c r="M4" s="304" t="s">
        <v>2825</v>
      </c>
      <c r="N4" s="307" t="s">
        <v>2826</v>
      </c>
    </row>
    <row r="5" spans="1:14" s="5" customFormat="1" ht="15.75" thickBot="1" x14ac:dyDescent="0.25">
      <c r="A5" s="301"/>
      <c r="B5" s="313"/>
      <c r="C5" s="358"/>
      <c r="D5" s="358"/>
      <c r="E5" s="303"/>
      <c r="F5" s="303"/>
      <c r="G5" s="306"/>
      <c r="H5" s="2">
        <v>1</v>
      </c>
      <c r="I5" s="2">
        <v>2</v>
      </c>
      <c r="J5" s="2">
        <v>3</v>
      </c>
      <c r="K5" s="2" t="s">
        <v>2827</v>
      </c>
      <c r="L5" s="360"/>
      <c r="M5" s="303"/>
      <c r="N5" s="310"/>
    </row>
    <row r="6" spans="1:14" ht="15" x14ac:dyDescent="0.2">
      <c r="B6" s="299" t="s">
        <v>2891</v>
      </c>
      <c r="C6" s="299"/>
      <c r="D6" s="299"/>
      <c r="E6" s="299"/>
      <c r="F6" s="299"/>
      <c r="G6" s="299"/>
      <c r="H6" s="299"/>
      <c r="I6" s="299"/>
      <c r="J6" s="299"/>
      <c r="K6" s="299"/>
      <c r="L6" s="299"/>
      <c r="M6" s="299"/>
    </row>
    <row r="7" spans="1:14" x14ac:dyDescent="0.2">
      <c r="A7" s="43">
        <v>1</v>
      </c>
      <c r="B7" s="7" t="s">
        <v>2960</v>
      </c>
      <c r="C7" s="7" t="s">
        <v>2961</v>
      </c>
      <c r="D7" s="7" t="s">
        <v>2962</v>
      </c>
      <c r="E7" s="7" t="str">
        <f>"0,6899"</f>
        <v>0,6899</v>
      </c>
      <c r="F7" s="7" t="s">
        <v>2853</v>
      </c>
      <c r="G7" s="7" t="s">
        <v>2963</v>
      </c>
      <c r="H7" s="34" t="s">
        <v>69</v>
      </c>
      <c r="I7" s="20"/>
      <c r="J7" s="20"/>
      <c r="K7" s="20"/>
      <c r="L7" s="19" t="s">
        <v>69</v>
      </c>
      <c r="M7" s="19" t="str">
        <f>"75,8890"</f>
        <v>75,8890</v>
      </c>
      <c r="N7" s="7" t="s">
        <v>2855</v>
      </c>
    </row>
    <row r="9" spans="1:14" ht="15" x14ac:dyDescent="0.2">
      <c r="B9" s="294" t="s">
        <v>2863</v>
      </c>
      <c r="C9" s="294"/>
      <c r="D9" s="294"/>
      <c r="E9" s="294"/>
      <c r="F9" s="294"/>
      <c r="G9" s="294"/>
      <c r="H9" s="294"/>
      <c r="I9" s="294"/>
      <c r="J9" s="294"/>
      <c r="K9" s="294"/>
      <c r="L9" s="294"/>
      <c r="M9" s="294"/>
    </row>
    <row r="10" spans="1:14" x14ac:dyDescent="0.2">
      <c r="A10" s="43">
        <v>1</v>
      </c>
      <c r="B10" s="15" t="s">
        <v>2964</v>
      </c>
      <c r="C10" s="15" t="s">
        <v>28</v>
      </c>
      <c r="D10" s="15" t="s">
        <v>29</v>
      </c>
      <c r="E10" s="15" t="str">
        <f>"0,6402"</f>
        <v>0,6402</v>
      </c>
      <c r="F10" s="15" t="s">
        <v>2853</v>
      </c>
      <c r="G10" s="15" t="s">
        <v>3372</v>
      </c>
      <c r="H10" s="35" t="s">
        <v>71</v>
      </c>
      <c r="I10" s="22"/>
      <c r="J10" s="22"/>
      <c r="K10" s="22"/>
      <c r="L10" s="21" t="s">
        <v>71</v>
      </c>
      <c r="M10" s="21" t="str">
        <f>"76,8240"</f>
        <v>76,8240</v>
      </c>
      <c r="N10" s="15" t="s">
        <v>2965</v>
      </c>
    </row>
    <row r="11" spans="1:14" x14ac:dyDescent="0.2">
      <c r="A11" s="43">
        <v>2</v>
      </c>
      <c r="B11" s="16" t="s">
        <v>2966</v>
      </c>
      <c r="C11" s="16" t="s">
        <v>2967</v>
      </c>
      <c r="D11" s="16" t="s">
        <v>567</v>
      </c>
      <c r="E11" s="16" t="str">
        <f>"0,6421"</f>
        <v>0,6421</v>
      </c>
      <c r="F11" s="16" t="s">
        <v>2853</v>
      </c>
      <c r="G11" s="16" t="s">
        <v>2991</v>
      </c>
      <c r="H11" s="36" t="s">
        <v>85</v>
      </c>
      <c r="I11" s="24"/>
      <c r="J11" s="24"/>
      <c r="K11" s="24"/>
      <c r="L11" s="23">
        <v>87.5</v>
      </c>
      <c r="M11" s="23" t="str">
        <f>"56,1837"</f>
        <v>56,1837</v>
      </c>
      <c r="N11" s="16" t="s">
        <v>2855</v>
      </c>
    </row>
    <row r="12" spans="1:14" x14ac:dyDescent="0.2">
      <c r="A12" s="43">
        <v>3</v>
      </c>
      <c r="B12" s="17" t="s">
        <v>2968</v>
      </c>
      <c r="C12" s="17" t="s">
        <v>2969</v>
      </c>
      <c r="D12" s="17" t="s">
        <v>2970</v>
      </c>
      <c r="E12" s="17" t="str">
        <f>"0,6536"</f>
        <v>0,6536</v>
      </c>
      <c r="F12" s="17" t="s">
        <v>2853</v>
      </c>
      <c r="G12" s="17" t="s">
        <v>2963</v>
      </c>
      <c r="H12" s="37" t="s">
        <v>43</v>
      </c>
      <c r="I12" s="26"/>
      <c r="J12" s="26"/>
      <c r="K12" s="26"/>
      <c r="L12" s="25">
        <v>82.5</v>
      </c>
      <c r="M12" s="25" t="str">
        <f>"53,9220"</f>
        <v>53,9220</v>
      </c>
      <c r="N12" s="17" t="s">
        <v>2971</v>
      </c>
    </row>
    <row r="13" spans="1:14" ht="12" customHeight="1" x14ac:dyDescent="0.2"/>
  </sheetData>
  <mergeCells count="16">
    <mergeCell ref="A1:N1"/>
    <mergeCell ref="A2:N2"/>
    <mergeCell ref="A3:N3"/>
    <mergeCell ref="N4:N5"/>
    <mergeCell ref="B6:M6"/>
    <mergeCell ref="B9:M9"/>
    <mergeCell ref="A4:A5"/>
    <mergeCell ref="B4:B5"/>
    <mergeCell ref="C4:C5"/>
    <mergeCell ref="D4:D5"/>
    <mergeCell ref="E4:E5"/>
    <mergeCell ref="F4:F5"/>
    <mergeCell ref="G4:G5"/>
    <mergeCell ref="H4:K4"/>
    <mergeCell ref="L4:L5"/>
    <mergeCell ref="M4:M5"/>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F10" sqref="F10"/>
    </sheetView>
  </sheetViews>
  <sheetFormatPr defaultColWidth="8.7109375" defaultRowHeight="12.75" x14ac:dyDescent="0.2"/>
  <cols>
    <col min="2" max="2" width="26" style="6" bestFit="1" customWidth="1"/>
    <col min="3" max="3" width="29.5703125" style="6" customWidth="1"/>
    <col min="4" max="4" width="10.5703125" style="6" bestFit="1" customWidth="1"/>
    <col min="5" max="5" width="8.42578125" style="6" bestFit="1" customWidth="1"/>
    <col min="6" max="6" width="22.7109375" style="6" bestFit="1" customWidth="1"/>
    <col min="7" max="7" width="31.140625" style="6" customWidth="1"/>
    <col min="8" max="8" width="6.42578125" style="6" bestFit="1" customWidth="1"/>
    <col min="9" max="9" width="10" style="6" bestFit="1" customWidth="1"/>
    <col min="10" max="10" width="9.42578125" style="6" bestFit="1" customWidth="1"/>
    <col min="11" max="11" width="11" style="6" bestFit="1" customWidth="1"/>
    <col min="12" max="12" width="17.7109375" style="6" bestFit="1" customWidth="1"/>
    <col min="258" max="258" width="26" bestFit="1" customWidth="1"/>
    <col min="259" max="259" width="26.85546875" bestFit="1" customWidth="1"/>
    <col min="260" max="260" width="10.5703125" bestFit="1" customWidth="1"/>
    <col min="261" max="261" width="8.42578125" bestFit="1" customWidth="1"/>
    <col min="262" max="262" width="22.7109375" bestFit="1" customWidth="1"/>
    <col min="263" max="263" width="37.28515625" bestFit="1" customWidth="1"/>
    <col min="264" max="264" width="4.5703125" bestFit="1" customWidth="1"/>
    <col min="265" max="265" width="5.5703125" bestFit="1" customWidth="1"/>
    <col min="266" max="266" width="7.85546875" bestFit="1" customWidth="1"/>
    <col min="267" max="267" width="9.5703125" bestFit="1" customWidth="1"/>
    <col min="268" max="268" width="15.42578125" bestFit="1" customWidth="1"/>
    <col min="514" max="514" width="26" bestFit="1" customWidth="1"/>
    <col min="515" max="515" width="26.85546875" bestFit="1" customWidth="1"/>
    <col min="516" max="516" width="10.5703125" bestFit="1" customWidth="1"/>
    <col min="517" max="517" width="8.42578125" bestFit="1" customWidth="1"/>
    <col min="518" max="518" width="22.7109375" bestFit="1" customWidth="1"/>
    <col min="519" max="519" width="37.28515625" bestFit="1" customWidth="1"/>
    <col min="520" max="520" width="4.5703125" bestFit="1" customWidth="1"/>
    <col min="521" max="521" width="5.5703125" bestFit="1" customWidth="1"/>
    <col min="522" max="522" width="7.85546875" bestFit="1" customWidth="1"/>
    <col min="523" max="523" width="9.5703125" bestFit="1" customWidth="1"/>
    <col min="524" max="524" width="15.42578125" bestFit="1" customWidth="1"/>
    <col min="770" max="770" width="26" bestFit="1" customWidth="1"/>
    <col min="771" max="771" width="26.85546875" bestFit="1" customWidth="1"/>
    <col min="772" max="772" width="10.5703125" bestFit="1" customWidth="1"/>
    <col min="773" max="773" width="8.42578125" bestFit="1" customWidth="1"/>
    <col min="774" max="774" width="22.7109375" bestFit="1" customWidth="1"/>
    <col min="775" max="775" width="37.28515625" bestFit="1" customWidth="1"/>
    <col min="776" max="776" width="4.5703125" bestFit="1" customWidth="1"/>
    <col min="777" max="777" width="5.5703125" bestFit="1" customWidth="1"/>
    <col min="778" max="778" width="7.85546875" bestFit="1" customWidth="1"/>
    <col min="779" max="779" width="9.5703125" bestFit="1" customWidth="1"/>
    <col min="780" max="780" width="15.42578125" bestFit="1" customWidth="1"/>
    <col min="1026" max="1026" width="26" bestFit="1" customWidth="1"/>
    <col min="1027" max="1027" width="26.85546875" bestFit="1" customWidth="1"/>
    <col min="1028" max="1028" width="10.5703125" bestFit="1" customWidth="1"/>
    <col min="1029" max="1029" width="8.42578125" bestFit="1" customWidth="1"/>
    <col min="1030" max="1030" width="22.7109375" bestFit="1" customWidth="1"/>
    <col min="1031" max="1031" width="37.28515625" bestFit="1" customWidth="1"/>
    <col min="1032" max="1032" width="4.5703125" bestFit="1" customWidth="1"/>
    <col min="1033" max="1033" width="5.5703125" bestFit="1" customWidth="1"/>
    <col min="1034" max="1034" width="7.85546875" bestFit="1" customWidth="1"/>
    <col min="1035" max="1035" width="9.5703125" bestFit="1" customWidth="1"/>
    <col min="1036" max="1036" width="15.42578125" bestFit="1" customWidth="1"/>
    <col min="1282" max="1282" width="26" bestFit="1" customWidth="1"/>
    <col min="1283" max="1283" width="26.85546875" bestFit="1" customWidth="1"/>
    <col min="1284" max="1284" width="10.5703125" bestFit="1" customWidth="1"/>
    <col min="1285" max="1285" width="8.42578125" bestFit="1" customWidth="1"/>
    <col min="1286" max="1286" width="22.7109375" bestFit="1" customWidth="1"/>
    <col min="1287" max="1287" width="37.28515625" bestFit="1" customWidth="1"/>
    <col min="1288" max="1288" width="4.5703125" bestFit="1" customWidth="1"/>
    <col min="1289" max="1289" width="5.5703125" bestFit="1" customWidth="1"/>
    <col min="1290" max="1290" width="7.85546875" bestFit="1" customWidth="1"/>
    <col min="1291" max="1291" width="9.5703125" bestFit="1" customWidth="1"/>
    <col min="1292" max="1292" width="15.42578125" bestFit="1" customWidth="1"/>
    <col min="1538" max="1538" width="26" bestFit="1" customWidth="1"/>
    <col min="1539" max="1539" width="26.85546875" bestFit="1" customWidth="1"/>
    <col min="1540" max="1540" width="10.5703125" bestFit="1" customWidth="1"/>
    <col min="1541" max="1541" width="8.42578125" bestFit="1" customWidth="1"/>
    <col min="1542" max="1542" width="22.7109375" bestFit="1" customWidth="1"/>
    <col min="1543" max="1543" width="37.28515625" bestFit="1" customWidth="1"/>
    <col min="1544" max="1544" width="4.5703125" bestFit="1" customWidth="1"/>
    <col min="1545" max="1545" width="5.5703125" bestFit="1" customWidth="1"/>
    <col min="1546" max="1546" width="7.85546875" bestFit="1" customWidth="1"/>
    <col min="1547" max="1547" width="9.5703125" bestFit="1" customWidth="1"/>
    <col min="1548" max="1548" width="15.42578125" bestFit="1" customWidth="1"/>
    <col min="1794" max="1794" width="26" bestFit="1" customWidth="1"/>
    <col min="1795" max="1795" width="26.85546875" bestFit="1" customWidth="1"/>
    <col min="1796" max="1796" width="10.5703125" bestFit="1" customWidth="1"/>
    <col min="1797" max="1797" width="8.42578125" bestFit="1" customWidth="1"/>
    <col min="1798" max="1798" width="22.7109375" bestFit="1" customWidth="1"/>
    <col min="1799" max="1799" width="37.28515625" bestFit="1" customWidth="1"/>
    <col min="1800" max="1800" width="4.5703125" bestFit="1" customWidth="1"/>
    <col min="1801" max="1801" width="5.5703125" bestFit="1" customWidth="1"/>
    <col min="1802" max="1802" width="7.85546875" bestFit="1" customWidth="1"/>
    <col min="1803" max="1803" width="9.5703125" bestFit="1" customWidth="1"/>
    <col min="1804" max="1804" width="15.42578125" bestFit="1" customWidth="1"/>
    <col min="2050" max="2050" width="26" bestFit="1" customWidth="1"/>
    <col min="2051" max="2051" width="26.85546875" bestFit="1" customWidth="1"/>
    <col min="2052" max="2052" width="10.5703125" bestFit="1" customWidth="1"/>
    <col min="2053" max="2053" width="8.42578125" bestFit="1" customWidth="1"/>
    <col min="2054" max="2054" width="22.7109375" bestFit="1" customWidth="1"/>
    <col min="2055" max="2055" width="37.28515625" bestFit="1" customWidth="1"/>
    <col min="2056" max="2056" width="4.5703125" bestFit="1" customWidth="1"/>
    <col min="2057" max="2057" width="5.5703125" bestFit="1" customWidth="1"/>
    <col min="2058" max="2058" width="7.85546875" bestFit="1" customWidth="1"/>
    <col min="2059" max="2059" width="9.5703125" bestFit="1" customWidth="1"/>
    <col min="2060" max="2060" width="15.42578125" bestFit="1" customWidth="1"/>
    <col min="2306" max="2306" width="26" bestFit="1" customWidth="1"/>
    <col min="2307" max="2307" width="26.85546875" bestFit="1" customWidth="1"/>
    <col min="2308" max="2308" width="10.5703125" bestFit="1" customWidth="1"/>
    <col min="2309" max="2309" width="8.42578125" bestFit="1" customWidth="1"/>
    <col min="2310" max="2310" width="22.7109375" bestFit="1" customWidth="1"/>
    <col min="2311" max="2311" width="37.28515625" bestFit="1" customWidth="1"/>
    <col min="2312" max="2312" width="4.5703125" bestFit="1" customWidth="1"/>
    <col min="2313" max="2313" width="5.5703125" bestFit="1" customWidth="1"/>
    <col min="2314" max="2314" width="7.85546875" bestFit="1" customWidth="1"/>
    <col min="2315" max="2315" width="9.5703125" bestFit="1" customWidth="1"/>
    <col min="2316" max="2316" width="15.42578125" bestFit="1" customWidth="1"/>
    <col min="2562" max="2562" width="26" bestFit="1" customWidth="1"/>
    <col min="2563" max="2563" width="26.85546875" bestFit="1" customWidth="1"/>
    <col min="2564" max="2564" width="10.5703125" bestFit="1" customWidth="1"/>
    <col min="2565" max="2565" width="8.42578125" bestFit="1" customWidth="1"/>
    <col min="2566" max="2566" width="22.7109375" bestFit="1" customWidth="1"/>
    <col min="2567" max="2567" width="37.28515625" bestFit="1" customWidth="1"/>
    <col min="2568" max="2568" width="4.5703125" bestFit="1" customWidth="1"/>
    <col min="2569" max="2569" width="5.5703125" bestFit="1" customWidth="1"/>
    <col min="2570" max="2570" width="7.85546875" bestFit="1" customWidth="1"/>
    <col min="2571" max="2571" width="9.5703125" bestFit="1" customWidth="1"/>
    <col min="2572" max="2572" width="15.42578125" bestFit="1" customWidth="1"/>
    <col min="2818" max="2818" width="26" bestFit="1" customWidth="1"/>
    <col min="2819" max="2819" width="26.85546875" bestFit="1" customWidth="1"/>
    <col min="2820" max="2820" width="10.5703125" bestFit="1" customWidth="1"/>
    <col min="2821" max="2821" width="8.42578125" bestFit="1" customWidth="1"/>
    <col min="2822" max="2822" width="22.7109375" bestFit="1" customWidth="1"/>
    <col min="2823" max="2823" width="37.28515625" bestFit="1" customWidth="1"/>
    <col min="2824" max="2824" width="4.5703125" bestFit="1" customWidth="1"/>
    <col min="2825" max="2825" width="5.5703125" bestFit="1" customWidth="1"/>
    <col min="2826" max="2826" width="7.85546875" bestFit="1" customWidth="1"/>
    <col min="2827" max="2827" width="9.5703125" bestFit="1" customWidth="1"/>
    <col min="2828" max="2828" width="15.42578125" bestFit="1" customWidth="1"/>
    <col min="3074" max="3074" width="26" bestFit="1" customWidth="1"/>
    <col min="3075" max="3075" width="26.85546875" bestFit="1" customWidth="1"/>
    <col min="3076" max="3076" width="10.5703125" bestFit="1" customWidth="1"/>
    <col min="3077" max="3077" width="8.42578125" bestFit="1" customWidth="1"/>
    <col min="3078" max="3078" width="22.7109375" bestFit="1" customWidth="1"/>
    <col min="3079" max="3079" width="37.28515625" bestFit="1" customWidth="1"/>
    <col min="3080" max="3080" width="4.5703125" bestFit="1" customWidth="1"/>
    <col min="3081" max="3081" width="5.5703125" bestFit="1" customWidth="1"/>
    <col min="3082" max="3082" width="7.85546875" bestFit="1" customWidth="1"/>
    <col min="3083" max="3083" width="9.5703125" bestFit="1" customWidth="1"/>
    <col min="3084" max="3084" width="15.42578125" bestFit="1" customWidth="1"/>
    <col min="3330" max="3330" width="26" bestFit="1" customWidth="1"/>
    <col min="3331" max="3331" width="26.85546875" bestFit="1" customWidth="1"/>
    <col min="3332" max="3332" width="10.5703125" bestFit="1" customWidth="1"/>
    <col min="3333" max="3333" width="8.42578125" bestFit="1" customWidth="1"/>
    <col min="3334" max="3334" width="22.7109375" bestFit="1" customWidth="1"/>
    <col min="3335" max="3335" width="37.28515625" bestFit="1" customWidth="1"/>
    <col min="3336" max="3336" width="4.5703125" bestFit="1" customWidth="1"/>
    <col min="3337" max="3337" width="5.5703125" bestFit="1" customWidth="1"/>
    <col min="3338" max="3338" width="7.85546875" bestFit="1" customWidth="1"/>
    <col min="3339" max="3339" width="9.5703125" bestFit="1" customWidth="1"/>
    <col min="3340" max="3340" width="15.42578125" bestFit="1" customWidth="1"/>
    <col min="3586" max="3586" width="26" bestFit="1" customWidth="1"/>
    <col min="3587" max="3587" width="26.85546875" bestFit="1" customWidth="1"/>
    <col min="3588" max="3588" width="10.5703125" bestFit="1" customWidth="1"/>
    <col min="3589" max="3589" width="8.42578125" bestFit="1" customWidth="1"/>
    <col min="3590" max="3590" width="22.7109375" bestFit="1" customWidth="1"/>
    <col min="3591" max="3591" width="37.28515625" bestFit="1" customWidth="1"/>
    <col min="3592" max="3592" width="4.5703125" bestFit="1" customWidth="1"/>
    <col min="3593" max="3593" width="5.5703125" bestFit="1" customWidth="1"/>
    <col min="3594" max="3594" width="7.85546875" bestFit="1" customWidth="1"/>
    <col min="3595" max="3595" width="9.5703125" bestFit="1" customWidth="1"/>
    <col min="3596" max="3596" width="15.42578125" bestFit="1" customWidth="1"/>
    <col min="3842" max="3842" width="26" bestFit="1" customWidth="1"/>
    <col min="3843" max="3843" width="26.85546875" bestFit="1" customWidth="1"/>
    <col min="3844" max="3844" width="10.5703125" bestFit="1" customWidth="1"/>
    <col min="3845" max="3845" width="8.42578125" bestFit="1" customWidth="1"/>
    <col min="3846" max="3846" width="22.7109375" bestFit="1" customWidth="1"/>
    <col min="3847" max="3847" width="37.28515625" bestFit="1" customWidth="1"/>
    <col min="3848" max="3848" width="4.5703125" bestFit="1" customWidth="1"/>
    <col min="3849" max="3849" width="5.5703125" bestFit="1" customWidth="1"/>
    <col min="3850" max="3850" width="7.85546875" bestFit="1" customWidth="1"/>
    <col min="3851" max="3851" width="9.5703125" bestFit="1" customWidth="1"/>
    <col min="3852" max="3852" width="15.42578125" bestFit="1" customWidth="1"/>
    <col min="4098" max="4098" width="26" bestFit="1" customWidth="1"/>
    <col min="4099" max="4099" width="26.85546875" bestFit="1" customWidth="1"/>
    <col min="4100" max="4100" width="10.5703125" bestFit="1" customWidth="1"/>
    <col min="4101" max="4101" width="8.42578125" bestFit="1" customWidth="1"/>
    <col min="4102" max="4102" width="22.7109375" bestFit="1" customWidth="1"/>
    <col min="4103" max="4103" width="37.28515625" bestFit="1" customWidth="1"/>
    <col min="4104" max="4104" width="4.5703125" bestFit="1" customWidth="1"/>
    <col min="4105" max="4105" width="5.5703125" bestFit="1" customWidth="1"/>
    <col min="4106" max="4106" width="7.85546875" bestFit="1" customWidth="1"/>
    <col min="4107" max="4107" width="9.5703125" bestFit="1" customWidth="1"/>
    <col min="4108" max="4108" width="15.42578125" bestFit="1" customWidth="1"/>
    <col min="4354" max="4354" width="26" bestFit="1" customWidth="1"/>
    <col min="4355" max="4355" width="26.85546875" bestFit="1" customWidth="1"/>
    <col min="4356" max="4356" width="10.5703125" bestFit="1" customWidth="1"/>
    <col min="4357" max="4357" width="8.42578125" bestFit="1" customWidth="1"/>
    <col min="4358" max="4358" width="22.7109375" bestFit="1" customWidth="1"/>
    <col min="4359" max="4359" width="37.28515625" bestFit="1" customWidth="1"/>
    <col min="4360" max="4360" width="4.5703125" bestFit="1" customWidth="1"/>
    <col min="4361" max="4361" width="5.5703125" bestFit="1" customWidth="1"/>
    <col min="4362" max="4362" width="7.85546875" bestFit="1" customWidth="1"/>
    <col min="4363" max="4363" width="9.5703125" bestFit="1" customWidth="1"/>
    <col min="4364" max="4364" width="15.42578125" bestFit="1" customWidth="1"/>
    <col min="4610" max="4610" width="26" bestFit="1" customWidth="1"/>
    <col min="4611" max="4611" width="26.85546875" bestFit="1" customWidth="1"/>
    <col min="4612" max="4612" width="10.5703125" bestFit="1" customWidth="1"/>
    <col min="4613" max="4613" width="8.42578125" bestFit="1" customWidth="1"/>
    <col min="4614" max="4614" width="22.7109375" bestFit="1" customWidth="1"/>
    <col min="4615" max="4615" width="37.28515625" bestFit="1" customWidth="1"/>
    <col min="4616" max="4616" width="4.5703125" bestFit="1" customWidth="1"/>
    <col min="4617" max="4617" width="5.5703125" bestFit="1" customWidth="1"/>
    <col min="4618" max="4618" width="7.85546875" bestFit="1" customWidth="1"/>
    <col min="4619" max="4619" width="9.5703125" bestFit="1" customWidth="1"/>
    <col min="4620" max="4620" width="15.42578125" bestFit="1" customWidth="1"/>
    <col min="4866" max="4866" width="26" bestFit="1" customWidth="1"/>
    <col min="4867" max="4867" width="26.85546875" bestFit="1" customWidth="1"/>
    <col min="4868" max="4868" width="10.5703125" bestFit="1" customWidth="1"/>
    <col min="4869" max="4869" width="8.42578125" bestFit="1" customWidth="1"/>
    <col min="4870" max="4870" width="22.7109375" bestFit="1" customWidth="1"/>
    <col min="4871" max="4871" width="37.28515625" bestFit="1" customWidth="1"/>
    <col min="4872" max="4872" width="4.5703125" bestFit="1" customWidth="1"/>
    <col min="4873" max="4873" width="5.5703125" bestFit="1" customWidth="1"/>
    <col min="4874" max="4874" width="7.85546875" bestFit="1" customWidth="1"/>
    <col min="4875" max="4875" width="9.5703125" bestFit="1" customWidth="1"/>
    <col min="4876" max="4876" width="15.42578125" bestFit="1" customWidth="1"/>
    <col min="5122" max="5122" width="26" bestFit="1" customWidth="1"/>
    <col min="5123" max="5123" width="26.85546875" bestFit="1" customWidth="1"/>
    <col min="5124" max="5124" width="10.5703125" bestFit="1" customWidth="1"/>
    <col min="5125" max="5125" width="8.42578125" bestFit="1" customWidth="1"/>
    <col min="5126" max="5126" width="22.7109375" bestFit="1" customWidth="1"/>
    <col min="5127" max="5127" width="37.28515625" bestFit="1" customWidth="1"/>
    <col min="5128" max="5128" width="4.5703125" bestFit="1" customWidth="1"/>
    <col min="5129" max="5129" width="5.5703125" bestFit="1" customWidth="1"/>
    <col min="5130" max="5130" width="7.85546875" bestFit="1" customWidth="1"/>
    <col min="5131" max="5131" width="9.5703125" bestFit="1" customWidth="1"/>
    <col min="5132" max="5132" width="15.42578125" bestFit="1" customWidth="1"/>
    <col min="5378" max="5378" width="26" bestFit="1" customWidth="1"/>
    <col min="5379" max="5379" width="26.85546875" bestFit="1" customWidth="1"/>
    <col min="5380" max="5380" width="10.5703125" bestFit="1" customWidth="1"/>
    <col min="5381" max="5381" width="8.42578125" bestFit="1" customWidth="1"/>
    <col min="5382" max="5382" width="22.7109375" bestFit="1" customWidth="1"/>
    <col min="5383" max="5383" width="37.28515625" bestFit="1" customWidth="1"/>
    <col min="5384" max="5384" width="4.5703125" bestFit="1" customWidth="1"/>
    <col min="5385" max="5385" width="5.5703125" bestFit="1" customWidth="1"/>
    <col min="5386" max="5386" width="7.85546875" bestFit="1" customWidth="1"/>
    <col min="5387" max="5387" width="9.5703125" bestFit="1" customWidth="1"/>
    <col min="5388" max="5388" width="15.42578125" bestFit="1" customWidth="1"/>
    <col min="5634" max="5634" width="26" bestFit="1" customWidth="1"/>
    <col min="5635" max="5635" width="26.85546875" bestFit="1" customWidth="1"/>
    <col min="5636" max="5636" width="10.5703125" bestFit="1" customWidth="1"/>
    <col min="5637" max="5637" width="8.42578125" bestFit="1" customWidth="1"/>
    <col min="5638" max="5638" width="22.7109375" bestFit="1" customWidth="1"/>
    <col min="5639" max="5639" width="37.28515625" bestFit="1" customWidth="1"/>
    <col min="5640" max="5640" width="4.5703125" bestFit="1" customWidth="1"/>
    <col min="5641" max="5641" width="5.5703125" bestFit="1" customWidth="1"/>
    <col min="5642" max="5642" width="7.85546875" bestFit="1" customWidth="1"/>
    <col min="5643" max="5643" width="9.5703125" bestFit="1" customWidth="1"/>
    <col min="5644" max="5644" width="15.42578125" bestFit="1" customWidth="1"/>
    <col min="5890" max="5890" width="26" bestFit="1" customWidth="1"/>
    <col min="5891" max="5891" width="26.85546875" bestFit="1" customWidth="1"/>
    <col min="5892" max="5892" width="10.5703125" bestFit="1" customWidth="1"/>
    <col min="5893" max="5893" width="8.42578125" bestFit="1" customWidth="1"/>
    <col min="5894" max="5894" width="22.7109375" bestFit="1" customWidth="1"/>
    <col min="5895" max="5895" width="37.28515625" bestFit="1" customWidth="1"/>
    <col min="5896" max="5896" width="4.5703125" bestFit="1" customWidth="1"/>
    <col min="5897" max="5897" width="5.5703125" bestFit="1" customWidth="1"/>
    <col min="5898" max="5898" width="7.85546875" bestFit="1" customWidth="1"/>
    <col min="5899" max="5899" width="9.5703125" bestFit="1" customWidth="1"/>
    <col min="5900" max="5900" width="15.42578125" bestFit="1" customWidth="1"/>
    <col min="6146" max="6146" width="26" bestFit="1" customWidth="1"/>
    <col min="6147" max="6147" width="26.85546875" bestFit="1" customWidth="1"/>
    <col min="6148" max="6148" width="10.5703125" bestFit="1" customWidth="1"/>
    <col min="6149" max="6149" width="8.42578125" bestFit="1" customWidth="1"/>
    <col min="6150" max="6150" width="22.7109375" bestFit="1" customWidth="1"/>
    <col min="6151" max="6151" width="37.28515625" bestFit="1" customWidth="1"/>
    <col min="6152" max="6152" width="4.5703125" bestFit="1" customWidth="1"/>
    <col min="6153" max="6153" width="5.5703125" bestFit="1" customWidth="1"/>
    <col min="6154" max="6154" width="7.85546875" bestFit="1" customWidth="1"/>
    <col min="6155" max="6155" width="9.5703125" bestFit="1" customWidth="1"/>
    <col min="6156" max="6156" width="15.42578125" bestFit="1" customWidth="1"/>
    <col min="6402" max="6402" width="26" bestFit="1" customWidth="1"/>
    <col min="6403" max="6403" width="26.85546875" bestFit="1" customWidth="1"/>
    <col min="6404" max="6404" width="10.5703125" bestFit="1" customWidth="1"/>
    <col min="6405" max="6405" width="8.42578125" bestFit="1" customWidth="1"/>
    <col min="6406" max="6406" width="22.7109375" bestFit="1" customWidth="1"/>
    <col min="6407" max="6407" width="37.28515625" bestFit="1" customWidth="1"/>
    <col min="6408" max="6408" width="4.5703125" bestFit="1" customWidth="1"/>
    <col min="6409" max="6409" width="5.5703125" bestFit="1" customWidth="1"/>
    <col min="6410" max="6410" width="7.85546875" bestFit="1" customWidth="1"/>
    <col min="6411" max="6411" width="9.5703125" bestFit="1" customWidth="1"/>
    <col min="6412" max="6412" width="15.42578125" bestFit="1" customWidth="1"/>
    <col min="6658" max="6658" width="26" bestFit="1" customWidth="1"/>
    <col min="6659" max="6659" width="26.85546875" bestFit="1" customWidth="1"/>
    <col min="6660" max="6660" width="10.5703125" bestFit="1" customWidth="1"/>
    <col min="6661" max="6661" width="8.42578125" bestFit="1" customWidth="1"/>
    <col min="6662" max="6662" width="22.7109375" bestFit="1" customWidth="1"/>
    <col min="6663" max="6663" width="37.28515625" bestFit="1" customWidth="1"/>
    <col min="6664" max="6664" width="4.5703125" bestFit="1" customWidth="1"/>
    <col min="6665" max="6665" width="5.5703125" bestFit="1" customWidth="1"/>
    <col min="6666" max="6666" width="7.85546875" bestFit="1" customWidth="1"/>
    <col min="6667" max="6667" width="9.5703125" bestFit="1" customWidth="1"/>
    <col min="6668" max="6668" width="15.42578125" bestFit="1" customWidth="1"/>
    <col min="6914" max="6914" width="26" bestFit="1" customWidth="1"/>
    <col min="6915" max="6915" width="26.85546875" bestFit="1" customWidth="1"/>
    <col min="6916" max="6916" width="10.5703125" bestFit="1" customWidth="1"/>
    <col min="6917" max="6917" width="8.42578125" bestFit="1" customWidth="1"/>
    <col min="6918" max="6918" width="22.7109375" bestFit="1" customWidth="1"/>
    <col min="6919" max="6919" width="37.28515625" bestFit="1" customWidth="1"/>
    <col min="6920" max="6920" width="4.5703125" bestFit="1" customWidth="1"/>
    <col min="6921" max="6921" width="5.5703125" bestFit="1" customWidth="1"/>
    <col min="6922" max="6922" width="7.85546875" bestFit="1" customWidth="1"/>
    <col min="6923" max="6923" width="9.5703125" bestFit="1" customWidth="1"/>
    <col min="6924" max="6924" width="15.42578125" bestFit="1" customWidth="1"/>
    <col min="7170" max="7170" width="26" bestFit="1" customWidth="1"/>
    <col min="7171" max="7171" width="26.85546875" bestFit="1" customWidth="1"/>
    <col min="7172" max="7172" width="10.5703125" bestFit="1" customWidth="1"/>
    <col min="7173" max="7173" width="8.42578125" bestFit="1" customWidth="1"/>
    <col min="7174" max="7174" width="22.7109375" bestFit="1" customWidth="1"/>
    <col min="7175" max="7175" width="37.28515625" bestFit="1" customWidth="1"/>
    <col min="7176" max="7176" width="4.5703125" bestFit="1" customWidth="1"/>
    <col min="7177" max="7177" width="5.5703125" bestFit="1" customWidth="1"/>
    <col min="7178" max="7178" width="7.85546875" bestFit="1" customWidth="1"/>
    <col min="7179" max="7179" width="9.5703125" bestFit="1" customWidth="1"/>
    <col min="7180" max="7180" width="15.42578125" bestFit="1" customWidth="1"/>
    <col min="7426" max="7426" width="26" bestFit="1" customWidth="1"/>
    <col min="7427" max="7427" width="26.85546875" bestFit="1" customWidth="1"/>
    <col min="7428" max="7428" width="10.5703125" bestFit="1" customWidth="1"/>
    <col min="7429" max="7429" width="8.42578125" bestFit="1" customWidth="1"/>
    <col min="7430" max="7430" width="22.7109375" bestFit="1" customWidth="1"/>
    <col min="7431" max="7431" width="37.28515625" bestFit="1" customWidth="1"/>
    <col min="7432" max="7432" width="4.5703125" bestFit="1" customWidth="1"/>
    <col min="7433" max="7433" width="5.5703125" bestFit="1" customWidth="1"/>
    <col min="7434" max="7434" width="7.85546875" bestFit="1" customWidth="1"/>
    <col min="7435" max="7435" width="9.5703125" bestFit="1" customWidth="1"/>
    <col min="7436" max="7436" width="15.42578125" bestFit="1" customWidth="1"/>
    <col min="7682" max="7682" width="26" bestFit="1" customWidth="1"/>
    <col min="7683" max="7683" width="26.85546875" bestFit="1" customWidth="1"/>
    <col min="7684" max="7684" width="10.5703125" bestFit="1" customWidth="1"/>
    <col min="7685" max="7685" width="8.42578125" bestFit="1" customWidth="1"/>
    <col min="7686" max="7686" width="22.7109375" bestFit="1" customWidth="1"/>
    <col min="7687" max="7687" width="37.28515625" bestFit="1" customWidth="1"/>
    <col min="7688" max="7688" width="4.5703125" bestFit="1" customWidth="1"/>
    <col min="7689" max="7689" width="5.5703125" bestFit="1" customWidth="1"/>
    <col min="7690" max="7690" width="7.85546875" bestFit="1" customWidth="1"/>
    <col min="7691" max="7691" width="9.5703125" bestFit="1" customWidth="1"/>
    <col min="7692" max="7692" width="15.42578125" bestFit="1" customWidth="1"/>
    <col min="7938" max="7938" width="26" bestFit="1" customWidth="1"/>
    <col min="7939" max="7939" width="26.85546875" bestFit="1" customWidth="1"/>
    <col min="7940" max="7940" width="10.5703125" bestFit="1" customWidth="1"/>
    <col min="7941" max="7941" width="8.42578125" bestFit="1" customWidth="1"/>
    <col min="7942" max="7942" width="22.7109375" bestFit="1" customWidth="1"/>
    <col min="7943" max="7943" width="37.28515625" bestFit="1" customWidth="1"/>
    <col min="7944" max="7944" width="4.5703125" bestFit="1" customWidth="1"/>
    <col min="7945" max="7945" width="5.5703125" bestFit="1" customWidth="1"/>
    <col min="7946" max="7946" width="7.85546875" bestFit="1" customWidth="1"/>
    <col min="7947" max="7947" width="9.5703125" bestFit="1" customWidth="1"/>
    <col min="7948" max="7948" width="15.42578125" bestFit="1" customWidth="1"/>
    <col min="8194" max="8194" width="26" bestFit="1" customWidth="1"/>
    <col min="8195" max="8195" width="26.85546875" bestFit="1" customWidth="1"/>
    <col min="8196" max="8196" width="10.5703125" bestFit="1" customWidth="1"/>
    <col min="8197" max="8197" width="8.42578125" bestFit="1" customWidth="1"/>
    <col min="8198" max="8198" width="22.7109375" bestFit="1" customWidth="1"/>
    <col min="8199" max="8199" width="37.28515625" bestFit="1" customWidth="1"/>
    <col min="8200" max="8200" width="4.5703125" bestFit="1" customWidth="1"/>
    <col min="8201" max="8201" width="5.5703125" bestFit="1" customWidth="1"/>
    <col min="8202" max="8202" width="7.85546875" bestFit="1" customWidth="1"/>
    <col min="8203" max="8203" width="9.5703125" bestFit="1" customWidth="1"/>
    <col min="8204" max="8204" width="15.42578125" bestFit="1" customWidth="1"/>
    <col min="8450" max="8450" width="26" bestFit="1" customWidth="1"/>
    <col min="8451" max="8451" width="26.85546875" bestFit="1" customWidth="1"/>
    <col min="8452" max="8452" width="10.5703125" bestFit="1" customWidth="1"/>
    <col min="8453" max="8453" width="8.42578125" bestFit="1" customWidth="1"/>
    <col min="8454" max="8454" width="22.7109375" bestFit="1" customWidth="1"/>
    <col min="8455" max="8455" width="37.28515625" bestFit="1" customWidth="1"/>
    <col min="8456" max="8456" width="4.5703125" bestFit="1" customWidth="1"/>
    <col min="8457" max="8457" width="5.5703125" bestFit="1" customWidth="1"/>
    <col min="8458" max="8458" width="7.85546875" bestFit="1" customWidth="1"/>
    <col min="8459" max="8459" width="9.5703125" bestFit="1" customWidth="1"/>
    <col min="8460" max="8460" width="15.42578125" bestFit="1" customWidth="1"/>
    <col min="8706" max="8706" width="26" bestFit="1" customWidth="1"/>
    <col min="8707" max="8707" width="26.85546875" bestFit="1" customWidth="1"/>
    <col min="8708" max="8708" width="10.5703125" bestFit="1" customWidth="1"/>
    <col min="8709" max="8709" width="8.42578125" bestFit="1" customWidth="1"/>
    <col min="8710" max="8710" width="22.7109375" bestFit="1" customWidth="1"/>
    <col min="8711" max="8711" width="37.28515625" bestFit="1" customWidth="1"/>
    <col min="8712" max="8712" width="4.5703125" bestFit="1" customWidth="1"/>
    <col min="8713" max="8713" width="5.5703125" bestFit="1" customWidth="1"/>
    <col min="8714" max="8714" width="7.85546875" bestFit="1" customWidth="1"/>
    <col min="8715" max="8715" width="9.5703125" bestFit="1" customWidth="1"/>
    <col min="8716" max="8716" width="15.42578125" bestFit="1" customWidth="1"/>
    <col min="8962" max="8962" width="26" bestFit="1" customWidth="1"/>
    <col min="8963" max="8963" width="26.85546875" bestFit="1" customWidth="1"/>
    <col min="8964" max="8964" width="10.5703125" bestFit="1" customWidth="1"/>
    <col min="8965" max="8965" width="8.42578125" bestFit="1" customWidth="1"/>
    <col min="8966" max="8966" width="22.7109375" bestFit="1" customWidth="1"/>
    <col min="8967" max="8967" width="37.28515625" bestFit="1" customWidth="1"/>
    <col min="8968" max="8968" width="4.5703125" bestFit="1" customWidth="1"/>
    <col min="8969" max="8969" width="5.5703125" bestFit="1" customWidth="1"/>
    <col min="8970" max="8970" width="7.85546875" bestFit="1" customWidth="1"/>
    <col min="8971" max="8971" width="9.5703125" bestFit="1" customWidth="1"/>
    <col min="8972" max="8972" width="15.42578125" bestFit="1" customWidth="1"/>
    <col min="9218" max="9218" width="26" bestFit="1" customWidth="1"/>
    <col min="9219" max="9219" width="26.85546875" bestFit="1" customWidth="1"/>
    <col min="9220" max="9220" width="10.5703125" bestFit="1" customWidth="1"/>
    <col min="9221" max="9221" width="8.42578125" bestFit="1" customWidth="1"/>
    <col min="9222" max="9222" width="22.7109375" bestFit="1" customWidth="1"/>
    <col min="9223" max="9223" width="37.28515625" bestFit="1" customWidth="1"/>
    <col min="9224" max="9224" width="4.5703125" bestFit="1" customWidth="1"/>
    <col min="9225" max="9225" width="5.5703125" bestFit="1" customWidth="1"/>
    <col min="9226" max="9226" width="7.85546875" bestFit="1" customWidth="1"/>
    <col min="9227" max="9227" width="9.5703125" bestFit="1" customWidth="1"/>
    <col min="9228" max="9228" width="15.42578125" bestFit="1" customWidth="1"/>
    <col min="9474" max="9474" width="26" bestFit="1" customWidth="1"/>
    <col min="9475" max="9475" width="26.85546875" bestFit="1" customWidth="1"/>
    <col min="9476" max="9476" width="10.5703125" bestFit="1" customWidth="1"/>
    <col min="9477" max="9477" width="8.42578125" bestFit="1" customWidth="1"/>
    <col min="9478" max="9478" width="22.7109375" bestFit="1" customWidth="1"/>
    <col min="9479" max="9479" width="37.28515625" bestFit="1" customWidth="1"/>
    <col min="9480" max="9480" width="4.5703125" bestFit="1" customWidth="1"/>
    <col min="9481" max="9481" width="5.5703125" bestFit="1" customWidth="1"/>
    <col min="9482" max="9482" width="7.85546875" bestFit="1" customWidth="1"/>
    <col min="9483" max="9483" width="9.5703125" bestFit="1" customWidth="1"/>
    <col min="9484" max="9484" width="15.42578125" bestFit="1" customWidth="1"/>
    <col min="9730" max="9730" width="26" bestFit="1" customWidth="1"/>
    <col min="9731" max="9731" width="26.85546875" bestFit="1" customWidth="1"/>
    <col min="9732" max="9732" width="10.5703125" bestFit="1" customWidth="1"/>
    <col min="9733" max="9733" width="8.42578125" bestFit="1" customWidth="1"/>
    <col min="9734" max="9734" width="22.7109375" bestFit="1" customWidth="1"/>
    <col min="9735" max="9735" width="37.28515625" bestFit="1" customWidth="1"/>
    <col min="9736" max="9736" width="4.5703125" bestFit="1" customWidth="1"/>
    <col min="9737" max="9737" width="5.5703125" bestFit="1" customWidth="1"/>
    <col min="9738" max="9738" width="7.85546875" bestFit="1" customWidth="1"/>
    <col min="9739" max="9739" width="9.5703125" bestFit="1" customWidth="1"/>
    <col min="9740" max="9740" width="15.42578125" bestFit="1" customWidth="1"/>
    <col min="9986" max="9986" width="26" bestFit="1" customWidth="1"/>
    <col min="9987" max="9987" width="26.85546875" bestFit="1" customWidth="1"/>
    <col min="9988" max="9988" width="10.5703125" bestFit="1" customWidth="1"/>
    <col min="9989" max="9989" width="8.42578125" bestFit="1" customWidth="1"/>
    <col min="9990" max="9990" width="22.7109375" bestFit="1" customWidth="1"/>
    <col min="9991" max="9991" width="37.28515625" bestFit="1" customWidth="1"/>
    <col min="9992" max="9992" width="4.5703125" bestFit="1" customWidth="1"/>
    <col min="9993" max="9993" width="5.5703125" bestFit="1" customWidth="1"/>
    <col min="9994" max="9994" width="7.85546875" bestFit="1" customWidth="1"/>
    <col min="9995" max="9995" width="9.5703125" bestFit="1" customWidth="1"/>
    <col min="9996" max="9996" width="15.42578125" bestFit="1" customWidth="1"/>
    <col min="10242" max="10242" width="26" bestFit="1" customWidth="1"/>
    <col min="10243" max="10243" width="26.85546875" bestFit="1" customWidth="1"/>
    <col min="10244" max="10244" width="10.5703125" bestFit="1" customWidth="1"/>
    <col min="10245" max="10245" width="8.42578125" bestFit="1" customWidth="1"/>
    <col min="10246" max="10246" width="22.7109375" bestFit="1" customWidth="1"/>
    <col min="10247" max="10247" width="37.28515625" bestFit="1" customWidth="1"/>
    <col min="10248" max="10248" width="4.5703125" bestFit="1" customWidth="1"/>
    <col min="10249" max="10249" width="5.5703125" bestFit="1" customWidth="1"/>
    <col min="10250" max="10250" width="7.85546875" bestFit="1" customWidth="1"/>
    <col min="10251" max="10251" width="9.5703125" bestFit="1" customWidth="1"/>
    <col min="10252" max="10252" width="15.42578125" bestFit="1" customWidth="1"/>
    <col min="10498" max="10498" width="26" bestFit="1" customWidth="1"/>
    <col min="10499" max="10499" width="26.85546875" bestFit="1" customWidth="1"/>
    <col min="10500" max="10500" width="10.5703125" bestFit="1" customWidth="1"/>
    <col min="10501" max="10501" width="8.42578125" bestFit="1" customWidth="1"/>
    <col min="10502" max="10502" width="22.7109375" bestFit="1" customWidth="1"/>
    <col min="10503" max="10503" width="37.28515625" bestFit="1" customWidth="1"/>
    <col min="10504" max="10504" width="4.5703125" bestFit="1" customWidth="1"/>
    <col min="10505" max="10505" width="5.5703125" bestFit="1" customWidth="1"/>
    <col min="10506" max="10506" width="7.85546875" bestFit="1" customWidth="1"/>
    <col min="10507" max="10507" width="9.5703125" bestFit="1" customWidth="1"/>
    <col min="10508" max="10508" width="15.42578125" bestFit="1" customWidth="1"/>
    <col min="10754" max="10754" width="26" bestFit="1" customWidth="1"/>
    <col min="10755" max="10755" width="26.85546875" bestFit="1" customWidth="1"/>
    <col min="10756" max="10756" width="10.5703125" bestFit="1" customWidth="1"/>
    <col min="10757" max="10757" width="8.42578125" bestFit="1" customWidth="1"/>
    <col min="10758" max="10758" width="22.7109375" bestFit="1" customWidth="1"/>
    <col min="10759" max="10759" width="37.28515625" bestFit="1" customWidth="1"/>
    <col min="10760" max="10760" width="4.5703125" bestFit="1" customWidth="1"/>
    <col min="10761" max="10761" width="5.5703125" bestFit="1" customWidth="1"/>
    <col min="10762" max="10762" width="7.85546875" bestFit="1" customWidth="1"/>
    <col min="10763" max="10763" width="9.5703125" bestFit="1" customWidth="1"/>
    <col min="10764" max="10764" width="15.42578125" bestFit="1" customWidth="1"/>
    <col min="11010" max="11010" width="26" bestFit="1" customWidth="1"/>
    <col min="11011" max="11011" width="26.85546875" bestFit="1" customWidth="1"/>
    <col min="11012" max="11012" width="10.5703125" bestFit="1" customWidth="1"/>
    <col min="11013" max="11013" width="8.42578125" bestFit="1" customWidth="1"/>
    <col min="11014" max="11014" width="22.7109375" bestFit="1" customWidth="1"/>
    <col min="11015" max="11015" width="37.28515625" bestFit="1" customWidth="1"/>
    <col min="11016" max="11016" width="4.5703125" bestFit="1" customWidth="1"/>
    <col min="11017" max="11017" width="5.5703125" bestFit="1" customWidth="1"/>
    <col min="11018" max="11018" width="7.85546875" bestFit="1" customWidth="1"/>
    <col min="11019" max="11019" width="9.5703125" bestFit="1" customWidth="1"/>
    <col min="11020" max="11020" width="15.42578125" bestFit="1" customWidth="1"/>
    <col min="11266" max="11266" width="26" bestFit="1" customWidth="1"/>
    <col min="11267" max="11267" width="26.85546875" bestFit="1" customWidth="1"/>
    <col min="11268" max="11268" width="10.5703125" bestFit="1" customWidth="1"/>
    <col min="11269" max="11269" width="8.42578125" bestFit="1" customWidth="1"/>
    <col min="11270" max="11270" width="22.7109375" bestFit="1" customWidth="1"/>
    <col min="11271" max="11271" width="37.28515625" bestFit="1" customWidth="1"/>
    <col min="11272" max="11272" width="4.5703125" bestFit="1" customWidth="1"/>
    <col min="11273" max="11273" width="5.5703125" bestFit="1" customWidth="1"/>
    <col min="11274" max="11274" width="7.85546875" bestFit="1" customWidth="1"/>
    <col min="11275" max="11275" width="9.5703125" bestFit="1" customWidth="1"/>
    <col min="11276" max="11276" width="15.42578125" bestFit="1" customWidth="1"/>
    <col min="11522" max="11522" width="26" bestFit="1" customWidth="1"/>
    <col min="11523" max="11523" width="26.85546875" bestFit="1" customWidth="1"/>
    <col min="11524" max="11524" width="10.5703125" bestFit="1" customWidth="1"/>
    <col min="11525" max="11525" width="8.42578125" bestFit="1" customWidth="1"/>
    <col min="11526" max="11526" width="22.7109375" bestFit="1" customWidth="1"/>
    <col min="11527" max="11527" width="37.28515625" bestFit="1" customWidth="1"/>
    <col min="11528" max="11528" width="4.5703125" bestFit="1" customWidth="1"/>
    <col min="11529" max="11529" width="5.5703125" bestFit="1" customWidth="1"/>
    <col min="11530" max="11530" width="7.85546875" bestFit="1" customWidth="1"/>
    <col min="11531" max="11531" width="9.5703125" bestFit="1" customWidth="1"/>
    <col min="11532" max="11532" width="15.42578125" bestFit="1" customWidth="1"/>
    <col min="11778" max="11778" width="26" bestFit="1" customWidth="1"/>
    <col min="11779" max="11779" width="26.85546875" bestFit="1" customWidth="1"/>
    <col min="11780" max="11780" width="10.5703125" bestFit="1" customWidth="1"/>
    <col min="11781" max="11781" width="8.42578125" bestFit="1" customWidth="1"/>
    <col min="11782" max="11782" width="22.7109375" bestFit="1" customWidth="1"/>
    <col min="11783" max="11783" width="37.28515625" bestFit="1" customWidth="1"/>
    <col min="11784" max="11784" width="4.5703125" bestFit="1" customWidth="1"/>
    <col min="11785" max="11785" width="5.5703125" bestFit="1" customWidth="1"/>
    <col min="11786" max="11786" width="7.85546875" bestFit="1" customWidth="1"/>
    <col min="11787" max="11787" width="9.5703125" bestFit="1" customWidth="1"/>
    <col min="11788" max="11788" width="15.42578125" bestFit="1" customWidth="1"/>
    <col min="12034" max="12034" width="26" bestFit="1" customWidth="1"/>
    <col min="12035" max="12035" width="26.85546875" bestFit="1" customWidth="1"/>
    <col min="12036" max="12036" width="10.5703125" bestFit="1" customWidth="1"/>
    <col min="12037" max="12037" width="8.42578125" bestFit="1" customWidth="1"/>
    <col min="12038" max="12038" width="22.7109375" bestFit="1" customWidth="1"/>
    <col min="12039" max="12039" width="37.28515625" bestFit="1" customWidth="1"/>
    <col min="12040" max="12040" width="4.5703125" bestFit="1" customWidth="1"/>
    <col min="12041" max="12041" width="5.5703125" bestFit="1" customWidth="1"/>
    <col min="12042" max="12042" width="7.85546875" bestFit="1" customWidth="1"/>
    <col min="12043" max="12043" width="9.5703125" bestFit="1" customWidth="1"/>
    <col min="12044" max="12044" width="15.42578125" bestFit="1" customWidth="1"/>
    <col min="12290" max="12290" width="26" bestFit="1" customWidth="1"/>
    <col min="12291" max="12291" width="26.85546875" bestFit="1" customWidth="1"/>
    <col min="12292" max="12292" width="10.5703125" bestFit="1" customWidth="1"/>
    <col min="12293" max="12293" width="8.42578125" bestFit="1" customWidth="1"/>
    <col min="12294" max="12294" width="22.7109375" bestFit="1" customWidth="1"/>
    <col min="12295" max="12295" width="37.28515625" bestFit="1" customWidth="1"/>
    <col min="12296" max="12296" width="4.5703125" bestFit="1" customWidth="1"/>
    <col min="12297" max="12297" width="5.5703125" bestFit="1" customWidth="1"/>
    <col min="12298" max="12298" width="7.85546875" bestFit="1" customWidth="1"/>
    <col min="12299" max="12299" width="9.5703125" bestFit="1" customWidth="1"/>
    <col min="12300" max="12300" width="15.42578125" bestFit="1" customWidth="1"/>
    <col min="12546" max="12546" width="26" bestFit="1" customWidth="1"/>
    <col min="12547" max="12547" width="26.85546875" bestFit="1" customWidth="1"/>
    <col min="12548" max="12548" width="10.5703125" bestFit="1" customWidth="1"/>
    <col min="12549" max="12549" width="8.42578125" bestFit="1" customWidth="1"/>
    <col min="12550" max="12550" width="22.7109375" bestFit="1" customWidth="1"/>
    <col min="12551" max="12551" width="37.28515625" bestFit="1" customWidth="1"/>
    <col min="12552" max="12552" width="4.5703125" bestFit="1" customWidth="1"/>
    <col min="12553" max="12553" width="5.5703125" bestFit="1" customWidth="1"/>
    <col min="12554" max="12554" width="7.85546875" bestFit="1" customWidth="1"/>
    <col min="12555" max="12555" width="9.5703125" bestFit="1" customWidth="1"/>
    <col min="12556" max="12556" width="15.42578125" bestFit="1" customWidth="1"/>
    <col min="12802" max="12802" width="26" bestFit="1" customWidth="1"/>
    <col min="12803" max="12803" width="26.85546875" bestFit="1" customWidth="1"/>
    <col min="12804" max="12804" width="10.5703125" bestFit="1" customWidth="1"/>
    <col min="12805" max="12805" width="8.42578125" bestFit="1" customWidth="1"/>
    <col min="12806" max="12806" width="22.7109375" bestFit="1" customWidth="1"/>
    <col min="12807" max="12807" width="37.28515625" bestFit="1" customWidth="1"/>
    <col min="12808" max="12808" width="4.5703125" bestFit="1" customWidth="1"/>
    <col min="12809" max="12809" width="5.5703125" bestFit="1" customWidth="1"/>
    <col min="12810" max="12810" width="7.85546875" bestFit="1" customWidth="1"/>
    <col min="12811" max="12811" width="9.5703125" bestFit="1" customWidth="1"/>
    <col min="12812" max="12812" width="15.42578125" bestFit="1" customWidth="1"/>
    <col min="13058" max="13058" width="26" bestFit="1" customWidth="1"/>
    <col min="13059" max="13059" width="26.85546875" bestFit="1" customWidth="1"/>
    <col min="13060" max="13060" width="10.5703125" bestFit="1" customWidth="1"/>
    <col min="13061" max="13061" width="8.42578125" bestFit="1" customWidth="1"/>
    <col min="13062" max="13062" width="22.7109375" bestFit="1" customWidth="1"/>
    <col min="13063" max="13063" width="37.28515625" bestFit="1" customWidth="1"/>
    <col min="13064" max="13064" width="4.5703125" bestFit="1" customWidth="1"/>
    <col min="13065" max="13065" width="5.5703125" bestFit="1" customWidth="1"/>
    <col min="13066" max="13066" width="7.85546875" bestFit="1" customWidth="1"/>
    <col min="13067" max="13067" width="9.5703125" bestFit="1" customWidth="1"/>
    <col min="13068" max="13068" width="15.42578125" bestFit="1" customWidth="1"/>
    <col min="13314" max="13314" width="26" bestFit="1" customWidth="1"/>
    <col min="13315" max="13315" width="26.85546875" bestFit="1" customWidth="1"/>
    <col min="13316" max="13316" width="10.5703125" bestFit="1" customWidth="1"/>
    <col min="13317" max="13317" width="8.42578125" bestFit="1" customWidth="1"/>
    <col min="13318" max="13318" width="22.7109375" bestFit="1" customWidth="1"/>
    <col min="13319" max="13319" width="37.28515625" bestFit="1" customWidth="1"/>
    <col min="13320" max="13320" width="4.5703125" bestFit="1" customWidth="1"/>
    <col min="13321" max="13321" width="5.5703125" bestFit="1" customWidth="1"/>
    <col min="13322" max="13322" width="7.85546875" bestFit="1" customWidth="1"/>
    <col min="13323" max="13323" width="9.5703125" bestFit="1" customWidth="1"/>
    <col min="13324" max="13324" width="15.42578125" bestFit="1" customWidth="1"/>
    <col min="13570" max="13570" width="26" bestFit="1" customWidth="1"/>
    <col min="13571" max="13571" width="26.85546875" bestFit="1" customWidth="1"/>
    <col min="13572" max="13572" width="10.5703125" bestFit="1" customWidth="1"/>
    <col min="13573" max="13573" width="8.42578125" bestFit="1" customWidth="1"/>
    <col min="13574" max="13574" width="22.7109375" bestFit="1" customWidth="1"/>
    <col min="13575" max="13575" width="37.28515625" bestFit="1" customWidth="1"/>
    <col min="13576" max="13576" width="4.5703125" bestFit="1" customWidth="1"/>
    <col min="13577" max="13577" width="5.5703125" bestFit="1" customWidth="1"/>
    <col min="13578" max="13578" width="7.85546875" bestFit="1" customWidth="1"/>
    <col min="13579" max="13579" width="9.5703125" bestFit="1" customWidth="1"/>
    <col min="13580" max="13580" width="15.42578125" bestFit="1" customWidth="1"/>
    <col min="13826" max="13826" width="26" bestFit="1" customWidth="1"/>
    <col min="13827" max="13827" width="26.85546875" bestFit="1" customWidth="1"/>
    <col min="13828" max="13828" width="10.5703125" bestFit="1" customWidth="1"/>
    <col min="13829" max="13829" width="8.42578125" bestFit="1" customWidth="1"/>
    <col min="13830" max="13830" width="22.7109375" bestFit="1" customWidth="1"/>
    <col min="13831" max="13831" width="37.28515625" bestFit="1" customWidth="1"/>
    <col min="13832" max="13832" width="4.5703125" bestFit="1" customWidth="1"/>
    <col min="13833" max="13833" width="5.5703125" bestFit="1" customWidth="1"/>
    <col min="13834" max="13834" width="7.85546875" bestFit="1" customWidth="1"/>
    <col min="13835" max="13835" width="9.5703125" bestFit="1" customWidth="1"/>
    <col min="13836" max="13836" width="15.42578125" bestFit="1" customWidth="1"/>
    <col min="14082" max="14082" width="26" bestFit="1" customWidth="1"/>
    <col min="14083" max="14083" width="26.85546875" bestFit="1" customWidth="1"/>
    <col min="14084" max="14084" width="10.5703125" bestFit="1" customWidth="1"/>
    <col min="14085" max="14085" width="8.42578125" bestFit="1" customWidth="1"/>
    <col min="14086" max="14086" width="22.7109375" bestFit="1" customWidth="1"/>
    <col min="14087" max="14087" width="37.28515625" bestFit="1" customWidth="1"/>
    <col min="14088" max="14088" width="4.5703125" bestFit="1" customWidth="1"/>
    <col min="14089" max="14089" width="5.5703125" bestFit="1" customWidth="1"/>
    <col min="14090" max="14090" width="7.85546875" bestFit="1" customWidth="1"/>
    <col min="14091" max="14091" width="9.5703125" bestFit="1" customWidth="1"/>
    <col min="14092" max="14092" width="15.42578125" bestFit="1" customWidth="1"/>
    <col min="14338" max="14338" width="26" bestFit="1" customWidth="1"/>
    <col min="14339" max="14339" width="26.85546875" bestFit="1" customWidth="1"/>
    <col min="14340" max="14340" width="10.5703125" bestFit="1" customWidth="1"/>
    <col min="14341" max="14341" width="8.42578125" bestFit="1" customWidth="1"/>
    <col min="14342" max="14342" width="22.7109375" bestFit="1" customWidth="1"/>
    <col min="14343" max="14343" width="37.28515625" bestFit="1" customWidth="1"/>
    <col min="14344" max="14344" width="4.5703125" bestFit="1" customWidth="1"/>
    <col min="14345" max="14345" width="5.5703125" bestFit="1" customWidth="1"/>
    <col min="14346" max="14346" width="7.85546875" bestFit="1" customWidth="1"/>
    <col min="14347" max="14347" width="9.5703125" bestFit="1" customWidth="1"/>
    <col min="14348" max="14348" width="15.42578125" bestFit="1" customWidth="1"/>
    <col min="14594" max="14594" width="26" bestFit="1" customWidth="1"/>
    <col min="14595" max="14595" width="26.85546875" bestFit="1" customWidth="1"/>
    <col min="14596" max="14596" width="10.5703125" bestFit="1" customWidth="1"/>
    <col min="14597" max="14597" width="8.42578125" bestFit="1" customWidth="1"/>
    <col min="14598" max="14598" width="22.7109375" bestFit="1" customWidth="1"/>
    <col min="14599" max="14599" width="37.28515625" bestFit="1" customWidth="1"/>
    <col min="14600" max="14600" width="4.5703125" bestFit="1" customWidth="1"/>
    <col min="14601" max="14601" width="5.5703125" bestFit="1" customWidth="1"/>
    <col min="14602" max="14602" width="7.85546875" bestFit="1" customWidth="1"/>
    <col min="14603" max="14603" width="9.5703125" bestFit="1" customWidth="1"/>
    <col min="14604" max="14604" width="15.42578125" bestFit="1" customWidth="1"/>
    <col min="14850" max="14850" width="26" bestFit="1" customWidth="1"/>
    <col min="14851" max="14851" width="26.85546875" bestFit="1" customWidth="1"/>
    <col min="14852" max="14852" width="10.5703125" bestFit="1" customWidth="1"/>
    <col min="14853" max="14853" width="8.42578125" bestFit="1" customWidth="1"/>
    <col min="14854" max="14854" width="22.7109375" bestFit="1" customWidth="1"/>
    <col min="14855" max="14855" width="37.28515625" bestFit="1" customWidth="1"/>
    <col min="14856" max="14856" width="4.5703125" bestFit="1" customWidth="1"/>
    <col min="14857" max="14857" width="5.5703125" bestFit="1" customWidth="1"/>
    <col min="14858" max="14858" width="7.85546875" bestFit="1" customWidth="1"/>
    <col min="14859" max="14859" width="9.5703125" bestFit="1" customWidth="1"/>
    <col min="14860" max="14860" width="15.42578125" bestFit="1" customWidth="1"/>
    <col min="15106" max="15106" width="26" bestFit="1" customWidth="1"/>
    <col min="15107" max="15107" width="26.85546875" bestFit="1" customWidth="1"/>
    <col min="15108" max="15108" width="10.5703125" bestFit="1" customWidth="1"/>
    <col min="15109" max="15109" width="8.42578125" bestFit="1" customWidth="1"/>
    <col min="15110" max="15110" width="22.7109375" bestFit="1" customWidth="1"/>
    <col min="15111" max="15111" width="37.28515625" bestFit="1" customWidth="1"/>
    <col min="15112" max="15112" width="4.5703125" bestFit="1" customWidth="1"/>
    <col min="15113" max="15113" width="5.5703125" bestFit="1" customWidth="1"/>
    <col min="15114" max="15114" width="7.85546875" bestFit="1" customWidth="1"/>
    <col min="15115" max="15115" width="9.5703125" bestFit="1" customWidth="1"/>
    <col min="15116" max="15116" width="15.42578125" bestFit="1" customWidth="1"/>
    <col min="15362" max="15362" width="26" bestFit="1" customWidth="1"/>
    <col min="15363" max="15363" width="26.85546875" bestFit="1" customWidth="1"/>
    <col min="15364" max="15364" width="10.5703125" bestFit="1" customWidth="1"/>
    <col min="15365" max="15365" width="8.42578125" bestFit="1" customWidth="1"/>
    <col min="15366" max="15366" width="22.7109375" bestFit="1" customWidth="1"/>
    <col min="15367" max="15367" width="37.28515625" bestFit="1" customWidth="1"/>
    <col min="15368" max="15368" width="4.5703125" bestFit="1" customWidth="1"/>
    <col min="15369" max="15369" width="5.5703125" bestFit="1" customWidth="1"/>
    <col min="15370" max="15370" width="7.85546875" bestFit="1" customWidth="1"/>
    <col min="15371" max="15371" width="9.5703125" bestFit="1" customWidth="1"/>
    <col min="15372" max="15372" width="15.42578125" bestFit="1" customWidth="1"/>
    <col min="15618" max="15618" width="26" bestFit="1" customWidth="1"/>
    <col min="15619" max="15619" width="26.85546875" bestFit="1" customWidth="1"/>
    <col min="15620" max="15620" width="10.5703125" bestFit="1" customWidth="1"/>
    <col min="15621" max="15621" width="8.42578125" bestFit="1" customWidth="1"/>
    <col min="15622" max="15622" width="22.7109375" bestFit="1" customWidth="1"/>
    <col min="15623" max="15623" width="37.28515625" bestFit="1" customWidth="1"/>
    <col min="15624" max="15624" width="4.5703125" bestFit="1" customWidth="1"/>
    <col min="15625" max="15625" width="5.5703125" bestFit="1" customWidth="1"/>
    <col min="15626" max="15626" width="7.85546875" bestFit="1" customWidth="1"/>
    <col min="15627" max="15627" width="9.5703125" bestFit="1" customWidth="1"/>
    <col min="15628" max="15628" width="15.42578125" bestFit="1" customWidth="1"/>
    <col min="15874" max="15874" width="26" bestFit="1" customWidth="1"/>
    <col min="15875" max="15875" width="26.85546875" bestFit="1" customWidth="1"/>
    <col min="15876" max="15876" width="10.5703125" bestFit="1" customWidth="1"/>
    <col min="15877" max="15877" width="8.42578125" bestFit="1" customWidth="1"/>
    <col min="15878" max="15878" width="22.7109375" bestFit="1" customWidth="1"/>
    <col min="15879" max="15879" width="37.28515625" bestFit="1" customWidth="1"/>
    <col min="15880" max="15880" width="4.5703125" bestFit="1" customWidth="1"/>
    <col min="15881" max="15881" width="5.5703125" bestFit="1" customWidth="1"/>
    <col min="15882" max="15882" width="7.85546875" bestFit="1" customWidth="1"/>
    <col min="15883" max="15883" width="9.5703125" bestFit="1" customWidth="1"/>
    <col min="15884" max="15884" width="15.42578125" bestFit="1" customWidth="1"/>
    <col min="16130" max="16130" width="26" bestFit="1" customWidth="1"/>
    <col min="16131" max="16131" width="26.85546875" bestFit="1" customWidth="1"/>
    <col min="16132" max="16132" width="10.5703125" bestFit="1" customWidth="1"/>
    <col min="16133" max="16133" width="8.42578125" bestFit="1" customWidth="1"/>
    <col min="16134" max="16134" width="22.7109375" bestFit="1" customWidth="1"/>
    <col min="16135" max="16135" width="37.28515625" bestFit="1" customWidth="1"/>
    <col min="16136" max="16136" width="4.5703125" bestFit="1" customWidth="1"/>
    <col min="16137" max="16137" width="5.5703125" bestFit="1" customWidth="1"/>
    <col min="16138" max="16138" width="7.85546875" bestFit="1" customWidth="1"/>
    <col min="16139" max="16139" width="9.5703125" bestFit="1" customWidth="1"/>
    <col min="16140" max="16140" width="15.42578125" bestFit="1" customWidth="1"/>
  </cols>
  <sheetData>
    <row r="1" spans="1:12" ht="30" x14ac:dyDescent="0.4">
      <c r="A1" s="348" t="s">
        <v>4054</v>
      </c>
      <c r="B1" s="349"/>
      <c r="C1" s="349"/>
      <c r="D1" s="349"/>
      <c r="E1" s="349"/>
      <c r="F1" s="349"/>
      <c r="G1" s="349"/>
      <c r="H1" s="349"/>
      <c r="I1" s="349"/>
      <c r="J1" s="349"/>
      <c r="K1" s="349"/>
      <c r="L1" s="350"/>
    </row>
    <row r="2" spans="1:12" ht="30" x14ac:dyDescent="0.4">
      <c r="A2" s="351" t="s">
        <v>4075</v>
      </c>
      <c r="B2" s="352"/>
      <c r="C2" s="352"/>
      <c r="D2" s="352"/>
      <c r="E2" s="352"/>
      <c r="F2" s="352"/>
      <c r="G2" s="352"/>
      <c r="H2" s="352"/>
      <c r="I2" s="352"/>
      <c r="J2" s="352"/>
      <c r="K2" s="352"/>
      <c r="L2" s="353"/>
    </row>
    <row r="3" spans="1:12" ht="30.75" thickBot="1" x14ac:dyDescent="0.45">
      <c r="A3" s="354" t="s">
        <v>4056</v>
      </c>
      <c r="B3" s="355"/>
      <c r="C3" s="355"/>
      <c r="D3" s="355"/>
      <c r="E3" s="355"/>
      <c r="F3" s="355"/>
      <c r="G3" s="355"/>
      <c r="H3" s="355"/>
      <c r="I3" s="355"/>
      <c r="J3" s="355"/>
      <c r="K3" s="355"/>
      <c r="L3" s="356"/>
    </row>
    <row r="4" spans="1:12" s="5" customFormat="1" ht="15" customHeight="1" x14ac:dyDescent="0.2">
      <c r="A4" s="300" t="s">
        <v>2842</v>
      </c>
      <c r="B4" s="312" t="s">
        <v>2820</v>
      </c>
      <c r="C4" s="357" t="s">
        <v>2843</v>
      </c>
      <c r="D4" s="357" t="s">
        <v>2844</v>
      </c>
      <c r="E4" s="304" t="s">
        <v>2821</v>
      </c>
      <c r="F4" s="304" t="s">
        <v>2822</v>
      </c>
      <c r="G4" s="305" t="s">
        <v>2841</v>
      </c>
      <c r="H4" s="304" t="s">
        <v>2823</v>
      </c>
      <c r="I4" s="304"/>
      <c r="J4" s="359" t="s">
        <v>2940</v>
      </c>
      <c r="K4" s="304" t="s">
        <v>2825</v>
      </c>
      <c r="L4" s="307" t="s">
        <v>2826</v>
      </c>
    </row>
    <row r="5" spans="1:12" s="5" customFormat="1" ht="15.75" thickBot="1" x14ac:dyDescent="0.25">
      <c r="A5" s="301"/>
      <c r="B5" s="313"/>
      <c r="C5" s="358"/>
      <c r="D5" s="358"/>
      <c r="E5" s="303"/>
      <c r="F5" s="303"/>
      <c r="G5" s="306"/>
      <c r="H5" s="2" t="s">
        <v>2847</v>
      </c>
      <c r="I5" s="2" t="s">
        <v>2846</v>
      </c>
      <c r="J5" s="360"/>
      <c r="K5" s="303"/>
      <c r="L5" s="310"/>
    </row>
    <row r="6" spans="1:12" ht="15" x14ac:dyDescent="0.2">
      <c r="B6" s="299" t="s">
        <v>2863</v>
      </c>
      <c r="C6" s="299"/>
      <c r="D6" s="299"/>
      <c r="E6" s="299"/>
      <c r="F6" s="299"/>
      <c r="G6" s="299"/>
      <c r="H6" s="299"/>
      <c r="I6" s="299"/>
      <c r="J6" s="299"/>
      <c r="K6" s="299"/>
    </row>
    <row r="7" spans="1:12" x14ac:dyDescent="0.2">
      <c r="A7" s="43">
        <v>1</v>
      </c>
      <c r="B7" s="7" t="s">
        <v>2981</v>
      </c>
      <c r="C7" s="7" t="s">
        <v>2982</v>
      </c>
      <c r="D7" s="7" t="s">
        <v>467</v>
      </c>
      <c r="E7" s="7" t="str">
        <f>"0,6440"</f>
        <v>0,6440</v>
      </c>
      <c r="F7" s="7" t="s">
        <v>2853</v>
      </c>
      <c r="G7" s="7" t="s">
        <v>2926</v>
      </c>
      <c r="H7" s="19" t="s">
        <v>59</v>
      </c>
      <c r="I7" s="19" t="s">
        <v>2988</v>
      </c>
      <c r="J7" s="19" t="s">
        <v>2986</v>
      </c>
      <c r="K7" s="19" t="str">
        <f>"3445,4000"</f>
        <v>3445,4000</v>
      </c>
      <c r="L7" s="7" t="s">
        <v>2855</v>
      </c>
    </row>
    <row r="9" spans="1:12" ht="15" x14ac:dyDescent="0.2">
      <c r="B9" s="294" t="s">
        <v>2869</v>
      </c>
      <c r="C9" s="294"/>
      <c r="D9" s="294"/>
      <c r="E9" s="294"/>
      <c r="F9" s="294"/>
      <c r="G9" s="294"/>
      <c r="H9" s="294"/>
      <c r="I9" s="294"/>
      <c r="J9" s="294"/>
      <c r="K9" s="294"/>
    </row>
    <row r="10" spans="1:12" x14ac:dyDescent="0.2">
      <c r="A10" s="43">
        <v>1</v>
      </c>
      <c r="B10" s="7" t="s">
        <v>2983</v>
      </c>
      <c r="C10" s="7" t="s">
        <v>2984</v>
      </c>
      <c r="D10" s="7" t="s">
        <v>2985</v>
      </c>
      <c r="E10" s="7" t="str">
        <f>"0,6345"</f>
        <v>0,6345</v>
      </c>
      <c r="F10" s="7" t="s">
        <v>2853</v>
      </c>
      <c r="G10" s="7" t="s">
        <v>2925</v>
      </c>
      <c r="H10" s="19" t="s">
        <v>59</v>
      </c>
      <c r="I10" s="19" t="s">
        <v>2989</v>
      </c>
      <c r="J10" s="19" t="s">
        <v>2987</v>
      </c>
      <c r="K10" s="19" t="str">
        <f>"1744,8751"</f>
        <v>1744,8751</v>
      </c>
      <c r="L10" s="7" t="s">
        <v>2855</v>
      </c>
    </row>
    <row r="12" spans="1:12" ht="13.5" thickBot="1" x14ac:dyDescent="0.25"/>
    <row r="13" spans="1:12" ht="30" x14ac:dyDescent="0.4">
      <c r="A13" s="348" t="s">
        <v>4054</v>
      </c>
      <c r="B13" s="349"/>
      <c r="C13" s="349"/>
      <c r="D13" s="349"/>
      <c r="E13" s="349"/>
      <c r="F13" s="349"/>
      <c r="G13" s="349"/>
      <c r="H13" s="349"/>
      <c r="I13" s="349"/>
      <c r="J13" s="349"/>
      <c r="K13" s="349"/>
      <c r="L13" s="350"/>
    </row>
    <row r="14" spans="1:12" ht="30" x14ac:dyDescent="0.4">
      <c r="A14" s="351" t="s">
        <v>4076</v>
      </c>
      <c r="B14" s="352"/>
      <c r="C14" s="352"/>
      <c r="D14" s="352"/>
      <c r="E14" s="352"/>
      <c r="F14" s="352"/>
      <c r="G14" s="352"/>
      <c r="H14" s="352"/>
      <c r="I14" s="352"/>
      <c r="J14" s="352"/>
      <c r="K14" s="352"/>
      <c r="L14" s="353"/>
    </row>
    <row r="15" spans="1:12" ht="30.75" thickBot="1" x14ac:dyDescent="0.45">
      <c r="A15" s="354" t="s">
        <v>4056</v>
      </c>
      <c r="B15" s="355"/>
      <c r="C15" s="355"/>
      <c r="D15" s="355"/>
      <c r="E15" s="355"/>
      <c r="F15" s="355"/>
      <c r="G15" s="355"/>
      <c r="H15" s="355"/>
      <c r="I15" s="355"/>
      <c r="J15" s="355"/>
      <c r="K15" s="355"/>
      <c r="L15" s="356"/>
    </row>
    <row r="16" spans="1:12" ht="15" x14ac:dyDescent="0.2">
      <c r="A16" s="300" t="s">
        <v>2842</v>
      </c>
      <c r="B16" s="312" t="s">
        <v>2820</v>
      </c>
      <c r="C16" s="357" t="s">
        <v>2843</v>
      </c>
      <c r="D16" s="357" t="s">
        <v>2844</v>
      </c>
      <c r="E16" s="304" t="s">
        <v>2821</v>
      </c>
      <c r="F16" s="304" t="s">
        <v>2822</v>
      </c>
      <c r="G16" s="305" t="s">
        <v>2841</v>
      </c>
      <c r="H16" s="304" t="s">
        <v>2823</v>
      </c>
      <c r="I16" s="304"/>
      <c r="J16" s="359" t="s">
        <v>2940</v>
      </c>
      <c r="K16" s="304" t="s">
        <v>2825</v>
      </c>
      <c r="L16" s="307" t="s">
        <v>2826</v>
      </c>
    </row>
    <row r="17" spans="1:12" ht="15" thickBot="1" x14ac:dyDescent="0.25">
      <c r="A17" s="301"/>
      <c r="B17" s="313"/>
      <c r="C17" s="358"/>
      <c r="D17" s="358"/>
      <c r="E17" s="303"/>
      <c r="F17" s="303"/>
      <c r="G17" s="306"/>
      <c r="H17" s="2" t="s">
        <v>2847</v>
      </c>
      <c r="I17" s="2" t="s">
        <v>2846</v>
      </c>
      <c r="J17" s="360"/>
      <c r="K17" s="303"/>
      <c r="L17" s="310"/>
    </row>
    <row r="18" spans="1:12" ht="15" x14ac:dyDescent="0.2">
      <c r="A18" s="43"/>
      <c r="B18" s="299" t="s">
        <v>2869</v>
      </c>
      <c r="C18" s="299"/>
      <c r="D18" s="299"/>
      <c r="E18" s="299"/>
      <c r="F18" s="299"/>
      <c r="G18" s="299"/>
      <c r="H18" s="299"/>
      <c r="I18" s="299"/>
      <c r="J18" s="299"/>
      <c r="K18" s="299"/>
    </row>
    <row r="19" spans="1:12" x14ac:dyDescent="0.2">
      <c r="A19" s="43">
        <v>1</v>
      </c>
      <c r="B19" s="7" t="s">
        <v>2992</v>
      </c>
      <c r="C19" s="7" t="s">
        <v>1673</v>
      </c>
      <c r="D19" s="7" t="s">
        <v>1500</v>
      </c>
      <c r="E19" s="7" t="str">
        <f>"0,6129"</f>
        <v>0,6129</v>
      </c>
      <c r="F19" s="7" t="s">
        <v>2831</v>
      </c>
      <c r="G19" s="7" t="s">
        <v>2832</v>
      </c>
      <c r="H19" s="19" t="s">
        <v>76</v>
      </c>
      <c r="I19" s="19" t="s">
        <v>2956</v>
      </c>
      <c r="J19" s="28">
        <v>1900</v>
      </c>
      <c r="K19" s="19" t="str">
        <f>"1164,5100"</f>
        <v>1164,5100</v>
      </c>
      <c r="L19" s="7" t="s">
        <v>2855</v>
      </c>
    </row>
    <row r="20" spans="1:12" x14ac:dyDescent="0.2">
      <c r="A20" s="43"/>
      <c r="H20" s="27"/>
      <c r="I20" s="27"/>
      <c r="J20" s="32"/>
      <c r="K20" s="27"/>
    </row>
    <row r="21" spans="1:12" ht="15" x14ac:dyDescent="0.2">
      <c r="A21" s="43"/>
      <c r="B21" s="294" t="s">
        <v>2906</v>
      </c>
      <c r="C21" s="294"/>
      <c r="D21" s="294"/>
      <c r="E21" s="294"/>
      <c r="F21" s="294"/>
      <c r="G21" s="294"/>
      <c r="H21" s="294"/>
      <c r="I21" s="294"/>
      <c r="J21" s="294"/>
      <c r="K21" s="294"/>
    </row>
    <row r="22" spans="1:12" x14ac:dyDescent="0.2">
      <c r="A22" s="43">
        <v>1</v>
      </c>
      <c r="B22" s="7" t="s">
        <v>2993</v>
      </c>
      <c r="C22" s="7" t="s">
        <v>2994</v>
      </c>
      <c r="D22" s="7" t="s">
        <v>2995</v>
      </c>
      <c r="E22" s="7" t="str">
        <f>"0,6069"</f>
        <v>0,6069</v>
      </c>
      <c r="F22" s="7" t="s">
        <v>2853</v>
      </c>
      <c r="G22" s="7" t="s">
        <v>2925</v>
      </c>
      <c r="H22" s="19" t="s">
        <v>76</v>
      </c>
      <c r="I22" s="19" t="s">
        <v>3002</v>
      </c>
      <c r="J22" s="28">
        <v>3500</v>
      </c>
      <c r="K22" s="19" t="str">
        <f>"2124,1499"</f>
        <v>2124,1499</v>
      </c>
      <c r="L22" s="7" t="s">
        <v>2855</v>
      </c>
    </row>
    <row r="23" spans="1:12" x14ac:dyDescent="0.2">
      <c r="A23" s="43"/>
      <c r="H23" s="27"/>
      <c r="I23" s="27"/>
      <c r="J23" s="32"/>
      <c r="K23" s="27"/>
    </row>
    <row r="24" spans="1:12" ht="15" x14ac:dyDescent="0.2">
      <c r="A24" s="43"/>
      <c r="B24" s="294" t="s">
        <v>2878</v>
      </c>
      <c r="C24" s="294"/>
      <c r="D24" s="294"/>
      <c r="E24" s="294"/>
      <c r="F24" s="294"/>
      <c r="G24" s="294"/>
      <c r="H24" s="294"/>
      <c r="I24" s="294"/>
      <c r="J24" s="294"/>
      <c r="K24" s="294"/>
    </row>
    <row r="25" spans="1:12" x14ac:dyDescent="0.2">
      <c r="A25" s="43">
        <v>1</v>
      </c>
      <c r="B25" s="15" t="s">
        <v>2996</v>
      </c>
      <c r="C25" s="15" t="s">
        <v>2997</v>
      </c>
      <c r="D25" s="15" t="s">
        <v>2998</v>
      </c>
      <c r="E25" s="15" t="str">
        <f>"0,5858"</f>
        <v>0,5858</v>
      </c>
      <c r="F25" s="15" t="s">
        <v>2853</v>
      </c>
      <c r="G25" s="15" t="s">
        <v>2925</v>
      </c>
      <c r="H25" s="21" t="s">
        <v>76</v>
      </c>
      <c r="I25" s="21" t="s">
        <v>3003</v>
      </c>
      <c r="J25" s="29">
        <v>2400</v>
      </c>
      <c r="K25" s="21" t="str">
        <f>"1405,9200"</f>
        <v>1405,9200</v>
      </c>
      <c r="L25" s="15" t="s">
        <v>2855</v>
      </c>
    </row>
    <row r="26" spans="1:12" x14ac:dyDescent="0.2">
      <c r="A26" s="43">
        <v>2</v>
      </c>
      <c r="B26" s="16" t="s">
        <v>2999</v>
      </c>
      <c r="C26" s="16" t="s">
        <v>3000</v>
      </c>
      <c r="D26" s="16" t="s">
        <v>2335</v>
      </c>
      <c r="E26" s="16" t="str">
        <f>"0,5821"</f>
        <v>0,5821</v>
      </c>
      <c r="F26" s="16" t="s">
        <v>2831</v>
      </c>
      <c r="G26" s="16" t="s">
        <v>2832</v>
      </c>
      <c r="H26" s="23" t="s">
        <v>76</v>
      </c>
      <c r="I26" s="23" t="s">
        <v>2956</v>
      </c>
      <c r="J26" s="30">
        <v>1900</v>
      </c>
      <c r="K26" s="23" t="str">
        <f>"1105,9900"</f>
        <v>1105,9900</v>
      </c>
      <c r="L26" s="16" t="s">
        <v>3001</v>
      </c>
    </row>
    <row r="27" spans="1:12" x14ac:dyDescent="0.2">
      <c r="A27" s="43">
        <v>1</v>
      </c>
      <c r="B27" s="17" t="s">
        <v>2996</v>
      </c>
      <c r="C27" s="17" t="s">
        <v>1906</v>
      </c>
      <c r="D27" s="17" t="s">
        <v>2998</v>
      </c>
      <c r="E27" s="17" t="str">
        <f>"0,5858"</f>
        <v>0,5858</v>
      </c>
      <c r="F27" s="17" t="s">
        <v>2853</v>
      </c>
      <c r="G27" s="17" t="s">
        <v>2925</v>
      </c>
      <c r="H27" s="25" t="s">
        <v>76</v>
      </c>
      <c r="I27" s="25" t="s">
        <v>3003</v>
      </c>
      <c r="J27" s="31">
        <v>2400</v>
      </c>
      <c r="K27" s="25" t="str">
        <f>"1405,9200"</f>
        <v>1405,9200</v>
      </c>
      <c r="L27" s="17" t="s">
        <v>2855</v>
      </c>
    </row>
    <row r="28" spans="1:12" x14ac:dyDescent="0.2">
      <c r="A28" s="43"/>
      <c r="H28" s="27"/>
      <c r="I28" s="27"/>
      <c r="J28" s="32"/>
      <c r="K28" s="27"/>
    </row>
    <row r="29" spans="1:12" x14ac:dyDescent="0.2">
      <c r="A29" s="43"/>
      <c r="H29" s="27"/>
      <c r="I29" s="27"/>
      <c r="J29" s="32"/>
      <c r="K29" s="27"/>
    </row>
    <row r="30" spans="1:12" x14ac:dyDescent="0.2">
      <c r="A30" s="43"/>
      <c r="H30" s="27"/>
      <c r="I30" s="27"/>
      <c r="J30" s="32"/>
      <c r="K30" s="27"/>
    </row>
    <row r="31" spans="1:12" x14ac:dyDescent="0.2">
      <c r="A31" s="43"/>
      <c r="H31" s="27"/>
      <c r="I31" s="27"/>
      <c r="J31" s="32"/>
      <c r="K31" s="27"/>
    </row>
    <row r="32" spans="1:12" x14ac:dyDescent="0.2">
      <c r="A32" s="43"/>
      <c r="H32" s="27"/>
      <c r="I32" s="27"/>
      <c r="J32" s="32"/>
      <c r="K32" s="27"/>
    </row>
    <row r="33" spans="1:11" x14ac:dyDescent="0.2">
      <c r="A33" s="43"/>
      <c r="H33" s="27"/>
      <c r="I33" s="27"/>
      <c r="J33" s="32"/>
      <c r="K33" s="27"/>
    </row>
    <row r="34" spans="1:11" x14ac:dyDescent="0.2">
      <c r="A34" s="43"/>
      <c r="H34" s="27"/>
      <c r="I34" s="27"/>
      <c r="J34" s="32"/>
      <c r="K34" s="27"/>
    </row>
    <row r="35" spans="1:11" x14ac:dyDescent="0.2">
      <c r="A35" s="43"/>
      <c r="H35" s="27"/>
      <c r="I35" s="27"/>
      <c r="J35" s="32"/>
      <c r="K35" s="27"/>
    </row>
    <row r="36" spans="1:11" x14ac:dyDescent="0.2">
      <c r="A36" s="43"/>
      <c r="H36" s="27"/>
      <c r="I36" s="27"/>
      <c r="J36" s="32"/>
      <c r="K36" s="27"/>
    </row>
    <row r="37" spans="1:11" x14ac:dyDescent="0.2">
      <c r="A37" s="43"/>
      <c r="H37" s="27"/>
      <c r="I37" s="27"/>
      <c r="J37" s="32"/>
      <c r="K37" s="27"/>
    </row>
    <row r="38" spans="1:11" x14ac:dyDescent="0.2">
      <c r="A38" s="43"/>
      <c r="H38" s="27"/>
      <c r="I38" s="27"/>
      <c r="J38" s="32"/>
      <c r="K38" s="27"/>
    </row>
    <row r="39" spans="1:11" x14ac:dyDescent="0.2">
      <c r="A39" s="43"/>
      <c r="H39" s="27"/>
      <c r="I39" s="27"/>
      <c r="J39" s="32"/>
      <c r="K39" s="27"/>
    </row>
    <row r="40" spans="1:11" x14ac:dyDescent="0.2">
      <c r="A40" s="43"/>
      <c r="H40" s="27"/>
      <c r="I40" s="27"/>
      <c r="J40" s="32"/>
      <c r="K40" s="27"/>
    </row>
  </sheetData>
  <mergeCells count="33">
    <mergeCell ref="A1:L1"/>
    <mergeCell ref="A2:L2"/>
    <mergeCell ref="A3:L3"/>
    <mergeCell ref="A13:L13"/>
    <mergeCell ref="A14:L14"/>
    <mergeCell ref="L4:L5"/>
    <mergeCell ref="B6:K6"/>
    <mergeCell ref="B9:K9"/>
    <mergeCell ref="A4:A5"/>
    <mergeCell ref="B4:B5"/>
    <mergeCell ref="C4:C5"/>
    <mergeCell ref="D4:D5"/>
    <mergeCell ref="E4:E5"/>
    <mergeCell ref="F4:F5"/>
    <mergeCell ref="G4:G5"/>
    <mergeCell ref="H4:I4"/>
    <mergeCell ref="J4:J5"/>
    <mergeCell ref="K4:K5"/>
    <mergeCell ref="B18:K18"/>
    <mergeCell ref="B21:K21"/>
    <mergeCell ref="A15:L15"/>
    <mergeCell ref="L16:L17"/>
    <mergeCell ref="B24:K24"/>
    <mergeCell ref="A16:A17"/>
    <mergeCell ref="B16:B17"/>
    <mergeCell ref="C16:C17"/>
    <mergeCell ref="D16:D17"/>
    <mergeCell ref="E16:E17"/>
    <mergeCell ref="F16:F17"/>
    <mergeCell ref="G16:G17"/>
    <mergeCell ref="H16:I16"/>
    <mergeCell ref="J16:J17"/>
    <mergeCell ref="K16:K17"/>
  </mergeCells>
  <pageMargins left="0.7" right="0.7" top="0.75" bottom="0.75" header="0.3" footer="0.3"/>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election sqref="A1:N1"/>
    </sheetView>
  </sheetViews>
  <sheetFormatPr defaultColWidth="8.7109375" defaultRowHeight="12.75" x14ac:dyDescent="0.2"/>
  <cols>
    <col min="1" max="1" width="8.7109375" style="43"/>
    <col min="2" max="2" width="24.140625" style="6" customWidth="1"/>
    <col min="3" max="3" width="25.5703125" style="6" customWidth="1"/>
    <col min="4" max="4" width="10.5703125" style="6" bestFit="1" customWidth="1"/>
    <col min="5" max="5" width="8.42578125" style="6" bestFit="1" customWidth="1"/>
    <col min="6" max="6" width="22.7109375" style="6" bestFit="1" customWidth="1"/>
    <col min="7" max="7" width="29.85546875" style="6" bestFit="1" customWidth="1"/>
    <col min="8" max="8" width="5.5703125" style="6" bestFit="1" customWidth="1"/>
    <col min="9" max="9" width="4.28515625" style="6" customWidth="1"/>
    <col min="10" max="10" width="4.5703125" style="6" customWidth="1"/>
    <col min="11" max="11" width="5.28515625" style="6" customWidth="1"/>
    <col min="12" max="12" width="12.85546875" style="6" customWidth="1"/>
    <col min="13" max="13" width="7.5703125" style="6" bestFit="1" customWidth="1"/>
    <col min="14" max="14" width="19.42578125" style="6" bestFit="1" customWidth="1"/>
    <col min="258" max="258" width="26" bestFit="1" customWidth="1"/>
    <col min="259" max="259" width="21.42578125" bestFit="1" customWidth="1"/>
    <col min="260" max="260" width="10.5703125" bestFit="1" customWidth="1"/>
    <col min="261" max="261" width="8.42578125" bestFit="1" customWidth="1"/>
    <col min="262" max="262" width="22.7109375" bestFit="1" customWidth="1"/>
    <col min="263" max="263" width="29.85546875" bestFit="1" customWidth="1"/>
    <col min="264" max="264" width="5.5703125" bestFit="1" customWidth="1"/>
    <col min="265" max="266" width="2.140625" bestFit="1" customWidth="1"/>
    <col min="267" max="267" width="4.5703125" bestFit="1" customWidth="1"/>
    <col min="268" max="268" width="7.85546875" bestFit="1" customWidth="1"/>
    <col min="269" max="269" width="7.5703125" bestFit="1" customWidth="1"/>
    <col min="270" max="270" width="19.42578125" bestFit="1" customWidth="1"/>
    <col min="514" max="514" width="26" bestFit="1" customWidth="1"/>
    <col min="515" max="515" width="21.42578125" bestFit="1" customWidth="1"/>
    <col min="516" max="516" width="10.5703125" bestFit="1" customWidth="1"/>
    <col min="517" max="517" width="8.42578125" bestFit="1" customWidth="1"/>
    <col min="518" max="518" width="22.7109375" bestFit="1" customWidth="1"/>
    <col min="519" max="519" width="29.85546875" bestFit="1" customWidth="1"/>
    <col min="520" max="520" width="5.5703125" bestFit="1" customWidth="1"/>
    <col min="521" max="522" width="2.140625" bestFit="1" customWidth="1"/>
    <col min="523" max="523" width="4.5703125" bestFit="1" customWidth="1"/>
    <col min="524" max="524" width="7.85546875" bestFit="1" customWidth="1"/>
    <col min="525" max="525" width="7.5703125" bestFit="1" customWidth="1"/>
    <col min="526" max="526" width="19.42578125" bestFit="1" customWidth="1"/>
    <col min="770" max="770" width="26" bestFit="1" customWidth="1"/>
    <col min="771" max="771" width="21.42578125" bestFit="1" customWidth="1"/>
    <col min="772" max="772" width="10.5703125" bestFit="1" customWidth="1"/>
    <col min="773" max="773" width="8.42578125" bestFit="1" customWidth="1"/>
    <col min="774" max="774" width="22.7109375" bestFit="1" customWidth="1"/>
    <col min="775" max="775" width="29.85546875" bestFit="1" customWidth="1"/>
    <col min="776" max="776" width="5.5703125" bestFit="1" customWidth="1"/>
    <col min="777" max="778" width="2.140625" bestFit="1" customWidth="1"/>
    <col min="779" max="779" width="4.5703125" bestFit="1" customWidth="1"/>
    <col min="780" max="780" width="7.85546875" bestFit="1" customWidth="1"/>
    <col min="781" max="781" width="7.5703125" bestFit="1" customWidth="1"/>
    <col min="782" max="782" width="19.42578125" bestFit="1" customWidth="1"/>
    <col min="1026" max="1026" width="26" bestFit="1" customWidth="1"/>
    <col min="1027" max="1027" width="21.42578125" bestFit="1" customWidth="1"/>
    <col min="1028" max="1028" width="10.5703125" bestFit="1" customWidth="1"/>
    <col min="1029" max="1029" width="8.42578125" bestFit="1" customWidth="1"/>
    <col min="1030" max="1030" width="22.7109375" bestFit="1" customWidth="1"/>
    <col min="1031" max="1031" width="29.85546875" bestFit="1" customWidth="1"/>
    <col min="1032" max="1032" width="5.5703125" bestFit="1" customWidth="1"/>
    <col min="1033" max="1034" width="2.140625" bestFit="1" customWidth="1"/>
    <col min="1035" max="1035" width="4.5703125" bestFit="1" customWidth="1"/>
    <col min="1036" max="1036" width="7.85546875" bestFit="1" customWidth="1"/>
    <col min="1037" max="1037" width="7.5703125" bestFit="1" customWidth="1"/>
    <col min="1038" max="1038" width="19.42578125" bestFit="1" customWidth="1"/>
    <col min="1282" max="1282" width="26" bestFit="1" customWidth="1"/>
    <col min="1283" max="1283" width="21.42578125" bestFit="1" customWidth="1"/>
    <col min="1284" max="1284" width="10.5703125" bestFit="1" customWidth="1"/>
    <col min="1285" max="1285" width="8.42578125" bestFit="1" customWidth="1"/>
    <col min="1286" max="1286" width="22.7109375" bestFit="1" customWidth="1"/>
    <col min="1287" max="1287" width="29.85546875" bestFit="1" customWidth="1"/>
    <col min="1288" max="1288" width="5.5703125" bestFit="1" customWidth="1"/>
    <col min="1289" max="1290" width="2.140625" bestFit="1" customWidth="1"/>
    <col min="1291" max="1291" width="4.5703125" bestFit="1" customWidth="1"/>
    <col min="1292" max="1292" width="7.85546875" bestFit="1" customWidth="1"/>
    <col min="1293" max="1293" width="7.5703125" bestFit="1" customWidth="1"/>
    <col min="1294" max="1294" width="19.42578125" bestFit="1" customWidth="1"/>
    <col min="1538" max="1538" width="26" bestFit="1" customWidth="1"/>
    <col min="1539" max="1539" width="21.42578125" bestFit="1" customWidth="1"/>
    <col min="1540" max="1540" width="10.5703125" bestFit="1" customWidth="1"/>
    <col min="1541" max="1541" width="8.42578125" bestFit="1" customWidth="1"/>
    <col min="1542" max="1542" width="22.7109375" bestFit="1" customWidth="1"/>
    <col min="1543" max="1543" width="29.85546875" bestFit="1" customWidth="1"/>
    <col min="1544" max="1544" width="5.5703125" bestFit="1" customWidth="1"/>
    <col min="1545" max="1546" width="2.140625" bestFit="1" customWidth="1"/>
    <col min="1547" max="1547" width="4.5703125" bestFit="1" customWidth="1"/>
    <col min="1548" max="1548" width="7.85546875" bestFit="1" customWidth="1"/>
    <col min="1549" max="1549" width="7.5703125" bestFit="1" customWidth="1"/>
    <col min="1550" max="1550" width="19.42578125" bestFit="1" customWidth="1"/>
    <col min="1794" max="1794" width="26" bestFit="1" customWidth="1"/>
    <col min="1795" max="1795" width="21.42578125" bestFit="1" customWidth="1"/>
    <col min="1796" max="1796" width="10.5703125" bestFit="1" customWidth="1"/>
    <col min="1797" max="1797" width="8.42578125" bestFit="1" customWidth="1"/>
    <col min="1798" max="1798" width="22.7109375" bestFit="1" customWidth="1"/>
    <col min="1799" max="1799" width="29.85546875" bestFit="1" customWidth="1"/>
    <col min="1800" max="1800" width="5.5703125" bestFit="1" customWidth="1"/>
    <col min="1801" max="1802" width="2.140625" bestFit="1" customWidth="1"/>
    <col min="1803" max="1803" width="4.5703125" bestFit="1" customWidth="1"/>
    <col min="1804" max="1804" width="7.85546875" bestFit="1" customWidth="1"/>
    <col min="1805" max="1805" width="7.5703125" bestFit="1" customWidth="1"/>
    <col min="1806" max="1806" width="19.42578125" bestFit="1" customWidth="1"/>
    <col min="2050" max="2050" width="26" bestFit="1" customWidth="1"/>
    <col min="2051" max="2051" width="21.42578125" bestFit="1" customWidth="1"/>
    <col min="2052" max="2052" width="10.5703125" bestFit="1" customWidth="1"/>
    <col min="2053" max="2053" width="8.42578125" bestFit="1" customWidth="1"/>
    <col min="2054" max="2054" width="22.7109375" bestFit="1" customWidth="1"/>
    <col min="2055" max="2055" width="29.85546875" bestFit="1" customWidth="1"/>
    <col min="2056" max="2056" width="5.5703125" bestFit="1" customWidth="1"/>
    <col min="2057" max="2058" width="2.140625" bestFit="1" customWidth="1"/>
    <col min="2059" max="2059" width="4.5703125" bestFit="1" customWidth="1"/>
    <col min="2060" max="2060" width="7.85546875" bestFit="1" customWidth="1"/>
    <col min="2061" max="2061" width="7.5703125" bestFit="1" customWidth="1"/>
    <col min="2062" max="2062" width="19.42578125" bestFit="1" customWidth="1"/>
    <col min="2306" max="2306" width="26" bestFit="1" customWidth="1"/>
    <col min="2307" max="2307" width="21.42578125" bestFit="1" customWidth="1"/>
    <col min="2308" max="2308" width="10.5703125" bestFit="1" customWidth="1"/>
    <col min="2309" max="2309" width="8.42578125" bestFit="1" customWidth="1"/>
    <col min="2310" max="2310" width="22.7109375" bestFit="1" customWidth="1"/>
    <col min="2311" max="2311" width="29.85546875" bestFit="1" customWidth="1"/>
    <col min="2312" max="2312" width="5.5703125" bestFit="1" customWidth="1"/>
    <col min="2313" max="2314" width="2.140625" bestFit="1" customWidth="1"/>
    <col min="2315" max="2315" width="4.5703125" bestFit="1" customWidth="1"/>
    <col min="2316" max="2316" width="7.85546875" bestFit="1" customWidth="1"/>
    <col min="2317" max="2317" width="7.5703125" bestFit="1" customWidth="1"/>
    <col min="2318" max="2318" width="19.42578125" bestFit="1" customWidth="1"/>
    <col min="2562" max="2562" width="26" bestFit="1" customWidth="1"/>
    <col min="2563" max="2563" width="21.42578125" bestFit="1" customWidth="1"/>
    <col min="2564" max="2564" width="10.5703125" bestFit="1" customWidth="1"/>
    <col min="2565" max="2565" width="8.42578125" bestFit="1" customWidth="1"/>
    <col min="2566" max="2566" width="22.7109375" bestFit="1" customWidth="1"/>
    <col min="2567" max="2567" width="29.85546875" bestFit="1" customWidth="1"/>
    <col min="2568" max="2568" width="5.5703125" bestFit="1" customWidth="1"/>
    <col min="2569" max="2570" width="2.140625" bestFit="1" customWidth="1"/>
    <col min="2571" max="2571" width="4.5703125" bestFit="1" customWidth="1"/>
    <col min="2572" max="2572" width="7.85546875" bestFit="1" customWidth="1"/>
    <col min="2573" max="2573" width="7.5703125" bestFit="1" customWidth="1"/>
    <col min="2574" max="2574" width="19.42578125" bestFit="1" customWidth="1"/>
    <col min="2818" max="2818" width="26" bestFit="1" customWidth="1"/>
    <col min="2819" max="2819" width="21.42578125" bestFit="1" customWidth="1"/>
    <col min="2820" max="2820" width="10.5703125" bestFit="1" customWidth="1"/>
    <col min="2821" max="2821" width="8.42578125" bestFit="1" customWidth="1"/>
    <col min="2822" max="2822" width="22.7109375" bestFit="1" customWidth="1"/>
    <col min="2823" max="2823" width="29.85546875" bestFit="1" customWidth="1"/>
    <col min="2824" max="2824" width="5.5703125" bestFit="1" customWidth="1"/>
    <col min="2825" max="2826" width="2.140625" bestFit="1" customWidth="1"/>
    <col min="2827" max="2827" width="4.5703125" bestFit="1" customWidth="1"/>
    <col min="2828" max="2828" width="7.85546875" bestFit="1" customWidth="1"/>
    <col min="2829" max="2829" width="7.5703125" bestFit="1" customWidth="1"/>
    <col min="2830" max="2830" width="19.42578125" bestFit="1" customWidth="1"/>
    <col min="3074" max="3074" width="26" bestFit="1" customWidth="1"/>
    <col min="3075" max="3075" width="21.42578125" bestFit="1" customWidth="1"/>
    <col min="3076" max="3076" width="10.5703125" bestFit="1" customWidth="1"/>
    <col min="3077" max="3077" width="8.42578125" bestFit="1" customWidth="1"/>
    <col min="3078" max="3078" width="22.7109375" bestFit="1" customWidth="1"/>
    <col min="3079" max="3079" width="29.85546875" bestFit="1" customWidth="1"/>
    <col min="3080" max="3080" width="5.5703125" bestFit="1" customWidth="1"/>
    <col min="3081" max="3082" width="2.140625" bestFit="1" customWidth="1"/>
    <col min="3083" max="3083" width="4.5703125" bestFit="1" customWidth="1"/>
    <col min="3084" max="3084" width="7.85546875" bestFit="1" customWidth="1"/>
    <col min="3085" max="3085" width="7.5703125" bestFit="1" customWidth="1"/>
    <col min="3086" max="3086" width="19.42578125" bestFit="1" customWidth="1"/>
    <col min="3330" max="3330" width="26" bestFit="1" customWidth="1"/>
    <col min="3331" max="3331" width="21.42578125" bestFit="1" customWidth="1"/>
    <col min="3332" max="3332" width="10.5703125" bestFit="1" customWidth="1"/>
    <col min="3333" max="3333" width="8.42578125" bestFit="1" customWidth="1"/>
    <col min="3334" max="3334" width="22.7109375" bestFit="1" customWidth="1"/>
    <col min="3335" max="3335" width="29.85546875" bestFit="1" customWidth="1"/>
    <col min="3336" max="3336" width="5.5703125" bestFit="1" customWidth="1"/>
    <col min="3337" max="3338" width="2.140625" bestFit="1" customWidth="1"/>
    <col min="3339" max="3339" width="4.5703125" bestFit="1" customWidth="1"/>
    <col min="3340" max="3340" width="7.85546875" bestFit="1" customWidth="1"/>
    <col min="3341" max="3341" width="7.5703125" bestFit="1" customWidth="1"/>
    <col min="3342" max="3342" width="19.42578125" bestFit="1" customWidth="1"/>
    <col min="3586" max="3586" width="26" bestFit="1" customWidth="1"/>
    <col min="3587" max="3587" width="21.42578125" bestFit="1" customWidth="1"/>
    <col min="3588" max="3588" width="10.5703125" bestFit="1" customWidth="1"/>
    <col min="3589" max="3589" width="8.42578125" bestFit="1" customWidth="1"/>
    <col min="3590" max="3590" width="22.7109375" bestFit="1" customWidth="1"/>
    <col min="3591" max="3591" width="29.85546875" bestFit="1" customWidth="1"/>
    <col min="3592" max="3592" width="5.5703125" bestFit="1" customWidth="1"/>
    <col min="3593" max="3594" width="2.140625" bestFit="1" customWidth="1"/>
    <col min="3595" max="3595" width="4.5703125" bestFit="1" customWidth="1"/>
    <col min="3596" max="3596" width="7.85546875" bestFit="1" customWidth="1"/>
    <col min="3597" max="3597" width="7.5703125" bestFit="1" customWidth="1"/>
    <col min="3598" max="3598" width="19.42578125" bestFit="1" customWidth="1"/>
    <col min="3842" max="3842" width="26" bestFit="1" customWidth="1"/>
    <col min="3843" max="3843" width="21.42578125" bestFit="1" customWidth="1"/>
    <col min="3844" max="3844" width="10.5703125" bestFit="1" customWidth="1"/>
    <col min="3845" max="3845" width="8.42578125" bestFit="1" customWidth="1"/>
    <col min="3846" max="3846" width="22.7109375" bestFit="1" customWidth="1"/>
    <col min="3847" max="3847" width="29.85546875" bestFit="1" customWidth="1"/>
    <col min="3848" max="3848" width="5.5703125" bestFit="1" customWidth="1"/>
    <col min="3849" max="3850" width="2.140625" bestFit="1" customWidth="1"/>
    <col min="3851" max="3851" width="4.5703125" bestFit="1" customWidth="1"/>
    <col min="3852" max="3852" width="7.85546875" bestFit="1" customWidth="1"/>
    <col min="3853" max="3853" width="7.5703125" bestFit="1" customWidth="1"/>
    <col min="3854" max="3854" width="19.42578125" bestFit="1" customWidth="1"/>
    <col min="4098" max="4098" width="26" bestFit="1" customWidth="1"/>
    <col min="4099" max="4099" width="21.42578125" bestFit="1" customWidth="1"/>
    <col min="4100" max="4100" width="10.5703125" bestFit="1" customWidth="1"/>
    <col min="4101" max="4101" width="8.42578125" bestFit="1" customWidth="1"/>
    <col min="4102" max="4102" width="22.7109375" bestFit="1" customWidth="1"/>
    <col min="4103" max="4103" width="29.85546875" bestFit="1" customWidth="1"/>
    <col min="4104" max="4104" width="5.5703125" bestFit="1" customWidth="1"/>
    <col min="4105" max="4106" width="2.140625" bestFit="1" customWidth="1"/>
    <col min="4107" max="4107" width="4.5703125" bestFit="1" customWidth="1"/>
    <col min="4108" max="4108" width="7.85546875" bestFit="1" customWidth="1"/>
    <col min="4109" max="4109" width="7.5703125" bestFit="1" customWidth="1"/>
    <col min="4110" max="4110" width="19.42578125" bestFit="1" customWidth="1"/>
    <col min="4354" max="4354" width="26" bestFit="1" customWidth="1"/>
    <col min="4355" max="4355" width="21.42578125" bestFit="1" customWidth="1"/>
    <col min="4356" max="4356" width="10.5703125" bestFit="1" customWidth="1"/>
    <col min="4357" max="4357" width="8.42578125" bestFit="1" customWidth="1"/>
    <col min="4358" max="4358" width="22.7109375" bestFit="1" customWidth="1"/>
    <col min="4359" max="4359" width="29.85546875" bestFit="1" customWidth="1"/>
    <col min="4360" max="4360" width="5.5703125" bestFit="1" customWidth="1"/>
    <col min="4361" max="4362" width="2.140625" bestFit="1" customWidth="1"/>
    <col min="4363" max="4363" width="4.5703125" bestFit="1" customWidth="1"/>
    <col min="4364" max="4364" width="7.85546875" bestFit="1" customWidth="1"/>
    <col min="4365" max="4365" width="7.5703125" bestFit="1" customWidth="1"/>
    <col min="4366" max="4366" width="19.42578125" bestFit="1" customWidth="1"/>
    <col min="4610" max="4610" width="26" bestFit="1" customWidth="1"/>
    <col min="4611" max="4611" width="21.42578125" bestFit="1" customWidth="1"/>
    <col min="4612" max="4612" width="10.5703125" bestFit="1" customWidth="1"/>
    <col min="4613" max="4613" width="8.42578125" bestFit="1" customWidth="1"/>
    <col min="4614" max="4614" width="22.7109375" bestFit="1" customWidth="1"/>
    <col min="4615" max="4615" width="29.85546875" bestFit="1" customWidth="1"/>
    <col min="4616" max="4616" width="5.5703125" bestFit="1" customWidth="1"/>
    <col min="4617" max="4618" width="2.140625" bestFit="1" customWidth="1"/>
    <col min="4619" max="4619" width="4.5703125" bestFit="1" customWidth="1"/>
    <col min="4620" max="4620" width="7.85546875" bestFit="1" customWidth="1"/>
    <col min="4621" max="4621" width="7.5703125" bestFit="1" customWidth="1"/>
    <col min="4622" max="4622" width="19.42578125" bestFit="1" customWidth="1"/>
    <col min="4866" max="4866" width="26" bestFit="1" customWidth="1"/>
    <col min="4867" max="4867" width="21.42578125" bestFit="1" customWidth="1"/>
    <col min="4868" max="4868" width="10.5703125" bestFit="1" customWidth="1"/>
    <col min="4869" max="4869" width="8.42578125" bestFit="1" customWidth="1"/>
    <col min="4870" max="4870" width="22.7109375" bestFit="1" customWidth="1"/>
    <col min="4871" max="4871" width="29.85546875" bestFit="1" customWidth="1"/>
    <col min="4872" max="4872" width="5.5703125" bestFit="1" customWidth="1"/>
    <col min="4873" max="4874" width="2.140625" bestFit="1" customWidth="1"/>
    <col min="4875" max="4875" width="4.5703125" bestFit="1" customWidth="1"/>
    <col min="4876" max="4876" width="7.85546875" bestFit="1" customWidth="1"/>
    <col min="4877" max="4877" width="7.5703125" bestFit="1" customWidth="1"/>
    <col min="4878" max="4878" width="19.42578125" bestFit="1" customWidth="1"/>
    <col min="5122" max="5122" width="26" bestFit="1" customWidth="1"/>
    <col min="5123" max="5123" width="21.42578125" bestFit="1" customWidth="1"/>
    <col min="5124" max="5124" width="10.5703125" bestFit="1" customWidth="1"/>
    <col min="5125" max="5125" width="8.42578125" bestFit="1" customWidth="1"/>
    <col min="5126" max="5126" width="22.7109375" bestFit="1" customWidth="1"/>
    <col min="5127" max="5127" width="29.85546875" bestFit="1" customWidth="1"/>
    <col min="5128" max="5128" width="5.5703125" bestFit="1" customWidth="1"/>
    <col min="5129" max="5130" width="2.140625" bestFit="1" customWidth="1"/>
    <col min="5131" max="5131" width="4.5703125" bestFit="1" customWidth="1"/>
    <col min="5132" max="5132" width="7.85546875" bestFit="1" customWidth="1"/>
    <col min="5133" max="5133" width="7.5703125" bestFit="1" customWidth="1"/>
    <col min="5134" max="5134" width="19.42578125" bestFit="1" customWidth="1"/>
    <col min="5378" max="5378" width="26" bestFit="1" customWidth="1"/>
    <col min="5379" max="5379" width="21.42578125" bestFit="1" customWidth="1"/>
    <col min="5380" max="5380" width="10.5703125" bestFit="1" customWidth="1"/>
    <col min="5381" max="5381" width="8.42578125" bestFit="1" customWidth="1"/>
    <col min="5382" max="5382" width="22.7109375" bestFit="1" customWidth="1"/>
    <col min="5383" max="5383" width="29.85546875" bestFit="1" customWidth="1"/>
    <col min="5384" max="5384" width="5.5703125" bestFit="1" customWidth="1"/>
    <col min="5385" max="5386" width="2.140625" bestFit="1" customWidth="1"/>
    <col min="5387" max="5387" width="4.5703125" bestFit="1" customWidth="1"/>
    <col min="5388" max="5388" width="7.85546875" bestFit="1" customWidth="1"/>
    <col min="5389" max="5389" width="7.5703125" bestFit="1" customWidth="1"/>
    <col min="5390" max="5390" width="19.42578125" bestFit="1" customWidth="1"/>
    <col min="5634" max="5634" width="26" bestFit="1" customWidth="1"/>
    <col min="5635" max="5635" width="21.42578125" bestFit="1" customWidth="1"/>
    <col min="5636" max="5636" width="10.5703125" bestFit="1" customWidth="1"/>
    <col min="5637" max="5637" width="8.42578125" bestFit="1" customWidth="1"/>
    <col min="5638" max="5638" width="22.7109375" bestFit="1" customWidth="1"/>
    <col min="5639" max="5639" width="29.85546875" bestFit="1" customWidth="1"/>
    <col min="5640" max="5640" width="5.5703125" bestFit="1" customWidth="1"/>
    <col min="5641" max="5642" width="2.140625" bestFit="1" customWidth="1"/>
    <col min="5643" max="5643" width="4.5703125" bestFit="1" customWidth="1"/>
    <col min="5644" max="5644" width="7.85546875" bestFit="1" customWidth="1"/>
    <col min="5645" max="5645" width="7.5703125" bestFit="1" customWidth="1"/>
    <col min="5646" max="5646" width="19.42578125" bestFit="1" customWidth="1"/>
    <col min="5890" max="5890" width="26" bestFit="1" customWidth="1"/>
    <col min="5891" max="5891" width="21.42578125" bestFit="1" customWidth="1"/>
    <col min="5892" max="5892" width="10.5703125" bestFit="1" customWidth="1"/>
    <col min="5893" max="5893" width="8.42578125" bestFit="1" customWidth="1"/>
    <col min="5894" max="5894" width="22.7109375" bestFit="1" customWidth="1"/>
    <col min="5895" max="5895" width="29.85546875" bestFit="1" customWidth="1"/>
    <col min="5896" max="5896" width="5.5703125" bestFit="1" customWidth="1"/>
    <col min="5897" max="5898" width="2.140625" bestFit="1" customWidth="1"/>
    <col min="5899" max="5899" width="4.5703125" bestFit="1" customWidth="1"/>
    <col min="5900" max="5900" width="7.85546875" bestFit="1" customWidth="1"/>
    <col min="5901" max="5901" width="7.5703125" bestFit="1" customWidth="1"/>
    <col min="5902" max="5902" width="19.42578125" bestFit="1" customWidth="1"/>
    <col min="6146" max="6146" width="26" bestFit="1" customWidth="1"/>
    <col min="6147" max="6147" width="21.42578125" bestFit="1" customWidth="1"/>
    <col min="6148" max="6148" width="10.5703125" bestFit="1" customWidth="1"/>
    <col min="6149" max="6149" width="8.42578125" bestFit="1" customWidth="1"/>
    <col min="6150" max="6150" width="22.7109375" bestFit="1" customWidth="1"/>
    <col min="6151" max="6151" width="29.85546875" bestFit="1" customWidth="1"/>
    <col min="6152" max="6152" width="5.5703125" bestFit="1" customWidth="1"/>
    <col min="6153" max="6154" width="2.140625" bestFit="1" customWidth="1"/>
    <col min="6155" max="6155" width="4.5703125" bestFit="1" customWidth="1"/>
    <col min="6156" max="6156" width="7.85546875" bestFit="1" customWidth="1"/>
    <col min="6157" max="6157" width="7.5703125" bestFit="1" customWidth="1"/>
    <col min="6158" max="6158" width="19.42578125" bestFit="1" customWidth="1"/>
    <col min="6402" max="6402" width="26" bestFit="1" customWidth="1"/>
    <col min="6403" max="6403" width="21.42578125" bestFit="1" customWidth="1"/>
    <col min="6404" max="6404" width="10.5703125" bestFit="1" customWidth="1"/>
    <col min="6405" max="6405" width="8.42578125" bestFit="1" customWidth="1"/>
    <col min="6406" max="6406" width="22.7109375" bestFit="1" customWidth="1"/>
    <col min="6407" max="6407" width="29.85546875" bestFit="1" customWidth="1"/>
    <col min="6408" max="6408" width="5.5703125" bestFit="1" customWidth="1"/>
    <col min="6409" max="6410" width="2.140625" bestFit="1" customWidth="1"/>
    <col min="6411" max="6411" width="4.5703125" bestFit="1" customWidth="1"/>
    <col min="6412" max="6412" width="7.85546875" bestFit="1" customWidth="1"/>
    <col min="6413" max="6413" width="7.5703125" bestFit="1" customWidth="1"/>
    <col min="6414" max="6414" width="19.42578125" bestFit="1" customWidth="1"/>
    <col min="6658" max="6658" width="26" bestFit="1" customWidth="1"/>
    <col min="6659" max="6659" width="21.42578125" bestFit="1" customWidth="1"/>
    <col min="6660" max="6660" width="10.5703125" bestFit="1" customWidth="1"/>
    <col min="6661" max="6661" width="8.42578125" bestFit="1" customWidth="1"/>
    <col min="6662" max="6662" width="22.7109375" bestFit="1" customWidth="1"/>
    <col min="6663" max="6663" width="29.85546875" bestFit="1" customWidth="1"/>
    <col min="6664" max="6664" width="5.5703125" bestFit="1" customWidth="1"/>
    <col min="6665" max="6666" width="2.140625" bestFit="1" customWidth="1"/>
    <col min="6667" max="6667" width="4.5703125" bestFit="1" customWidth="1"/>
    <col min="6668" max="6668" width="7.85546875" bestFit="1" customWidth="1"/>
    <col min="6669" max="6669" width="7.5703125" bestFit="1" customWidth="1"/>
    <col min="6670" max="6670" width="19.42578125" bestFit="1" customWidth="1"/>
    <col min="6914" max="6914" width="26" bestFit="1" customWidth="1"/>
    <col min="6915" max="6915" width="21.42578125" bestFit="1" customWidth="1"/>
    <col min="6916" max="6916" width="10.5703125" bestFit="1" customWidth="1"/>
    <col min="6917" max="6917" width="8.42578125" bestFit="1" customWidth="1"/>
    <col min="6918" max="6918" width="22.7109375" bestFit="1" customWidth="1"/>
    <col min="6919" max="6919" width="29.85546875" bestFit="1" customWidth="1"/>
    <col min="6920" max="6920" width="5.5703125" bestFit="1" customWidth="1"/>
    <col min="6921" max="6922" width="2.140625" bestFit="1" customWidth="1"/>
    <col min="6923" max="6923" width="4.5703125" bestFit="1" customWidth="1"/>
    <col min="6924" max="6924" width="7.85546875" bestFit="1" customWidth="1"/>
    <col min="6925" max="6925" width="7.5703125" bestFit="1" customWidth="1"/>
    <col min="6926" max="6926" width="19.42578125" bestFit="1" customWidth="1"/>
    <col min="7170" max="7170" width="26" bestFit="1" customWidth="1"/>
    <col min="7171" max="7171" width="21.42578125" bestFit="1" customWidth="1"/>
    <col min="7172" max="7172" width="10.5703125" bestFit="1" customWidth="1"/>
    <col min="7173" max="7173" width="8.42578125" bestFit="1" customWidth="1"/>
    <col min="7174" max="7174" width="22.7109375" bestFit="1" customWidth="1"/>
    <col min="7175" max="7175" width="29.85546875" bestFit="1" customWidth="1"/>
    <col min="7176" max="7176" width="5.5703125" bestFit="1" customWidth="1"/>
    <col min="7177" max="7178" width="2.140625" bestFit="1" customWidth="1"/>
    <col min="7179" max="7179" width="4.5703125" bestFit="1" customWidth="1"/>
    <col min="7180" max="7180" width="7.85546875" bestFit="1" customWidth="1"/>
    <col min="7181" max="7181" width="7.5703125" bestFit="1" customWidth="1"/>
    <col min="7182" max="7182" width="19.42578125" bestFit="1" customWidth="1"/>
    <col min="7426" max="7426" width="26" bestFit="1" customWidth="1"/>
    <col min="7427" max="7427" width="21.42578125" bestFit="1" customWidth="1"/>
    <col min="7428" max="7428" width="10.5703125" bestFit="1" customWidth="1"/>
    <col min="7429" max="7429" width="8.42578125" bestFit="1" customWidth="1"/>
    <col min="7430" max="7430" width="22.7109375" bestFit="1" customWidth="1"/>
    <col min="7431" max="7431" width="29.85546875" bestFit="1" customWidth="1"/>
    <col min="7432" max="7432" width="5.5703125" bestFit="1" customWidth="1"/>
    <col min="7433" max="7434" width="2.140625" bestFit="1" customWidth="1"/>
    <col min="7435" max="7435" width="4.5703125" bestFit="1" customWidth="1"/>
    <col min="7436" max="7436" width="7.85546875" bestFit="1" customWidth="1"/>
    <col min="7437" max="7437" width="7.5703125" bestFit="1" customWidth="1"/>
    <col min="7438" max="7438" width="19.42578125" bestFit="1" customWidth="1"/>
    <col min="7682" max="7682" width="26" bestFit="1" customWidth="1"/>
    <col min="7683" max="7683" width="21.42578125" bestFit="1" customWidth="1"/>
    <col min="7684" max="7684" width="10.5703125" bestFit="1" customWidth="1"/>
    <col min="7685" max="7685" width="8.42578125" bestFit="1" customWidth="1"/>
    <col min="7686" max="7686" width="22.7109375" bestFit="1" customWidth="1"/>
    <col min="7687" max="7687" width="29.85546875" bestFit="1" customWidth="1"/>
    <col min="7688" max="7688" width="5.5703125" bestFit="1" customWidth="1"/>
    <col min="7689" max="7690" width="2.140625" bestFit="1" customWidth="1"/>
    <col min="7691" max="7691" width="4.5703125" bestFit="1" customWidth="1"/>
    <col min="7692" max="7692" width="7.85546875" bestFit="1" customWidth="1"/>
    <col min="7693" max="7693" width="7.5703125" bestFit="1" customWidth="1"/>
    <col min="7694" max="7694" width="19.42578125" bestFit="1" customWidth="1"/>
    <col min="7938" max="7938" width="26" bestFit="1" customWidth="1"/>
    <col min="7939" max="7939" width="21.42578125" bestFit="1" customWidth="1"/>
    <col min="7940" max="7940" width="10.5703125" bestFit="1" customWidth="1"/>
    <col min="7941" max="7941" width="8.42578125" bestFit="1" customWidth="1"/>
    <col min="7942" max="7942" width="22.7109375" bestFit="1" customWidth="1"/>
    <col min="7943" max="7943" width="29.85546875" bestFit="1" customWidth="1"/>
    <col min="7944" max="7944" width="5.5703125" bestFit="1" customWidth="1"/>
    <col min="7945" max="7946" width="2.140625" bestFit="1" customWidth="1"/>
    <col min="7947" max="7947" width="4.5703125" bestFit="1" customWidth="1"/>
    <col min="7948" max="7948" width="7.85546875" bestFit="1" customWidth="1"/>
    <col min="7949" max="7949" width="7.5703125" bestFit="1" customWidth="1"/>
    <col min="7950" max="7950" width="19.42578125" bestFit="1" customWidth="1"/>
    <col min="8194" max="8194" width="26" bestFit="1" customWidth="1"/>
    <col min="8195" max="8195" width="21.42578125" bestFit="1" customWidth="1"/>
    <col min="8196" max="8196" width="10.5703125" bestFit="1" customWidth="1"/>
    <col min="8197" max="8197" width="8.42578125" bestFit="1" customWidth="1"/>
    <col min="8198" max="8198" width="22.7109375" bestFit="1" customWidth="1"/>
    <col min="8199" max="8199" width="29.85546875" bestFit="1" customWidth="1"/>
    <col min="8200" max="8200" width="5.5703125" bestFit="1" customWidth="1"/>
    <col min="8201" max="8202" width="2.140625" bestFit="1" customWidth="1"/>
    <col min="8203" max="8203" width="4.5703125" bestFit="1" customWidth="1"/>
    <col min="8204" max="8204" width="7.85546875" bestFit="1" customWidth="1"/>
    <col min="8205" max="8205" width="7.5703125" bestFit="1" customWidth="1"/>
    <col min="8206" max="8206" width="19.42578125" bestFit="1" customWidth="1"/>
    <col min="8450" max="8450" width="26" bestFit="1" customWidth="1"/>
    <col min="8451" max="8451" width="21.42578125" bestFit="1" customWidth="1"/>
    <col min="8452" max="8452" width="10.5703125" bestFit="1" customWidth="1"/>
    <col min="8453" max="8453" width="8.42578125" bestFit="1" customWidth="1"/>
    <col min="8454" max="8454" width="22.7109375" bestFit="1" customWidth="1"/>
    <col min="8455" max="8455" width="29.85546875" bestFit="1" customWidth="1"/>
    <col min="8456" max="8456" width="5.5703125" bestFit="1" customWidth="1"/>
    <col min="8457" max="8458" width="2.140625" bestFit="1" customWidth="1"/>
    <col min="8459" max="8459" width="4.5703125" bestFit="1" customWidth="1"/>
    <col min="8460" max="8460" width="7.85546875" bestFit="1" customWidth="1"/>
    <col min="8461" max="8461" width="7.5703125" bestFit="1" customWidth="1"/>
    <col min="8462" max="8462" width="19.42578125" bestFit="1" customWidth="1"/>
    <col min="8706" max="8706" width="26" bestFit="1" customWidth="1"/>
    <col min="8707" max="8707" width="21.42578125" bestFit="1" customWidth="1"/>
    <col min="8708" max="8708" width="10.5703125" bestFit="1" customWidth="1"/>
    <col min="8709" max="8709" width="8.42578125" bestFit="1" customWidth="1"/>
    <col min="8710" max="8710" width="22.7109375" bestFit="1" customWidth="1"/>
    <col min="8711" max="8711" width="29.85546875" bestFit="1" customWidth="1"/>
    <col min="8712" max="8712" width="5.5703125" bestFit="1" customWidth="1"/>
    <col min="8713" max="8714" width="2.140625" bestFit="1" customWidth="1"/>
    <col min="8715" max="8715" width="4.5703125" bestFit="1" customWidth="1"/>
    <col min="8716" max="8716" width="7.85546875" bestFit="1" customWidth="1"/>
    <col min="8717" max="8717" width="7.5703125" bestFit="1" customWidth="1"/>
    <col min="8718" max="8718" width="19.42578125" bestFit="1" customWidth="1"/>
    <col min="8962" max="8962" width="26" bestFit="1" customWidth="1"/>
    <col min="8963" max="8963" width="21.42578125" bestFit="1" customWidth="1"/>
    <col min="8964" max="8964" width="10.5703125" bestFit="1" customWidth="1"/>
    <col min="8965" max="8965" width="8.42578125" bestFit="1" customWidth="1"/>
    <col min="8966" max="8966" width="22.7109375" bestFit="1" customWidth="1"/>
    <col min="8967" max="8967" width="29.85546875" bestFit="1" customWidth="1"/>
    <col min="8968" max="8968" width="5.5703125" bestFit="1" customWidth="1"/>
    <col min="8969" max="8970" width="2.140625" bestFit="1" customWidth="1"/>
    <col min="8971" max="8971" width="4.5703125" bestFit="1" customWidth="1"/>
    <col min="8972" max="8972" width="7.85546875" bestFit="1" customWidth="1"/>
    <col min="8973" max="8973" width="7.5703125" bestFit="1" customWidth="1"/>
    <col min="8974" max="8974" width="19.42578125" bestFit="1" customWidth="1"/>
    <col min="9218" max="9218" width="26" bestFit="1" customWidth="1"/>
    <col min="9219" max="9219" width="21.42578125" bestFit="1" customWidth="1"/>
    <col min="9220" max="9220" width="10.5703125" bestFit="1" customWidth="1"/>
    <col min="9221" max="9221" width="8.42578125" bestFit="1" customWidth="1"/>
    <col min="9222" max="9222" width="22.7109375" bestFit="1" customWidth="1"/>
    <col min="9223" max="9223" width="29.85546875" bestFit="1" customWidth="1"/>
    <col min="9224" max="9224" width="5.5703125" bestFit="1" customWidth="1"/>
    <col min="9225" max="9226" width="2.140625" bestFit="1" customWidth="1"/>
    <col min="9227" max="9227" width="4.5703125" bestFit="1" customWidth="1"/>
    <col min="9228" max="9228" width="7.85546875" bestFit="1" customWidth="1"/>
    <col min="9229" max="9229" width="7.5703125" bestFit="1" customWidth="1"/>
    <col min="9230" max="9230" width="19.42578125" bestFit="1" customWidth="1"/>
    <col min="9474" max="9474" width="26" bestFit="1" customWidth="1"/>
    <col min="9475" max="9475" width="21.42578125" bestFit="1" customWidth="1"/>
    <col min="9476" max="9476" width="10.5703125" bestFit="1" customWidth="1"/>
    <col min="9477" max="9477" width="8.42578125" bestFit="1" customWidth="1"/>
    <col min="9478" max="9478" width="22.7109375" bestFit="1" customWidth="1"/>
    <col min="9479" max="9479" width="29.85546875" bestFit="1" customWidth="1"/>
    <col min="9480" max="9480" width="5.5703125" bestFit="1" customWidth="1"/>
    <col min="9481" max="9482" width="2.140625" bestFit="1" customWidth="1"/>
    <col min="9483" max="9483" width="4.5703125" bestFit="1" customWidth="1"/>
    <col min="9484" max="9484" width="7.85546875" bestFit="1" customWidth="1"/>
    <col min="9485" max="9485" width="7.5703125" bestFit="1" customWidth="1"/>
    <col min="9486" max="9486" width="19.42578125" bestFit="1" customWidth="1"/>
    <col min="9730" max="9730" width="26" bestFit="1" customWidth="1"/>
    <col min="9731" max="9731" width="21.42578125" bestFit="1" customWidth="1"/>
    <col min="9732" max="9732" width="10.5703125" bestFit="1" customWidth="1"/>
    <col min="9733" max="9733" width="8.42578125" bestFit="1" customWidth="1"/>
    <col min="9734" max="9734" width="22.7109375" bestFit="1" customWidth="1"/>
    <col min="9735" max="9735" width="29.85546875" bestFit="1" customWidth="1"/>
    <col min="9736" max="9736" width="5.5703125" bestFit="1" customWidth="1"/>
    <col min="9737" max="9738" width="2.140625" bestFit="1" customWidth="1"/>
    <col min="9739" max="9739" width="4.5703125" bestFit="1" customWidth="1"/>
    <col min="9740" max="9740" width="7.85546875" bestFit="1" customWidth="1"/>
    <col min="9741" max="9741" width="7.5703125" bestFit="1" customWidth="1"/>
    <col min="9742" max="9742" width="19.42578125" bestFit="1" customWidth="1"/>
    <col min="9986" max="9986" width="26" bestFit="1" customWidth="1"/>
    <col min="9987" max="9987" width="21.42578125" bestFit="1" customWidth="1"/>
    <col min="9988" max="9988" width="10.5703125" bestFit="1" customWidth="1"/>
    <col min="9989" max="9989" width="8.42578125" bestFit="1" customWidth="1"/>
    <col min="9990" max="9990" width="22.7109375" bestFit="1" customWidth="1"/>
    <col min="9991" max="9991" width="29.85546875" bestFit="1" customWidth="1"/>
    <col min="9992" max="9992" width="5.5703125" bestFit="1" customWidth="1"/>
    <col min="9993" max="9994" width="2.140625" bestFit="1" customWidth="1"/>
    <col min="9995" max="9995" width="4.5703125" bestFit="1" customWidth="1"/>
    <col min="9996" max="9996" width="7.85546875" bestFit="1" customWidth="1"/>
    <col min="9997" max="9997" width="7.5703125" bestFit="1" customWidth="1"/>
    <col min="9998" max="9998" width="19.42578125" bestFit="1" customWidth="1"/>
    <col min="10242" max="10242" width="26" bestFit="1" customWidth="1"/>
    <col min="10243" max="10243" width="21.42578125" bestFit="1" customWidth="1"/>
    <col min="10244" max="10244" width="10.5703125" bestFit="1" customWidth="1"/>
    <col min="10245" max="10245" width="8.42578125" bestFit="1" customWidth="1"/>
    <col min="10246" max="10246" width="22.7109375" bestFit="1" customWidth="1"/>
    <col min="10247" max="10247" width="29.85546875" bestFit="1" customWidth="1"/>
    <col min="10248" max="10248" width="5.5703125" bestFit="1" customWidth="1"/>
    <col min="10249" max="10250" width="2.140625" bestFit="1" customWidth="1"/>
    <col min="10251" max="10251" width="4.5703125" bestFit="1" customWidth="1"/>
    <col min="10252" max="10252" width="7.85546875" bestFit="1" customWidth="1"/>
    <col min="10253" max="10253" width="7.5703125" bestFit="1" customWidth="1"/>
    <col min="10254" max="10254" width="19.42578125" bestFit="1" customWidth="1"/>
    <col min="10498" max="10498" width="26" bestFit="1" customWidth="1"/>
    <col min="10499" max="10499" width="21.42578125" bestFit="1" customWidth="1"/>
    <col min="10500" max="10500" width="10.5703125" bestFit="1" customWidth="1"/>
    <col min="10501" max="10501" width="8.42578125" bestFit="1" customWidth="1"/>
    <col min="10502" max="10502" width="22.7109375" bestFit="1" customWidth="1"/>
    <col min="10503" max="10503" width="29.85546875" bestFit="1" customWidth="1"/>
    <col min="10504" max="10504" width="5.5703125" bestFit="1" customWidth="1"/>
    <col min="10505" max="10506" width="2.140625" bestFit="1" customWidth="1"/>
    <col min="10507" max="10507" width="4.5703125" bestFit="1" customWidth="1"/>
    <col min="10508" max="10508" width="7.85546875" bestFit="1" customWidth="1"/>
    <col min="10509" max="10509" width="7.5703125" bestFit="1" customWidth="1"/>
    <col min="10510" max="10510" width="19.42578125" bestFit="1" customWidth="1"/>
    <col min="10754" max="10754" width="26" bestFit="1" customWidth="1"/>
    <col min="10755" max="10755" width="21.42578125" bestFit="1" customWidth="1"/>
    <col min="10756" max="10756" width="10.5703125" bestFit="1" customWidth="1"/>
    <col min="10757" max="10757" width="8.42578125" bestFit="1" customWidth="1"/>
    <col min="10758" max="10758" width="22.7109375" bestFit="1" customWidth="1"/>
    <col min="10759" max="10759" width="29.85546875" bestFit="1" customWidth="1"/>
    <col min="10760" max="10760" width="5.5703125" bestFit="1" customWidth="1"/>
    <col min="10761" max="10762" width="2.140625" bestFit="1" customWidth="1"/>
    <col min="10763" max="10763" width="4.5703125" bestFit="1" customWidth="1"/>
    <col min="10764" max="10764" width="7.85546875" bestFit="1" customWidth="1"/>
    <col min="10765" max="10765" width="7.5703125" bestFit="1" customWidth="1"/>
    <col min="10766" max="10766" width="19.42578125" bestFit="1" customWidth="1"/>
    <col min="11010" max="11010" width="26" bestFit="1" customWidth="1"/>
    <col min="11011" max="11011" width="21.42578125" bestFit="1" customWidth="1"/>
    <col min="11012" max="11012" width="10.5703125" bestFit="1" customWidth="1"/>
    <col min="11013" max="11013" width="8.42578125" bestFit="1" customWidth="1"/>
    <col min="11014" max="11014" width="22.7109375" bestFit="1" customWidth="1"/>
    <col min="11015" max="11015" width="29.85546875" bestFit="1" customWidth="1"/>
    <col min="11016" max="11016" width="5.5703125" bestFit="1" customWidth="1"/>
    <col min="11017" max="11018" width="2.140625" bestFit="1" customWidth="1"/>
    <col min="11019" max="11019" width="4.5703125" bestFit="1" customWidth="1"/>
    <col min="11020" max="11020" width="7.85546875" bestFit="1" customWidth="1"/>
    <col min="11021" max="11021" width="7.5703125" bestFit="1" customWidth="1"/>
    <col min="11022" max="11022" width="19.42578125" bestFit="1" customWidth="1"/>
    <col min="11266" max="11266" width="26" bestFit="1" customWidth="1"/>
    <col min="11267" max="11267" width="21.42578125" bestFit="1" customWidth="1"/>
    <col min="11268" max="11268" width="10.5703125" bestFit="1" customWidth="1"/>
    <col min="11269" max="11269" width="8.42578125" bestFit="1" customWidth="1"/>
    <col min="11270" max="11270" width="22.7109375" bestFit="1" customWidth="1"/>
    <col min="11271" max="11271" width="29.85546875" bestFit="1" customWidth="1"/>
    <col min="11272" max="11272" width="5.5703125" bestFit="1" customWidth="1"/>
    <col min="11273" max="11274" width="2.140625" bestFit="1" customWidth="1"/>
    <col min="11275" max="11275" width="4.5703125" bestFit="1" customWidth="1"/>
    <col min="11276" max="11276" width="7.85546875" bestFit="1" customWidth="1"/>
    <col min="11277" max="11277" width="7.5703125" bestFit="1" customWidth="1"/>
    <col min="11278" max="11278" width="19.42578125" bestFit="1" customWidth="1"/>
    <col min="11522" max="11522" width="26" bestFit="1" customWidth="1"/>
    <col min="11523" max="11523" width="21.42578125" bestFit="1" customWidth="1"/>
    <col min="11524" max="11524" width="10.5703125" bestFit="1" customWidth="1"/>
    <col min="11525" max="11525" width="8.42578125" bestFit="1" customWidth="1"/>
    <col min="11526" max="11526" width="22.7109375" bestFit="1" customWidth="1"/>
    <col min="11527" max="11527" width="29.85546875" bestFit="1" customWidth="1"/>
    <col min="11528" max="11528" width="5.5703125" bestFit="1" customWidth="1"/>
    <col min="11529" max="11530" width="2.140625" bestFit="1" customWidth="1"/>
    <col min="11531" max="11531" width="4.5703125" bestFit="1" customWidth="1"/>
    <col min="11532" max="11532" width="7.85546875" bestFit="1" customWidth="1"/>
    <col min="11533" max="11533" width="7.5703125" bestFit="1" customWidth="1"/>
    <col min="11534" max="11534" width="19.42578125" bestFit="1" customWidth="1"/>
    <col min="11778" max="11778" width="26" bestFit="1" customWidth="1"/>
    <col min="11779" max="11779" width="21.42578125" bestFit="1" customWidth="1"/>
    <col min="11780" max="11780" width="10.5703125" bestFit="1" customWidth="1"/>
    <col min="11781" max="11781" width="8.42578125" bestFit="1" customWidth="1"/>
    <col min="11782" max="11782" width="22.7109375" bestFit="1" customWidth="1"/>
    <col min="11783" max="11783" width="29.85546875" bestFit="1" customWidth="1"/>
    <col min="11784" max="11784" width="5.5703125" bestFit="1" customWidth="1"/>
    <col min="11785" max="11786" width="2.140625" bestFit="1" customWidth="1"/>
    <col min="11787" max="11787" width="4.5703125" bestFit="1" customWidth="1"/>
    <col min="11788" max="11788" width="7.85546875" bestFit="1" customWidth="1"/>
    <col min="11789" max="11789" width="7.5703125" bestFit="1" customWidth="1"/>
    <col min="11790" max="11790" width="19.42578125" bestFit="1" customWidth="1"/>
    <col min="12034" max="12034" width="26" bestFit="1" customWidth="1"/>
    <col min="12035" max="12035" width="21.42578125" bestFit="1" customWidth="1"/>
    <col min="12036" max="12036" width="10.5703125" bestFit="1" customWidth="1"/>
    <col min="12037" max="12037" width="8.42578125" bestFit="1" customWidth="1"/>
    <col min="12038" max="12038" width="22.7109375" bestFit="1" customWidth="1"/>
    <col min="12039" max="12039" width="29.85546875" bestFit="1" customWidth="1"/>
    <col min="12040" max="12040" width="5.5703125" bestFit="1" customWidth="1"/>
    <col min="12041" max="12042" width="2.140625" bestFit="1" customWidth="1"/>
    <col min="12043" max="12043" width="4.5703125" bestFit="1" customWidth="1"/>
    <col min="12044" max="12044" width="7.85546875" bestFit="1" customWidth="1"/>
    <col min="12045" max="12045" width="7.5703125" bestFit="1" customWidth="1"/>
    <col min="12046" max="12046" width="19.42578125" bestFit="1" customWidth="1"/>
    <col min="12290" max="12290" width="26" bestFit="1" customWidth="1"/>
    <col min="12291" max="12291" width="21.42578125" bestFit="1" customWidth="1"/>
    <col min="12292" max="12292" width="10.5703125" bestFit="1" customWidth="1"/>
    <col min="12293" max="12293" width="8.42578125" bestFit="1" customWidth="1"/>
    <col min="12294" max="12294" width="22.7109375" bestFit="1" customWidth="1"/>
    <col min="12295" max="12295" width="29.85546875" bestFit="1" customWidth="1"/>
    <col min="12296" max="12296" width="5.5703125" bestFit="1" customWidth="1"/>
    <col min="12297" max="12298" width="2.140625" bestFit="1" customWidth="1"/>
    <col min="12299" max="12299" width="4.5703125" bestFit="1" customWidth="1"/>
    <col min="12300" max="12300" width="7.85546875" bestFit="1" customWidth="1"/>
    <col min="12301" max="12301" width="7.5703125" bestFit="1" customWidth="1"/>
    <col min="12302" max="12302" width="19.42578125" bestFit="1" customWidth="1"/>
    <col min="12546" max="12546" width="26" bestFit="1" customWidth="1"/>
    <col min="12547" max="12547" width="21.42578125" bestFit="1" customWidth="1"/>
    <col min="12548" max="12548" width="10.5703125" bestFit="1" customWidth="1"/>
    <col min="12549" max="12549" width="8.42578125" bestFit="1" customWidth="1"/>
    <col min="12550" max="12550" width="22.7109375" bestFit="1" customWidth="1"/>
    <col min="12551" max="12551" width="29.85546875" bestFit="1" customWidth="1"/>
    <col min="12552" max="12552" width="5.5703125" bestFit="1" customWidth="1"/>
    <col min="12553" max="12554" width="2.140625" bestFit="1" customWidth="1"/>
    <col min="12555" max="12555" width="4.5703125" bestFit="1" customWidth="1"/>
    <col min="12556" max="12556" width="7.85546875" bestFit="1" customWidth="1"/>
    <col min="12557" max="12557" width="7.5703125" bestFit="1" customWidth="1"/>
    <col min="12558" max="12558" width="19.42578125" bestFit="1" customWidth="1"/>
    <col min="12802" max="12802" width="26" bestFit="1" customWidth="1"/>
    <col min="12803" max="12803" width="21.42578125" bestFit="1" customWidth="1"/>
    <col min="12804" max="12804" width="10.5703125" bestFit="1" customWidth="1"/>
    <col min="12805" max="12805" width="8.42578125" bestFit="1" customWidth="1"/>
    <col min="12806" max="12806" width="22.7109375" bestFit="1" customWidth="1"/>
    <col min="12807" max="12807" width="29.85546875" bestFit="1" customWidth="1"/>
    <col min="12808" max="12808" width="5.5703125" bestFit="1" customWidth="1"/>
    <col min="12809" max="12810" width="2.140625" bestFit="1" customWidth="1"/>
    <col min="12811" max="12811" width="4.5703125" bestFit="1" customWidth="1"/>
    <col min="12812" max="12812" width="7.85546875" bestFit="1" customWidth="1"/>
    <col min="12813" max="12813" width="7.5703125" bestFit="1" customWidth="1"/>
    <col min="12814" max="12814" width="19.42578125" bestFit="1" customWidth="1"/>
    <col min="13058" max="13058" width="26" bestFit="1" customWidth="1"/>
    <col min="13059" max="13059" width="21.42578125" bestFit="1" customWidth="1"/>
    <col min="13060" max="13060" width="10.5703125" bestFit="1" customWidth="1"/>
    <col min="13061" max="13061" width="8.42578125" bestFit="1" customWidth="1"/>
    <col min="13062" max="13062" width="22.7109375" bestFit="1" customWidth="1"/>
    <col min="13063" max="13063" width="29.85546875" bestFit="1" customWidth="1"/>
    <col min="13064" max="13064" width="5.5703125" bestFit="1" customWidth="1"/>
    <col min="13065" max="13066" width="2.140625" bestFit="1" customWidth="1"/>
    <col min="13067" max="13067" width="4.5703125" bestFit="1" customWidth="1"/>
    <col min="13068" max="13068" width="7.85546875" bestFit="1" customWidth="1"/>
    <col min="13069" max="13069" width="7.5703125" bestFit="1" customWidth="1"/>
    <col min="13070" max="13070" width="19.42578125" bestFit="1" customWidth="1"/>
    <col min="13314" max="13314" width="26" bestFit="1" customWidth="1"/>
    <col min="13315" max="13315" width="21.42578125" bestFit="1" customWidth="1"/>
    <col min="13316" max="13316" width="10.5703125" bestFit="1" customWidth="1"/>
    <col min="13317" max="13317" width="8.42578125" bestFit="1" customWidth="1"/>
    <col min="13318" max="13318" width="22.7109375" bestFit="1" customWidth="1"/>
    <col min="13319" max="13319" width="29.85546875" bestFit="1" customWidth="1"/>
    <col min="13320" max="13320" width="5.5703125" bestFit="1" customWidth="1"/>
    <col min="13321" max="13322" width="2.140625" bestFit="1" customWidth="1"/>
    <col min="13323" max="13323" width="4.5703125" bestFit="1" customWidth="1"/>
    <col min="13324" max="13324" width="7.85546875" bestFit="1" customWidth="1"/>
    <col min="13325" max="13325" width="7.5703125" bestFit="1" customWidth="1"/>
    <col min="13326" max="13326" width="19.42578125" bestFit="1" customWidth="1"/>
    <col min="13570" max="13570" width="26" bestFit="1" customWidth="1"/>
    <col min="13571" max="13571" width="21.42578125" bestFit="1" customWidth="1"/>
    <col min="13572" max="13572" width="10.5703125" bestFit="1" customWidth="1"/>
    <col min="13573" max="13573" width="8.42578125" bestFit="1" customWidth="1"/>
    <col min="13574" max="13574" width="22.7109375" bestFit="1" customWidth="1"/>
    <col min="13575" max="13575" width="29.85546875" bestFit="1" customWidth="1"/>
    <col min="13576" max="13576" width="5.5703125" bestFit="1" customWidth="1"/>
    <col min="13577" max="13578" width="2.140625" bestFit="1" customWidth="1"/>
    <col min="13579" max="13579" width="4.5703125" bestFit="1" customWidth="1"/>
    <col min="13580" max="13580" width="7.85546875" bestFit="1" customWidth="1"/>
    <col min="13581" max="13581" width="7.5703125" bestFit="1" customWidth="1"/>
    <col min="13582" max="13582" width="19.42578125" bestFit="1" customWidth="1"/>
    <col min="13826" max="13826" width="26" bestFit="1" customWidth="1"/>
    <col min="13827" max="13827" width="21.42578125" bestFit="1" customWidth="1"/>
    <col min="13828" max="13828" width="10.5703125" bestFit="1" customWidth="1"/>
    <col min="13829" max="13829" width="8.42578125" bestFit="1" customWidth="1"/>
    <col min="13830" max="13830" width="22.7109375" bestFit="1" customWidth="1"/>
    <col min="13831" max="13831" width="29.85546875" bestFit="1" customWidth="1"/>
    <col min="13832" max="13832" width="5.5703125" bestFit="1" customWidth="1"/>
    <col min="13833" max="13834" width="2.140625" bestFit="1" customWidth="1"/>
    <col min="13835" max="13835" width="4.5703125" bestFit="1" customWidth="1"/>
    <col min="13836" max="13836" width="7.85546875" bestFit="1" customWidth="1"/>
    <col min="13837" max="13837" width="7.5703125" bestFit="1" customWidth="1"/>
    <col min="13838" max="13838" width="19.42578125" bestFit="1" customWidth="1"/>
    <col min="14082" max="14082" width="26" bestFit="1" customWidth="1"/>
    <col min="14083" max="14083" width="21.42578125" bestFit="1" customWidth="1"/>
    <col min="14084" max="14084" width="10.5703125" bestFit="1" customWidth="1"/>
    <col min="14085" max="14085" width="8.42578125" bestFit="1" customWidth="1"/>
    <col min="14086" max="14086" width="22.7109375" bestFit="1" customWidth="1"/>
    <col min="14087" max="14087" width="29.85546875" bestFit="1" customWidth="1"/>
    <col min="14088" max="14088" width="5.5703125" bestFit="1" customWidth="1"/>
    <col min="14089" max="14090" width="2.140625" bestFit="1" customWidth="1"/>
    <col min="14091" max="14091" width="4.5703125" bestFit="1" customWidth="1"/>
    <col min="14092" max="14092" width="7.85546875" bestFit="1" customWidth="1"/>
    <col min="14093" max="14093" width="7.5703125" bestFit="1" customWidth="1"/>
    <col min="14094" max="14094" width="19.42578125" bestFit="1" customWidth="1"/>
    <col min="14338" max="14338" width="26" bestFit="1" customWidth="1"/>
    <col min="14339" max="14339" width="21.42578125" bestFit="1" customWidth="1"/>
    <col min="14340" max="14340" width="10.5703125" bestFit="1" customWidth="1"/>
    <col min="14341" max="14341" width="8.42578125" bestFit="1" customWidth="1"/>
    <col min="14342" max="14342" width="22.7109375" bestFit="1" customWidth="1"/>
    <col min="14343" max="14343" width="29.85546875" bestFit="1" customWidth="1"/>
    <col min="14344" max="14344" width="5.5703125" bestFit="1" customWidth="1"/>
    <col min="14345" max="14346" width="2.140625" bestFit="1" customWidth="1"/>
    <col min="14347" max="14347" width="4.5703125" bestFit="1" customWidth="1"/>
    <col min="14348" max="14348" width="7.85546875" bestFit="1" customWidth="1"/>
    <col min="14349" max="14349" width="7.5703125" bestFit="1" customWidth="1"/>
    <col min="14350" max="14350" width="19.42578125" bestFit="1" customWidth="1"/>
    <col min="14594" max="14594" width="26" bestFit="1" customWidth="1"/>
    <col min="14595" max="14595" width="21.42578125" bestFit="1" customWidth="1"/>
    <col min="14596" max="14596" width="10.5703125" bestFit="1" customWidth="1"/>
    <col min="14597" max="14597" width="8.42578125" bestFit="1" customWidth="1"/>
    <col min="14598" max="14598" width="22.7109375" bestFit="1" customWidth="1"/>
    <col min="14599" max="14599" width="29.85546875" bestFit="1" customWidth="1"/>
    <col min="14600" max="14600" width="5.5703125" bestFit="1" customWidth="1"/>
    <col min="14601" max="14602" width="2.140625" bestFit="1" customWidth="1"/>
    <col min="14603" max="14603" width="4.5703125" bestFit="1" customWidth="1"/>
    <col min="14604" max="14604" width="7.85546875" bestFit="1" customWidth="1"/>
    <col min="14605" max="14605" width="7.5703125" bestFit="1" customWidth="1"/>
    <col min="14606" max="14606" width="19.42578125" bestFit="1" customWidth="1"/>
    <col min="14850" max="14850" width="26" bestFit="1" customWidth="1"/>
    <col min="14851" max="14851" width="21.42578125" bestFit="1" customWidth="1"/>
    <col min="14852" max="14852" width="10.5703125" bestFit="1" customWidth="1"/>
    <col min="14853" max="14853" width="8.42578125" bestFit="1" customWidth="1"/>
    <col min="14854" max="14854" width="22.7109375" bestFit="1" customWidth="1"/>
    <col min="14855" max="14855" width="29.85546875" bestFit="1" customWidth="1"/>
    <col min="14856" max="14856" width="5.5703125" bestFit="1" customWidth="1"/>
    <col min="14857" max="14858" width="2.140625" bestFit="1" customWidth="1"/>
    <col min="14859" max="14859" width="4.5703125" bestFit="1" customWidth="1"/>
    <col min="14860" max="14860" width="7.85546875" bestFit="1" customWidth="1"/>
    <col min="14861" max="14861" width="7.5703125" bestFit="1" customWidth="1"/>
    <col min="14862" max="14862" width="19.42578125" bestFit="1" customWidth="1"/>
    <col min="15106" max="15106" width="26" bestFit="1" customWidth="1"/>
    <col min="15107" max="15107" width="21.42578125" bestFit="1" customWidth="1"/>
    <col min="15108" max="15108" width="10.5703125" bestFit="1" customWidth="1"/>
    <col min="15109" max="15109" width="8.42578125" bestFit="1" customWidth="1"/>
    <col min="15110" max="15110" width="22.7109375" bestFit="1" customWidth="1"/>
    <col min="15111" max="15111" width="29.85546875" bestFit="1" customWidth="1"/>
    <col min="15112" max="15112" width="5.5703125" bestFit="1" customWidth="1"/>
    <col min="15113" max="15114" width="2.140625" bestFit="1" customWidth="1"/>
    <col min="15115" max="15115" width="4.5703125" bestFit="1" customWidth="1"/>
    <col min="15116" max="15116" width="7.85546875" bestFit="1" customWidth="1"/>
    <col min="15117" max="15117" width="7.5703125" bestFit="1" customWidth="1"/>
    <col min="15118" max="15118" width="19.42578125" bestFit="1" customWidth="1"/>
    <col min="15362" max="15362" width="26" bestFit="1" customWidth="1"/>
    <col min="15363" max="15363" width="21.42578125" bestFit="1" customWidth="1"/>
    <col min="15364" max="15364" width="10.5703125" bestFit="1" customWidth="1"/>
    <col min="15365" max="15365" width="8.42578125" bestFit="1" customWidth="1"/>
    <col min="15366" max="15366" width="22.7109375" bestFit="1" customWidth="1"/>
    <col min="15367" max="15367" width="29.85546875" bestFit="1" customWidth="1"/>
    <col min="15368" max="15368" width="5.5703125" bestFit="1" customWidth="1"/>
    <col min="15369" max="15370" width="2.140625" bestFit="1" customWidth="1"/>
    <col min="15371" max="15371" width="4.5703125" bestFit="1" customWidth="1"/>
    <col min="15372" max="15372" width="7.85546875" bestFit="1" customWidth="1"/>
    <col min="15373" max="15373" width="7.5703125" bestFit="1" customWidth="1"/>
    <col min="15374" max="15374" width="19.42578125" bestFit="1" customWidth="1"/>
    <col min="15618" max="15618" width="26" bestFit="1" customWidth="1"/>
    <col min="15619" max="15619" width="21.42578125" bestFit="1" customWidth="1"/>
    <col min="15620" max="15620" width="10.5703125" bestFit="1" customWidth="1"/>
    <col min="15621" max="15621" width="8.42578125" bestFit="1" customWidth="1"/>
    <col min="15622" max="15622" width="22.7109375" bestFit="1" customWidth="1"/>
    <col min="15623" max="15623" width="29.85546875" bestFit="1" customWidth="1"/>
    <col min="15624" max="15624" width="5.5703125" bestFit="1" customWidth="1"/>
    <col min="15625" max="15626" width="2.140625" bestFit="1" customWidth="1"/>
    <col min="15627" max="15627" width="4.5703125" bestFit="1" customWidth="1"/>
    <col min="15628" max="15628" width="7.85546875" bestFit="1" customWidth="1"/>
    <col min="15629" max="15629" width="7.5703125" bestFit="1" customWidth="1"/>
    <col min="15630" max="15630" width="19.42578125" bestFit="1" customWidth="1"/>
    <col min="15874" max="15874" width="26" bestFit="1" customWidth="1"/>
    <col min="15875" max="15875" width="21.42578125" bestFit="1" customWidth="1"/>
    <col min="15876" max="15876" width="10.5703125" bestFit="1" customWidth="1"/>
    <col min="15877" max="15877" width="8.42578125" bestFit="1" customWidth="1"/>
    <col min="15878" max="15878" width="22.7109375" bestFit="1" customWidth="1"/>
    <col min="15879" max="15879" width="29.85546875" bestFit="1" customWidth="1"/>
    <col min="15880" max="15880" width="5.5703125" bestFit="1" customWidth="1"/>
    <col min="15881" max="15882" width="2.140625" bestFit="1" customWidth="1"/>
    <col min="15883" max="15883" width="4.5703125" bestFit="1" customWidth="1"/>
    <col min="15884" max="15884" width="7.85546875" bestFit="1" customWidth="1"/>
    <col min="15885" max="15885" width="7.5703125" bestFit="1" customWidth="1"/>
    <col min="15886" max="15886" width="19.42578125" bestFit="1" customWidth="1"/>
    <col min="16130" max="16130" width="26" bestFit="1" customWidth="1"/>
    <col min="16131" max="16131" width="21.42578125" bestFit="1" customWidth="1"/>
    <col min="16132" max="16132" width="10.5703125" bestFit="1" customWidth="1"/>
    <col min="16133" max="16133" width="8.42578125" bestFit="1" customWidth="1"/>
    <col min="16134" max="16134" width="22.7109375" bestFit="1" customWidth="1"/>
    <col min="16135" max="16135" width="29.85546875" bestFit="1" customWidth="1"/>
    <col min="16136" max="16136" width="5.5703125" bestFit="1" customWidth="1"/>
    <col min="16137" max="16138" width="2.140625" bestFit="1" customWidth="1"/>
    <col min="16139" max="16139" width="4.5703125" bestFit="1" customWidth="1"/>
    <col min="16140" max="16140" width="7.85546875" bestFit="1" customWidth="1"/>
    <col min="16141" max="16141" width="7.5703125" bestFit="1" customWidth="1"/>
    <col min="16142" max="16142" width="19.42578125" bestFit="1" customWidth="1"/>
  </cols>
  <sheetData>
    <row r="1" spans="1:14" ht="30" x14ac:dyDescent="0.4">
      <c r="A1" s="348" t="s">
        <v>4054</v>
      </c>
      <c r="B1" s="349"/>
      <c r="C1" s="349"/>
      <c r="D1" s="349"/>
      <c r="E1" s="349"/>
      <c r="F1" s="349"/>
      <c r="G1" s="349"/>
      <c r="H1" s="349"/>
      <c r="I1" s="349"/>
      <c r="J1" s="349"/>
      <c r="K1" s="349"/>
      <c r="L1" s="349"/>
      <c r="M1" s="349"/>
      <c r="N1" s="350"/>
    </row>
    <row r="2" spans="1:14" ht="30" x14ac:dyDescent="0.4">
      <c r="A2" s="351" t="s">
        <v>4077</v>
      </c>
      <c r="B2" s="352"/>
      <c r="C2" s="352"/>
      <c r="D2" s="352"/>
      <c r="E2" s="352"/>
      <c r="F2" s="352"/>
      <c r="G2" s="352"/>
      <c r="H2" s="352"/>
      <c r="I2" s="352"/>
      <c r="J2" s="352"/>
      <c r="K2" s="352"/>
      <c r="L2" s="352"/>
      <c r="M2" s="352"/>
      <c r="N2" s="353"/>
    </row>
    <row r="3" spans="1:14" ht="30.75" thickBot="1" x14ac:dyDescent="0.45">
      <c r="A3" s="354" t="s">
        <v>4056</v>
      </c>
      <c r="B3" s="355"/>
      <c r="C3" s="355"/>
      <c r="D3" s="355"/>
      <c r="E3" s="355"/>
      <c r="F3" s="355"/>
      <c r="G3" s="355"/>
      <c r="H3" s="355"/>
      <c r="I3" s="355"/>
      <c r="J3" s="355"/>
      <c r="K3" s="355"/>
      <c r="L3" s="355"/>
      <c r="M3" s="355"/>
      <c r="N3" s="356"/>
    </row>
    <row r="4" spans="1:14" s="5" customFormat="1" ht="15" customHeight="1" x14ac:dyDescent="0.2">
      <c r="A4" s="300" t="s">
        <v>2842</v>
      </c>
      <c r="B4" s="312" t="s">
        <v>2820</v>
      </c>
      <c r="C4" s="357" t="s">
        <v>2843</v>
      </c>
      <c r="D4" s="357" t="s">
        <v>2844</v>
      </c>
      <c r="E4" s="304" t="s">
        <v>2821</v>
      </c>
      <c r="F4" s="304" t="s">
        <v>2822</v>
      </c>
      <c r="G4" s="305" t="s">
        <v>2841</v>
      </c>
      <c r="H4" s="304" t="s">
        <v>2823</v>
      </c>
      <c r="I4" s="304"/>
      <c r="J4" s="304"/>
      <c r="K4" s="304"/>
      <c r="L4" s="359" t="s">
        <v>2848</v>
      </c>
      <c r="M4" s="304" t="s">
        <v>2825</v>
      </c>
      <c r="N4" s="307" t="s">
        <v>2826</v>
      </c>
    </row>
    <row r="5" spans="1:14" s="5" customFormat="1" ht="15.75" thickBot="1" x14ac:dyDescent="0.25">
      <c r="A5" s="301"/>
      <c r="B5" s="313"/>
      <c r="C5" s="358"/>
      <c r="D5" s="358"/>
      <c r="E5" s="303"/>
      <c r="F5" s="303"/>
      <c r="G5" s="306"/>
      <c r="H5" s="2">
        <v>1</v>
      </c>
      <c r="I5" s="2">
        <v>2</v>
      </c>
      <c r="J5" s="2">
        <v>3</v>
      </c>
      <c r="K5" s="2" t="s">
        <v>2827</v>
      </c>
      <c r="L5" s="360"/>
      <c r="M5" s="303"/>
      <c r="N5" s="310"/>
    </row>
    <row r="6" spans="1:14" ht="15" x14ac:dyDescent="0.2">
      <c r="B6" s="299" t="s">
        <v>2891</v>
      </c>
      <c r="C6" s="299"/>
      <c r="D6" s="299"/>
      <c r="E6" s="299"/>
      <c r="F6" s="299"/>
      <c r="G6" s="299"/>
      <c r="H6" s="299"/>
      <c r="I6" s="299"/>
      <c r="J6" s="299"/>
      <c r="K6" s="299"/>
      <c r="L6" s="299"/>
      <c r="M6" s="299"/>
    </row>
    <row r="7" spans="1:14" x14ac:dyDescent="0.2">
      <c r="A7" s="43">
        <v>1</v>
      </c>
      <c r="B7" s="7" t="s">
        <v>3004</v>
      </c>
      <c r="C7" s="7" t="s">
        <v>3005</v>
      </c>
      <c r="D7" s="7" t="s">
        <v>195</v>
      </c>
      <c r="E7" s="7" t="str">
        <f>"0,6827"</f>
        <v>0,6827</v>
      </c>
      <c r="F7" s="7" t="s">
        <v>2853</v>
      </c>
      <c r="G7" s="7" t="s">
        <v>2925</v>
      </c>
      <c r="H7" s="34" t="s">
        <v>69</v>
      </c>
      <c r="I7" s="20"/>
      <c r="J7" s="20"/>
      <c r="K7" s="20"/>
      <c r="L7" s="19" t="s">
        <v>69</v>
      </c>
      <c r="M7" s="19" t="str">
        <f>"75,0970"</f>
        <v>75,0970</v>
      </c>
      <c r="N7" s="7" t="s">
        <v>3006</v>
      </c>
    </row>
    <row r="9" spans="1:14" ht="15" x14ac:dyDescent="0.2">
      <c r="B9" s="294" t="s">
        <v>2878</v>
      </c>
      <c r="C9" s="294"/>
      <c r="D9" s="294"/>
      <c r="E9" s="294"/>
      <c r="F9" s="294"/>
      <c r="G9" s="294"/>
      <c r="H9" s="294"/>
      <c r="I9" s="294"/>
      <c r="J9" s="294"/>
      <c r="K9" s="294"/>
      <c r="L9" s="294"/>
      <c r="M9" s="294"/>
    </row>
    <row r="10" spans="1:14" x14ac:dyDescent="0.2">
      <c r="A10" s="43">
        <v>1</v>
      </c>
      <c r="B10" s="7" t="s">
        <v>2999</v>
      </c>
      <c r="C10" s="7" t="s">
        <v>3000</v>
      </c>
      <c r="D10" s="7" t="s">
        <v>2335</v>
      </c>
      <c r="E10" s="7" t="str">
        <f>"0,5821"</f>
        <v>0,5821</v>
      </c>
      <c r="F10" s="7" t="s">
        <v>2831</v>
      </c>
      <c r="G10" s="7" t="s">
        <v>2832</v>
      </c>
      <c r="H10" s="34" t="s">
        <v>25</v>
      </c>
      <c r="I10" s="20"/>
      <c r="J10" s="20"/>
      <c r="K10" s="20"/>
      <c r="L10" s="19" t="s">
        <v>25</v>
      </c>
      <c r="M10" s="19" t="str">
        <f>"90,2255"</f>
        <v>90,2255</v>
      </c>
      <c r="N10" s="7" t="s">
        <v>3001</v>
      </c>
    </row>
  </sheetData>
  <mergeCells count="16">
    <mergeCell ref="A1:N1"/>
    <mergeCell ref="A2:N2"/>
    <mergeCell ref="A3:N3"/>
    <mergeCell ref="N4:N5"/>
    <mergeCell ref="B6:M6"/>
    <mergeCell ref="B9:M9"/>
    <mergeCell ref="A4:A5"/>
    <mergeCell ref="B4:B5"/>
    <mergeCell ref="C4:C5"/>
    <mergeCell ref="D4:D5"/>
    <mergeCell ref="E4:E5"/>
    <mergeCell ref="F4:F5"/>
    <mergeCell ref="G4:G5"/>
    <mergeCell ref="H4:K4"/>
    <mergeCell ref="L4:L5"/>
    <mergeCell ref="M4:M5"/>
  </mergeCells>
  <pageMargins left="0.7" right="0.7" top="0.75" bottom="0.75" header="0.3" footer="0.3"/>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workbookViewId="0">
      <selection sqref="A1:L1"/>
    </sheetView>
  </sheetViews>
  <sheetFormatPr defaultColWidth="8.7109375" defaultRowHeight="12.75" x14ac:dyDescent="0.2"/>
  <cols>
    <col min="2" max="2" width="26" style="6" bestFit="1" customWidth="1"/>
    <col min="3" max="3" width="30.140625" style="6" customWidth="1"/>
    <col min="4" max="4" width="10.5703125" style="6" bestFit="1" customWidth="1"/>
    <col min="5" max="5" width="8.42578125" style="6" bestFit="1" customWidth="1"/>
    <col min="6" max="6" width="18.7109375" style="6" customWidth="1"/>
    <col min="7" max="7" width="24" style="6" customWidth="1"/>
    <col min="8" max="8" width="8.5703125" style="6" customWidth="1"/>
    <col min="9" max="9" width="9.28515625" style="6" customWidth="1"/>
    <col min="10" max="10" width="9.5703125" style="6" customWidth="1"/>
    <col min="11" max="11" width="8.5703125" style="6" bestFit="1" customWidth="1"/>
    <col min="12" max="12" width="17.28515625" style="6" customWidth="1"/>
    <col min="258" max="258" width="26" bestFit="1" customWidth="1"/>
    <col min="259" max="259" width="21.42578125" bestFit="1" customWidth="1"/>
    <col min="260" max="260" width="10.5703125" bestFit="1" customWidth="1"/>
    <col min="261" max="261" width="8.42578125" bestFit="1" customWidth="1"/>
    <col min="262" max="262" width="22.7109375" bestFit="1" customWidth="1"/>
    <col min="263" max="263" width="8.42578125" bestFit="1" customWidth="1"/>
    <col min="264" max="264" width="5.5703125" bestFit="1" customWidth="1"/>
    <col min="265" max="265" width="3.5703125" bestFit="1" customWidth="1"/>
    <col min="266" max="266" width="7.85546875" bestFit="1" customWidth="1"/>
    <col min="267" max="267" width="8.5703125" bestFit="1" customWidth="1"/>
    <col min="268" max="268" width="15.42578125" bestFit="1" customWidth="1"/>
    <col min="514" max="514" width="26" bestFit="1" customWidth="1"/>
    <col min="515" max="515" width="21.42578125" bestFit="1" customWidth="1"/>
    <col min="516" max="516" width="10.5703125" bestFit="1" customWidth="1"/>
    <col min="517" max="517" width="8.42578125" bestFit="1" customWidth="1"/>
    <col min="518" max="518" width="22.7109375" bestFit="1" customWidth="1"/>
    <col min="519" max="519" width="8.42578125" bestFit="1" customWidth="1"/>
    <col min="520" max="520" width="5.5703125" bestFit="1" customWidth="1"/>
    <col min="521" max="521" width="3.5703125" bestFit="1" customWidth="1"/>
    <col min="522" max="522" width="7.85546875" bestFit="1" customWidth="1"/>
    <col min="523" max="523" width="8.5703125" bestFit="1" customWidth="1"/>
    <col min="524" max="524" width="15.42578125" bestFit="1" customWidth="1"/>
    <col min="770" max="770" width="26" bestFit="1" customWidth="1"/>
    <col min="771" max="771" width="21.42578125" bestFit="1" customWidth="1"/>
    <col min="772" max="772" width="10.5703125" bestFit="1" customWidth="1"/>
    <col min="773" max="773" width="8.42578125" bestFit="1" customWidth="1"/>
    <col min="774" max="774" width="22.7109375" bestFit="1" customWidth="1"/>
    <col min="775" max="775" width="8.42578125" bestFit="1" customWidth="1"/>
    <col min="776" max="776" width="5.5703125" bestFit="1" customWidth="1"/>
    <col min="777" max="777" width="3.5703125" bestFit="1" customWidth="1"/>
    <col min="778" max="778" width="7.85546875" bestFit="1" customWidth="1"/>
    <col min="779" max="779" width="8.5703125" bestFit="1" customWidth="1"/>
    <col min="780" max="780" width="15.42578125" bestFit="1" customWidth="1"/>
    <col min="1026" max="1026" width="26" bestFit="1" customWidth="1"/>
    <col min="1027" max="1027" width="21.42578125" bestFit="1" customWidth="1"/>
    <col min="1028" max="1028" width="10.5703125" bestFit="1" customWidth="1"/>
    <col min="1029" max="1029" width="8.42578125" bestFit="1" customWidth="1"/>
    <col min="1030" max="1030" width="22.7109375" bestFit="1" customWidth="1"/>
    <col min="1031" max="1031" width="8.42578125" bestFit="1" customWidth="1"/>
    <col min="1032" max="1032" width="5.5703125" bestFit="1" customWidth="1"/>
    <col min="1033" max="1033" width="3.5703125" bestFit="1" customWidth="1"/>
    <col min="1034" max="1034" width="7.85546875" bestFit="1" customWidth="1"/>
    <col min="1035" max="1035" width="8.5703125" bestFit="1" customWidth="1"/>
    <col min="1036" max="1036" width="15.42578125" bestFit="1" customWidth="1"/>
    <col min="1282" max="1282" width="26" bestFit="1" customWidth="1"/>
    <col min="1283" max="1283" width="21.42578125" bestFit="1" customWidth="1"/>
    <col min="1284" max="1284" width="10.5703125" bestFit="1" customWidth="1"/>
    <col min="1285" max="1285" width="8.42578125" bestFit="1" customWidth="1"/>
    <col min="1286" max="1286" width="22.7109375" bestFit="1" customWidth="1"/>
    <col min="1287" max="1287" width="8.42578125" bestFit="1" customWidth="1"/>
    <col min="1288" max="1288" width="5.5703125" bestFit="1" customWidth="1"/>
    <col min="1289" max="1289" width="3.5703125" bestFit="1" customWidth="1"/>
    <col min="1290" max="1290" width="7.85546875" bestFit="1" customWidth="1"/>
    <col min="1291" max="1291" width="8.5703125" bestFit="1" customWidth="1"/>
    <col min="1292" max="1292" width="15.42578125" bestFit="1" customWidth="1"/>
    <col min="1538" max="1538" width="26" bestFit="1" customWidth="1"/>
    <col min="1539" max="1539" width="21.42578125" bestFit="1" customWidth="1"/>
    <col min="1540" max="1540" width="10.5703125" bestFit="1" customWidth="1"/>
    <col min="1541" max="1541" width="8.42578125" bestFit="1" customWidth="1"/>
    <col min="1542" max="1542" width="22.7109375" bestFit="1" customWidth="1"/>
    <col min="1543" max="1543" width="8.42578125" bestFit="1" customWidth="1"/>
    <col min="1544" max="1544" width="5.5703125" bestFit="1" customWidth="1"/>
    <col min="1545" max="1545" width="3.5703125" bestFit="1" customWidth="1"/>
    <col min="1546" max="1546" width="7.85546875" bestFit="1" customWidth="1"/>
    <col min="1547" max="1547" width="8.5703125" bestFit="1" customWidth="1"/>
    <col min="1548" max="1548" width="15.42578125" bestFit="1" customWidth="1"/>
    <col min="1794" max="1794" width="26" bestFit="1" customWidth="1"/>
    <col min="1795" max="1795" width="21.42578125" bestFit="1" customWidth="1"/>
    <col min="1796" max="1796" width="10.5703125" bestFit="1" customWidth="1"/>
    <col min="1797" max="1797" width="8.42578125" bestFit="1" customWidth="1"/>
    <col min="1798" max="1798" width="22.7109375" bestFit="1" customWidth="1"/>
    <col min="1799" max="1799" width="8.42578125" bestFit="1" customWidth="1"/>
    <col min="1800" max="1800" width="5.5703125" bestFit="1" customWidth="1"/>
    <col min="1801" max="1801" width="3.5703125" bestFit="1" customWidth="1"/>
    <col min="1802" max="1802" width="7.85546875" bestFit="1" customWidth="1"/>
    <col min="1803" max="1803" width="8.5703125" bestFit="1" customWidth="1"/>
    <col min="1804" max="1804" width="15.42578125" bestFit="1" customWidth="1"/>
    <col min="2050" max="2050" width="26" bestFit="1" customWidth="1"/>
    <col min="2051" max="2051" width="21.42578125" bestFit="1" customWidth="1"/>
    <col min="2052" max="2052" width="10.5703125" bestFit="1" customWidth="1"/>
    <col min="2053" max="2053" width="8.42578125" bestFit="1" customWidth="1"/>
    <col min="2054" max="2054" width="22.7109375" bestFit="1" customWidth="1"/>
    <col min="2055" max="2055" width="8.42578125" bestFit="1" customWidth="1"/>
    <col min="2056" max="2056" width="5.5703125" bestFit="1" customWidth="1"/>
    <col min="2057" max="2057" width="3.5703125" bestFit="1" customWidth="1"/>
    <col min="2058" max="2058" width="7.85546875" bestFit="1" customWidth="1"/>
    <col min="2059" max="2059" width="8.5703125" bestFit="1" customWidth="1"/>
    <col min="2060" max="2060" width="15.42578125" bestFit="1" customWidth="1"/>
    <col min="2306" max="2306" width="26" bestFit="1" customWidth="1"/>
    <col min="2307" max="2307" width="21.42578125" bestFit="1" customWidth="1"/>
    <col min="2308" max="2308" width="10.5703125" bestFit="1" customWidth="1"/>
    <col min="2309" max="2309" width="8.42578125" bestFit="1" customWidth="1"/>
    <col min="2310" max="2310" width="22.7109375" bestFit="1" customWidth="1"/>
    <col min="2311" max="2311" width="8.42578125" bestFit="1" customWidth="1"/>
    <col min="2312" max="2312" width="5.5703125" bestFit="1" customWidth="1"/>
    <col min="2313" max="2313" width="3.5703125" bestFit="1" customWidth="1"/>
    <col min="2314" max="2314" width="7.85546875" bestFit="1" customWidth="1"/>
    <col min="2315" max="2315" width="8.5703125" bestFit="1" customWidth="1"/>
    <col min="2316" max="2316" width="15.42578125" bestFit="1" customWidth="1"/>
    <col min="2562" max="2562" width="26" bestFit="1" customWidth="1"/>
    <col min="2563" max="2563" width="21.42578125" bestFit="1" customWidth="1"/>
    <col min="2564" max="2564" width="10.5703125" bestFit="1" customWidth="1"/>
    <col min="2565" max="2565" width="8.42578125" bestFit="1" customWidth="1"/>
    <col min="2566" max="2566" width="22.7109375" bestFit="1" customWidth="1"/>
    <col min="2567" max="2567" width="8.42578125" bestFit="1" customWidth="1"/>
    <col min="2568" max="2568" width="5.5703125" bestFit="1" customWidth="1"/>
    <col min="2569" max="2569" width="3.5703125" bestFit="1" customWidth="1"/>
    <col min="2570" max="2570" width="7.85546875" bestFit="1" customWidth="1"/>
    <col min="2571" max="2571" width="8.5703125" bestFit="1" customWidth="1"/>
    <col min="2572" max="2572" width="15.42578125" bestFit="1" customWidth="1"/>
    <col min="2818" max="2818" width="26" bestFit="1" customWidth="1"/>
    <col min="2819" max="2819" width="21.42578125" bestFit="1" customWidth="1"/>
    <col min="2820" max="2820" width="10.5703125" bestFit="1" customWidth="1"/>
    <col min="2821" max="2821" width="8.42578125" bestFit="1" customWidth="1"/>
    <col min="2822" max="2822" width="22.7109375" bestFit="1" customWidth="1"/>
    <col min="2823" max="2823" width="8.42578125" bestFit="1" customWidth="1"/>
    <col min="2824" max="2824" width="5.5703125" bestFit="1" customWidth="1"/>
    <col min="2825" max="2825" width="3.5703125" bestFit="1" customWidth="1"/>
    <col min="2826" max="2826" width="7.85546875" bestFit="1" customWidth="1"/>
    <col min="2827" max="2827" width="8.5703125" bestFit="1" customWidth="1"/>
    <col min="2828" max="2828" width="15.42578125" bestFit="1" customWidth="1"/>
    <col min="3074" max="3074" width="26" bestFit="1" customWidth="1"/>
    <col min="3075" max="3075" width="21.42578125" bestFit="1" customWidth="1"/>
    <col min="3076" max="3076" width="10.5703125" bestFit="1" customWidth="1"/>
    <col min="3077" max="3077" width="8.42578125" bestFit="1" customWidth="1"/>
    <col min="3078" max="3078" width="22.7109375" bestFit="1" customWidth="1"/>
    <col min="3079" max="3079" width="8.42578125" bestFit="1" customWidth="1"/>
    <col min="3080" max="3080" width="5.5703125" bestFit="1" customWidth="1"/>
    <col min="3081" max="3081" width="3.5703125" bestFit="1" customWidth="1"/>
    <col min="3082" max="3082" width="7.85546875" bestFit="1" customWidth="1"/>
    <col min="3083" max="3083" width="8.5703125" bestFit="1" customWidth="1"/>
    <col min="3084" max="3084" width="15.42578125" bestFit="1" customWidth="1"/>
    <col min="3330" max="3330" width="26" bestFit="1" customWidth="1"/>
    <col min="3331" max="3331" width="21.42578125" bestFit="1" customWidth="1"/>
    <col min="3332" max="3332" width="10.5703125" bestFit="1" customWidth="1"/>
    <col min="3333" max="3333" width="8.42578125" bestFit="1" customWidth="1"/>
    <col min="3334" max="3334" width="22.7109375" bestFit="1" customWidth="1"/>
    <col min="3335" max="3335" width="8.42578125" bestFit="1" customWidth="1"/>
    <col min="3336" max="3336" width="5.5703125" bestFit="1" customWidth="1"/>
    <col min="3337" max="3337" width="3.5703125" bestFit="1" customWidth="1"/>
    <col min="3338" max="3338" width="7.85546875" bestFit="1" customWidth="1"/>
    <col min="3339" max="3339" width="8.5703125" bestFit="1" customWidth="1"/>
    <col min="3340" max="3340" width="15.42578125" bestFit="1" customWidth="1"/>
    <col min="3586" max="3586" width="26" bestFit="1" customWidth="1"/>
    <col min="3587" max="3587" width="21.42578125" bestFit="1" customWidth="1"/>
    <col min="3588" max="3588" width="10.5703125" bestFit="1" customWidth="1"/>
    <col min="3589" max="3589" width="8.42578125" bestFit="1" customWidth="1"/>
    <col min="3590" max="3590" width="22.7109375" bestFit="1" customWidth="1"/>
    <col min="3591" max="3591" width="8.42578125" bestFit="1" customWidth="1"/>
    <col min="3592" max="3592" width="5.5703125" bestFit="1" customWidth="1"/>
    <col min="3593" max="3593" width="3.5703125" bestFit="1" customWidth="1"/>
    <col min="3594" max="3594" width="7.85546875" bestFit="1" customWidth="1"/>
    <col min="3595" max="3595" width="8.5703125" bestFit="1" customWidth="1"/>
    <col min="3596" max="3596" width="15.42578125" bestFit="1" customWidth="1"/>
    <col min="3842" max="3842" width="26" bestFit="1" customWidth="1"/>
    <col min="3843" max="3843" width="21.42578125" bestFit="1" customWidth="1"/>
    <col min="3844" max="3844" width="10.5703125" bestFit="1" customWidth="1"/>
    <col min="3845" max="3845" width="8.42578125" bestFit="1" customWidth="1"/>
    <col min="3846" max="3846" width="22.7109375" bestFit="1" customWidth="1"/>
    <col min="3847" max="3847" width="8.42578125" bestFit="1" customWidth="1"/>
    <col min="3848" max="3848" width="5.5703125" bestFit="1" customWidth="1"/>
    <col min="3849" max="3849" width="3.5703125" bestFit="1" customWidth="1"/>
    <col min="3850" max="3850" width="7.85546875" bestFit="1" customWidth="1"/>
    <col min="3851" max="3851" width="8.5703125" bestFit="1" customWidth="1"/>
    <col min="3852" max="3852" width="15.42578125" bestFit="1" customWidth="1"/>
    <col min="4098" max="4098" width="26" bestFit="1" customWidth="1"/>
    <col min="4099" max="4099" width="21.42578125" bestFit="1" customWidth="1"/>
    <col min="4100" max="4100" width="10.5703125" bestFit="1" customWidth="1"/>
    <col min="4101" max="4101" width="8.42578125" bestFit="1" customWidth="1"/>
    <col min="4102" max="4102" width="22.7109375" bestFit="1" customWidth="1"/>
    <col min="4103" max="4103" width="8.42578125" bestFit="1" customWidth="1"/>
    <col min="4104" max="4104" width="5.5703125" bestFit="1" customWidth="1"/>
    <col min="4105" max="4105" width="3.5703125" bestFit="1" customWidth="1"/>
    <col min="4106" max="4106" width="7.85546875" bestFit="1" customWidth="1"/>
    <col min="4107" max="4107" width="8.5703125" bestFit="1" customWidth="1"/>
    <col min="4108" max="4108" width="15.42578125" bestFit="1" customWidth="1"/>
    <col min="4354" max="4354" width="26" bestFit="1" customWidth="1"/>
    <col min="4355" max="4355" width="21.42578125" bestFit="1" customWidth="1"/>
    <col min="4356" max="4356" width="10.5703125" bestFit="1" customWidth="1"/>
    <col min="4357" max="4357" width="8.42578125" bestFit="1" customWidth="1"/>
    <col min="4358" max="4358" width="22.7109375" bestFit="1" customWidth="1"/>
    <col min="4359" max="4359" width="8.42578125" bestFit="1" customWidth="1"/>
    <col min="4360" max="4360" width="5.5703125" bestFit="1" customWidth="1"/>
    <col min="4361" max="4361" width="3.5703125" bestFit="1" customWidth="1"/>
    <col min="4362" max="4362" width="7.85546875" bestFit="1" customWidth="1"/>
    <col min="4363" max="4363" width="8.5703125" bestFit="1" customWidth="1"/>
    <col min="4364" max="4364" width="15.42578125" bestFit="1" customWidth="1"/>
    <col min="4610" max="4610" width="26" bestFit="1" customWidth="1"/>
    <col min="4611" max="4611" width="21.42578125" bestFit="1" customWidth="1"/>
    <col min="4612" max="4612" width="10.5703125" bestFit="1" customWidth="1"/>
    <col min="4613" max="4613" width="8.42578125" bestFit="1" customWidth="1"/>
    <col min="4614" max="4614" width="22.7109375" bestFit="1" customWidth="1"/>
    <col min="4615" max="4615" width="8.42578125" bestFit="1" customWidth="1"/>
    <col min="4616" max="4616" width="5.5703125" bestFit="1" customWidth="1"/>
    <col min="4617" max="4617" width="3.5703125" bestFit="1" customWidth="1"/>
    <col min="4618" max="4618" width="7.85546875" bestFit="1" customWidth="1"/>
    <col min="4619" max="4619" width="8.5703125" bestFit="1" customWidth="1"/>
    <col min="4620" max="4620" width="15.42578125" bestFit="1" customWidth="1"/>
    <col min="4866" max="4866" width="26" bestFit="1" customWidth="1"/>
    <col min="4867" max="4867" width="21.42578125" bestFit="1" customWidth="1"/>
    <col min="4868" max="4868" width="10.5703125" bestFit="1" customWidth="1"/>
    <col min="4869" max="4869" width="8.42578125" bestFit="1" customWidth="1"/>
    <col min="4870" max="4870" width="22.7109375" bestFit="1" customWidth="1"/>
    <col min="4871" max="4871" width="8.42578125" bestFit="1" customWidth="1"/>
    <col min="4872" max="4872" width="5.5703125" bestFit="1" customWidth="1"/>
    <col min="4873" max="4873" width="3.5703125" bestFit="1" customWidth="1"/>
    <col min="4874" max="4874" width="7.85546875" bestFit="1" customWidth="1"/>
    <col min="4875" max="4875" width="8.5703125" bestFit="1" customWidth="1"/>
    <col min="4876" max="4876" width="15.42578125" bestFit="1" customWidth="1"/>
    <col min="5122" max="5122" width="26" bestFit="1" customWidth="1"/>
    <col min="5123" max="5123" width="21.42578125" bestFit="1" customWidth="1"/>
    <col min="5124" max="5124" width="10.5703125" bestFit="1" customWidth="1"/>
    <col min="5125" max="5125" width="8.42578125" bestFit="1" customWidth="1"/>
    <col min="5126" max="5126" width="22.7109375" bestFit="1" customWidth="1"/>
    <col min="5127" max="5127" width="8.42578125" bestFit="1" customWidth="1"/>
    <col min="5128" max="5128" width="5.5703125" bestFit="1" customWidth="1"/>
    <col min="5129" max="5129" width="3.5703125" bestFit="1" customWidth="1"/>
    <col min="5130" max="5130" width="7.85546875" bestFit="1" customWidth="1"/>
    <col min="5131" max="5131" width="8.5703125" bestFit="1" customWidth="1"/>
    <col min="5132" max="5132" width="15.42578125" bestFit="1" customWidth="1"/>
    <col min="5378" max="5378" width="26" bestFit="1" customWidth="1"/>
    <col min="5379" max="5379" width="21.42578125" bestFit="1" customWidth="1"/>
    <col min="5380" max="5380" width="10.5703125" bestFit="1" customWidth="1"/>
    <col min="5381" max="5381" width="8.42578125" bestFit="1" customWidth="1"/>
    <col min="5382" max="5382" width="22.7109375" bestFit="1" customWidth="1"/>
    <col min="5383" max="5383" width="8.42578125" bestFit="1" customWidth="1"/>
    <col min="5384" max="5384" width="5.5703125" bestFit="1" customWidth="1"/>
    <col min="5385" max="5385" width="3.5703125" bestFit="1" customWidth="1"/>
    <col min="5386" max="5386" width="7.85546875" bestFit="1" customWidth="1"/>
    <col min="5387" max="5387" width="8.5703125" bestFit="1" customWidth="1"/>
    <col min="5388" max="5388" width="15.42578125" bestFit="1" customWidth="1"/>
    <col min="5634" max="5634" width="26" bestFit="1" customWidth="1"/>
    <col min="5635" max="5635" width="21.42578125" bestFit="1" customWidth="1"/>
    <col min="5636" max="5636" width="10.5703125" bestFit="1" customWidth="1"/>
    <col min="5637" max="5637" width="8.42578125" bestFit="1" customWidth="1"/>
    <col min="5638" max="5638" width="22.7109375" bestFit="1" customWidth="1"/>
    <col min="5639" max="5639" width="8.42578125" bestFit="1" customWidth="1"/>
    <col min="5640" max="5640" width="5.5703125" bestFit="1" customWidth="1"/>
    <col min="5641" max="5641" width="3.5703125" bestFit="1" customWidth="1"/>
    <col min="5642" max="5642" width="7.85546875" bestFit="1" customWidth="1"/>
    <col min="5643" max="5643" width="8.5703125" bestFit="1" customWidth="1"/>
    <col min="5644" max="5644" width="15.42578125" bestFit="1" customWidth="1"/>
    <col min="5890" max="5890" width="26" bestFit="1" customWidth="1"/>
    <col min="5891" max="5891" width="21.42578125" bestFit="1" customWidth="1"/>
    <col min="5892" max="5892" width="10.5703125" bestFit="1" customWidth="1"/>
    <col min="5893" max="5893" width="8.42578125" bestFit="1" customWidth="1"/>
    <col min="5894" max="5894" width="22.7109375" bestFit="1" customWidth="1"/>
    <col min="5895" max="5895" width="8.42578125" bestFit="1" customWidth="1"/>
    <col min="5896" max="5896" width="5.5703125" bestFit="1" customWidth="1"/>
    <col min="5897" max="5897" width="3.5703125" bestFit="1" customWidth="1"/>
    <col min="5898" max="5898" width="7.85546875" bestFit="1" customWidth="1"/>
    <col min="5899" max="5899" width="8.5703125" bestFit="1" customWidth="1"/>
    <col min="5900" max="5900" width="15.42578125" bestFit="1" customWidth="1"/>
    <col min="6146" max="6146" width="26" bestFit="1" customWidth="1"/>
    <col min="6147" max="6147" width="21.42578125" bestFit="1" customWidth="1"/>
    <col min="6148" max="6148" width="10.5703125" bestFit="1" customWidth="1"/>
    <col min="6149" max="6149" width="8.42578125" bestFit="1" customWidth="1"/>
    <col min="6150" max="6150" width="22.7109375" bestFit="1" customWidth="1"/>
    <col min="6151" max="6151" width="8.42578125" bestFit="1" customWidth="1"/>
    <col min="6152" max="6152" width="5.5703125" bestFit="1" customWidth="1"/>
    <col min="6153" max="6153" width="3.5703125" bestFit="1" customWidth="1"/>
    <col min="6154" max="6154" width="7.85546875" bestFit="1" customWidth="1"/>
    <col min="6155" max="6155" width="8.5703125" bestFit="1" customWidth="1"/>
    <col min="6156" max="6156" width="15.42578125" bestFit="1" customWidth="1"/>
    <col min="6402" max="6402" width="26" bestFit="1" customWidth="1"/>
    <col min="6403" max="6403" width="21.42578125" bestFit="1" customWidth="1"/>
    <col min="6404" max="6404" width="10.5703125" bestFit="1" customWidth="1"/>
    <col min="6405" max="6405" width="8.42578125" bestFit="1" customWidth="1"/>
    <col min="6406" max="6406" width="22.7109375" bestFit="1" customWidth="1"/>
    <col min="6407" max="6407" width="8.42578125" bestFit="1" customWidth="1"/>
    <col min="6408" max="6408" width="5.5703125" bestFit="1" customWidth="1"/>
    <col min="6409" max="6409" width="3.5703125" bestFit="1" customWidth="1"/>
    <col min="6410" max="6410" width="7.85546875" bestFit="1" customWidth="1"/>
    <col min="6411" max="6411" width="8.5703125" bestFit="1" customWidth="1"/>
    <col min="6412" max="6412" width="15.42578125" bestFit="1" customWidth="1"/>
    <col min="6658" max="6658" width="26" bestFit="1" customWidth="1"/>
    <col min="6659" max="6659" width="21.42578125" bestFit="1" customWidth="1"/>
    <col min="6660" max="6660" width="10.5703125" bestFit="1" customWidth="1"/>
    <col min="6661" max="6661" width="8.42578125" bestFit="1" customWidth="1"/>
    <col min="6662" max="6662" width="22.7109375" bestFit="1" customWidth="1"/>
    <col min="6663" max="6663" width="8.42578125" bestFit="1" customWidth="1"/>
    <col min="6664" max="6664" width="5.5703125" bestFit="1" customWidth="1"/>
    <col min="6665" max="6665" width="3.5703125" bestFit="1" customWidth="1"/>
    <col min="6666" max="6666" width="7.85546875" bestFit="1" customWidth="1"/>
    <col min="6667" max="6667" width="8.5703125" bestFit="1" customWidth="1"/>
    <col min="6668" max="6668" width="15.42578125" bestFit="1" customWidth="1"/>
    <col min="6914" max="6914" width="26" bestFit="1" customWidth="1"/>
    <col min="6915" max="6915" width="21.42578125" bestFit="1" customWidth="1"/>
    <col min="6916" max="6916" width="10.5703125" bestFit="1" customWidth="1"/>
    <col min="6917" max="6917" width="8.42578125" bestFit="1" customWidth="1"/>
    <col min="6918" max="6918" width="22.7109375" bestFit="1" customWidth="1"/>
    <col min="6919" max="6919" width="8.42578125" bestFit="1" customWidth="1"/>
    <col min="6920" max="6920" width="5.5703125" bestFit="1" customWidth="1"/>
    <col min="6921" max="6921" width="3.5703125" bestFit="1" customWidth="1"/>
    <col min="6922" max="6922" width="7.85546875" bestFit="1" customWidth="1"/>
    <col min="6923" max="6923" width="8.5703125" bestFit="1" customWidth="1"/>
    <col min="6924" max="6924" width="15.42578125" bestFit="1" customWidth="1"/>
    <col min="7170" max="7170" width="26" bestFit="1" customWidth="1"/>
    <col min="7171" max="7171" width="21.42578125" bestFit="1" customWidth="1"/>
    <col min="7172" max="7172" width="10.5703125" bestFit="1" customWidth="1"/>
    <col min="7173" max="7173" width="8.42578125" bestFit="1" customWidth="1"/>
    <col min="7174" max="7174" width="22.7109375" bestFit="1" customWidth="1"/>
    <col min="7175" max="7175" width="8.42578125" bestFit="1" customWidth="1"/>
    <col min="7176" max="7176" width="5.5703125" bestFit="1" customWidth="1"/>
    <col min="7177" max="7177" width="3.5703125" bestFit="1" customWidth="1"/>
    <col min="7178" max="7178" width="7.85546875" bestFit="1" customWidth="1"/>
    <col min="7179" max="7179" width="8.5703125" bestFit="1" customWidth="1"/>
    <col min="7180" max="7180" width="15.42578125" bestFit="1" customWidth="1"/>
    <col min="7426" max="7426" width="26" bestFit="1" customWidth="1"/>
    <col min="7427" max="7427" width="21.42578125" bestFit="1" customWidth="1"/>
    <col min="7428" max="7428" width="10.5703125" bestFit="1" customWidth="1"/>
    <col min="7429" max="7429" width="8.42578125" bestFit="1" customWidth="1"/>
    <col min="7430" max="7430" width="22.7109375" bestFit="1" customWidth="1"/>
    <col min="7431" max="7431" width="8.42578125" bestFit="1" customWidth="1"/>
    <col min="7432" max="7432" width="5.5703125" bestFit="1" customWidth="1"/>
    <col min="7433" max="7433" width="3.5703125" bestFit="1" customWidth="1"/>
    <col min="7434" max="7434" width="7.85546875" bestFit="1" customWidth="1"/>
    <col min="7435" max="7435" width="8.5703125" bestFit="1" customWidth="1"/>
    <col min="7436" max="7436" width="15.42578125" bestFit="1" customWidth="1"/>
    <col min="7682" max="7682" width="26" bestFit="1" customWidth="1"/>
    <col min="7683" max="7683" width="21.42578125" bestFit="1" customWidth="1"/>
    <col min="7684" max="7684" width="10.5703125" bestFit="1" customWidth="1"/>
    <col min="7685" max="7685" width="8.42578125" bestFit="1" customWidth="1"/>
    <col min="7686" max="7686" width="22.7109375" bestFit="1" customWidth="1"/>
    <col min="7687" max="7687" width="8.42578125" bestFit="1" customWidth="1"/>
    <col min="7688" max="7688" width="5.5703125" bestFit="1" customWidth="1"/>
    <col min="7689" max="7689" width="3.5703125" bestFit="1" customWidth="1"/>
    <col min="7690" max="7690" width="7.85546875" bestFit="1" customWidth="1"/>
    <col min="7691" max="7691" width="8.5703125" bestFit="1" customWidth="1"/>
    <col min="7692" max="7692" width="15.42578125" bestFit="1" customWidth="1"/>
    <col min="7938" max="7938" width="26" bestFit="1" customWidth="1"/>
    <col min="7939" max="7939" width="21.42578125" bestFit="1" customWidth="1"/>
    <col min="7940" max="7940" width="10.5703125" bestFit="1" customWidth="1"/>
    <col min="7941" max="7941" width="8.42578125" bestFit="1" customWidth="1"/>
    <col min="7942" max="7942" width="22.7109375" bestFit="1" customWidth="1"/>
    <col min="7943" max="7943" width="8.42578125" bestFit="1" customWidth="1"/>
    <col min="7944" max="7944" width="5.5703125" bestFit="1" customWidth="1"/>
    <col min="7945" max="7945" width="3.5703125" bestFit="1" customWidth="1"/>
    <col min="7946" max="7946" width="7.85546875" bestFit="1" customWidth="1"/>
    <col min="7947" max="7947" width="8.5703125" bestFit="1" customWidth="1"/>
    <col min="7948" max="7948" width="15.42578125" bestFit="1" customWidth="1"/>
    <col min="8194" max="8194" width="26" bestFit="1" customWidth="1"/>
    <col min="8195" max="8195" width="21.42578125" bestFit="1" customWidth="1"/>
    <col min="8196" max="8196" width="10.5703125" bestFit="1" customWidth="1"/>
    <col min="8197" max="8197" width="8.42578125" bestFit="1" customWidth="1"/>
    <col min="8198" max="8198" width="22.7109375" bestFit="1" customWidth="1"/>
    <col min="8199" max="8199" width="8.42578125" bestFit="1" customWidth="1"/>
    <col min="8200" max="8200" width="5.5703125" bestFit="1" customWidth="1"/>
    <col min="8201" max="8201" width="3.5703125" bestFit="1" customWidth="1"/>
    <col min="8202" max="8202" width="7.85546875" bestFit="1" customWidth="1"/>
    <col min="8203" max="8203" width="8.5703125" bestFit="1" customWidth="1"/>
    <col min="8204" max="8204" width="15.42578125" bestFit="1" customWidth="1"/>
    <col min="8450" max="8450" width="26" bestFit="1" customWidth="1"/>
    <col min="8451" max="8451" width="21.42578125" bestFit="1" customWidth="1"/>
    <col min="8452" max="8452" width="10.5703125" bestFit="1" customWidth="1"/>
    <col min="8453" max="8453" width="8.42578125" bestFit="1" customWidth="1"/>
    <col min="8454" max="8454" width="22.7109375" bestFit="1" customWidth="1"/>
    <col min="8455" max="8455" width="8.42578125" bestFit="1" customWidth="1"/>
    <col min="8456" max="8456" width="5.5703125" bestFit="1" customWidth="1"/>
    <col min="8457" max="8457" width="3.5703125" bestFit="1" customWidth="1"/>
    <col min="8458" max="8458" width="7.85546875" bestFit="1" customWidth="1"/>
    <col min="8459" max="8459" width="8.5703125" bestFit="1" customWidth="1"/>
    <col min="8460" max="8460" width="15.42578125" bestFit="1" customWidth="1"/>
    <col min="8706" max="8706" width="26" bestFit="1" customWidth="1"/>
    <col min="8707" max="8707" width="21.42578125" bestFit="1" customWidth="1"/>
    <col min="8708" max="8708" width="10.5703125" bestFit="1" customWidth="1"/>
    <col min="8709" max="8709" width="8.42578125" bestFit="1" customWidth="1"/>
    <col min="8710" max="8710" width="22.7109375" bestFit="1" customWidth="1"/>
    <col min="8711" max="8711" width="8.42578125" bestFit="1" customWidth="1"/>
    <col min="8712" max="8712" width="5.5703125" bestFit="1" customWidth="1"/>
    <col min="8713" max="8713" width="3.5703125" bestFit="1" customWidth="1"/>
    <col min="8714" max="8714" width="7.85546875" bestFit="1" customWidth="1"/>
    <col min="8715" max="8715" width="8.5703125" bestFit="1" customWidth="1"/>
    <col min="8716" max="8716" width="15.42578125" bestFit="1" customWidth="1"/>
    <col min="8962" max="8962" width="26" bestFit="1" customWidth="1"/>
    <col min="8963" max="8963" width="21.42578125" bestFit="1" customWidth="1"/>
    <col min="8964" max="8964" width="10.5703125" bestFit="1" customWidth="1"/>
    <col min="8965" max="8965" width="8.42578125" bestFit="1" customWidth="1"/>
    <col min="8966" max="8966" width="22.7109375" bestFit="1" customWidth="1"/>
    <col min="8967" max="8967" width="8.42578125" bestFit="1" customWidth="1"/>
    <col min="8968" max="8968" width="5.5703125" bestFit="1" customWidth="1"/>
    <col min="8969" max="8969" width="3.5703125" bestFit="1" customWidth="1"/>
    <col min="8970" max="8970" width="7.85546875" bestFit="1" customWidth="1"/>
    <col min="8971" max="8971" width="8.5703125" bestFit="1" customWidth="1"/>
    <col min="8972" max="8972" width="15.42578125" bestFit="1" customWidth="1"/>
    <col min="9218" max="9218" width="26" bestFit="1" customWidth="1"/>
    <col min="9219" max="9219" width="21.42578125" bestFit="1" customWidth="1"/>
    <col min="9220" max="9220" width="10.5703125" bestFit="1" customWidth="1"/>
    <col min="9221" max="9221" width="8.42578125" bestFit="1" customWidth="1"/>
    <col min="9222" max="9222" width="22.7109375" bestFit="1" customWidth="1"/>
    <col min="9223" max="9223" width="8.42578125" bestFit="1" customWidth="1"/>
    <col min="9224" max="9224" width="5.5703125" bestFit="1" customWidth="1"/>
    <col min="9225" max="9225" width="3.5703125" bestFit="1" customWidth="1"/>
    <col min="9226" max="9226" width="7.85546875" bestFit="1" customWidth="1"/>
    <col min="9227" max="9227" width="8.5703125" bestFit="1" customWidth="1"/>
    <col min="9228" max="9228" width="15.42578125" bestFit="1" customWidth="1"/>
    <col min="9474" max="9474" width="26" bestFit="1" customWidth="1"/>
    <col min="9475" max="9475" width="21.42578125" bestFit="1" customWidth="1"/>
    <col min="9476" max="9476" width="10.5703125" bestFit="1" customWidth="1"/>
    <col min="9477" max="9477" width="8.42578125" bestFit="1" customWidth="1"/>
    <col min="9478" max="9478" width="22.7109375" bestFit="1" customWidth="1"/>
    <col min="9479" max="9479" width="8.42578125" bestFit="1" customWidth="1"/>
    <col min="9480" max="9480" width="5.5703125" bestFit="1" customWidth="1"/>
    <col min="9481" max="9481" width="3.5703125" bestFit="1" customWidth="1"/>
    <col min="9482" max="9482" width="7.85546875" bestFit="1" customWidth="1"/>
    <col min="9483" max="9483" width="8.5703125" bestFit="1" customWidth="1"/>
    <col min="9484" max="9484" width="15.42578125" bestFit="1" customWidth="1"/>
    <col min="9730" max="9730" width="26" bestFit="1" customWidth="1"/>
    <col min="9731" max="9731" width="21.42578125" bestFit="1" customWidth="1"/>
    <col min="9732" max="9732" width="10.5703125" bestFit="1" customWidth="1"/>
    <col min="9733" max="9733" width="8.42578125" bestFit="1" customWidth="1"/>
    <col min="9734" max="9734" width="22.7109375" bestFit="1" customWidth="1"/>
    <col min="9735" max="9735" width="8.42578125" bestFit="1" customWidth="1"/>
    <col min="9736" max="9736" width="5.5703125" bestFit="1" customWidth="1"/>
    <col min="9737" max="9737" width="3.5703125" bestFit="1" customWidth="1"/>
    <col min="9738" max="9738" width="7.85546875" bestFit="1" customWidth="1"/>
    <col min="9739" max="9739" width="8.5703125" bestFit="1" customWidth="1"/>
    <col min="9740" max="9740" width="15.42578125" bestFit="1" customWidth="1"/>
    <col min="9986" max="9986" width="26" bestFit="1" customWidth="1"/>
    <col min="9987" max="9987" width="21.42578125" bestFit="1" customWidth="1"/>
    <col min="9988" max="9988" width="10.5703125" bestFit="1" customWidth="1"/>
    <col min="9989" max="9989" width="8.42578125" bestFit="1" customWidth="1"/>
    <col min="9990" max="9990" width="22.7109375" bestFit="1" customWidth="1"/>
    <col min="9991" max="9991" width="8.42578125" bestFit="1" customWidth="1"/>
    <col min="9992" max="9992" width="5.5703125" bestFit="1" customWidth="1"/>
    <col min="9993" max="9993" width="3.5703125" bestFit="1" customWidth="1"/>
    <col min="9994" max="9994" width="7.85546875" bestFit="1" customWidth="1"/>
    <col min="9995" max="9995" width="8.5703125" bestFit="1" customWidth="1"/>
    <col min="9996" max="9996" width="15.42578125" bestFit="1" customWidth="1"/>
    <col min="10242" max="10242" width="26" bestFit="1" customWidth="1"/>
    <col min="10243" max="10243" width="21.42578125" bestFit="1" customWidth="1"/>
    <col min="10244" max="10244" width="10.5703125" bestFit="1" customWidth="1"/>
    <col min="10245" max="10245" width="8.42578125" bestFit="1" customWidth="1"/>
    <col min="10246" max="10246" width="22.7109375" bestFit="1" customWidth="1"/>
    <col min="10247" max="10247" width="8.42578125" bestFit="1" customWidth="1"/>
    <col min="10248" max="10248" width="5.5703125" bestFit="1" customWidth="1"/>
    <col min="10249" max="10249" width="3.5703125" bestFit="1" customWidth="1"/>
    <col min="10250" max="10250" width="7.85546875" bestFit="1" customWidth="1"/>
    <col min="10251" max="10251" width="8.5703125" bestFit="1" customWidth="1"/>
    <col min="10252" max="10252" width="15.42578125" bestFit="1" customWidth="1"/>
    <col min="10498" max="10498" width="26" bestFit="1" customWidth="1"/>
    <col min="10499" max="10499" width="21.42578125" bestFit="1" customWidth="1"/>
    <col min="10500" max="10500" width="10.5703125" bestFit="1" customWidth="1"/>
    <col min="10501" max="10501" width="8.42578125" bestFit="1" customWidth="1"/>
    <col min="10502" max="10502" width="22.7109375" bestFit="1" customWidth="1"/>
    <col min="10503" max="10503" width="8.42578125" bestFit="1" customWidth="1"/>
    <col min="10504" max="10504" width="5.5703125" bestFit="1" customWidth="1"/>
    <col min="10505" max="10505" width="3.5703125" bestFit="1" customWidth="1"/>
    <col min="10506" max="10506" width="7.85546875" bestFit="1" customWidth="1"/>
    <col min="10507" max="10507" width="8.5703125" bestFit="1" customWidth="1"/>
    <col min="10508" max="10508" width="15.42578125" bestFit="1" customWidth="1"/>
    <col min="10754" max="10754" width="26" bestFit="1" customWidth="1"/>
    <col min="10755" max="10755" width="21.42578125" bestFit="1" customWidth="1"/>
    <col min="10756" max="10756" width="10.5703125" bestFit="1" customWidth="1"/>
    <col min="10757" max="10757" width="8.42578125" bestFit="1" customWidth="1"/>
    <col min="10758" max="10758" width="22.7109375" bestFit="1" customWidth="1"/>
    <col min="10759" max="10759" width="8.42578125" bestFit="1" customWidth="1"/>
    <col min="10760" max="10760" width="5.5703125" bestFit="1" customWidth="1"/>
    <col min="10761" max="10761" width="3.5703125" bestFit="1" customWidth="1"/>
    <col min="10762" max="10762" width="7.85546875" bestFit="1" customWidth="1"/>
    <col min="10763" max="10763" width="8.5703125" bestFit="1" customWidth="1"/>
    <col min="10764" max="10764" width="15.42578125" bestFit="1" customWidth="1"/>
    <col min="11010" max="11010" width="26" bestFit="1" customWidth="1"/>
    <col min="11011" max="11011" width="21.42578125" bestFit="1" customWidth="1"/>
    <col min="11012" max="11012" width="10.5703125" bestFit="1" customWidth="1"/>
    <col min="11013" max="11013" width="8.42578125" bestFit="1" customWidth="1"/>
    <col min="11014" max="11014" width="22.7109375" bestFit="1" customWidth="1"/>
    <col min="11015" max="11015" width="8.42578125" bestFit="1" customWidth="1"/>
    <col min="11016" max="11016" width="5.5703125" bestFit="1" customWidth="1"/>
    <col min="11017" max="11017" width="3.5703125" bestFit="1" customWidth="1"/>
    <col min="11018" max="11018" width="7.85546875" bestFit="1" customWidth="1"/>
    <col min="11019" max="11019" width="8.5703125" bestFit="1" customWidth="1"/>
    <col min="11020" max="11020" width="15.42578125" bestFit="1" customWidth="1"/>
    <col min="11266" max="11266" width="26" bestFit="1" customWidth="1"/>
    <col min="11267" max="11267" width="21.42578125" bestFit="1" customWidth="1"/>
    <col min="11268" max="11268" width="10.5703125" bestFit="1" customWidth="1"/>
    <col min="11269" max="11269" width="8.42578125" bestFit="1" customWidth="1"/>
    <col min="11270" max="11270" width="22.7109375" bestFit="1" customWidth="1"/>
    <col min="11271" max="11271" width="8.42578125" bestFit="1" customWidth="1"/>
    <col min="11272" max="11272" width="5.5703125" bestFit="1" customWidth="1"/>
    <col min="11273" max="11273" width="3.5703125" bestFit="1" customWidth="1"/>
    <col min="11274" max="11274" width="7.85546875" bestFit="1" customWidth="1"/>
    <col min="11275" max="11275" width="8.5703125" bestFit="1" customWidth="1"/>
    <col min="11276" max="11276" width="15.42578125" bestFit="1" customWidth="1"/>
    <col min="11522" max="11522" width="26" bestFit="1" customWidth="1"/>
    <col min="11523" max="11523" width="21.42578125" bestFit="1" customWidth="1"/>
    <col min="11524" max="11524" width="10.5703125" bestFit="1" customWidth="1"/>
    <col min="11525" max="11525" width="8.42578125" bestFit="1" customWidth="1"/>
    <col min="11526" max="11526" width="22.7109375" bestFit="1" customWidth="1"/>
    <col min="11527" max="11527" width="8.42578125" bestFit="1" customWidth="1"/>
    <col min="11528" max="11528" width="5.5703125" bestFit="1" customWidth="1"/>
    <col min="11529" max="11529" width="3.5703125" bestFit="1" customWidth="1"/>
    <col min="11530" max="11530" width="7.85546875" bestFit="1" customWidth="1"/>
    <col min="11531" max="11531" width="8.5703125" bestFit="1" customWidth="1"/>
    <col min="11532" max="11532" width="15.42578125" bestFit="1" customWidth="1"/>
    <col min="11778" max="11778" width="26" bestFit="1" customWidth="1"/>
    <col min="11779" max="11779" width="21.42578125" bestFit="1" customWidth="1"/>
    <col min="11780" max="11780" width="10.5703125" bestFit="1" customWidth="1"/>
    <col min="11781" max="11781" width="8.42578125" bestFit="1" customWidth="1"/>
    <col min="11782" max="11782" width="22.7109375" bestFit="1" customWidth="1"/>
    <col min="11783" max="11783" width="8.42578125" bestFit="1" customWidth="1"/>
    <col min="11784" max="11784" width="5.5703125" bestFit="1" customWidth="1"/>
    <col min="11785" max="11785" width="3.5703125" bestFit="1" customWidth="1"/>
    <col min="11786" max="11786" width="7.85546875" bestFit="1" customWidth="1"/>
    <col min="11787" max="11787" width="8.5703125" bestFit="1" customWidth="1"/>
    <col min="11788" max="11788" width="15.42578125" bestFit="1" customWidth="1"/>
    <col min="12034" max="12034" width="26" bestFit="1" customWidth="1"/>
    <col min="12035" max="12035" width="21.42578125" bestFit="1" customWidth="1"/>
    <col min="12036" max="12036" width="10.5703125" bestFit="1" customWidth="1"/>
    <col min="12037" max="12037" width="8.42578125" bestFit="1" customWidth="1"/>
    <col min="12038" max="12038" width="22.7109375" bestFit="1" customWidth="1"/>
    <col min="12039" max="12039" width="8.42578125" bestFit="1" customWidth="1"/>
    <col min="12040" max="12040" width="5.5703125" bestFit="1" customWidth="1"/>
    <col min="12041" max="12041" width="3.5703125" bestFit="1" customWidth="1"/>
    <col min="12042" max="12042" width="7.85546875" bestFit="1" customWidth="1"/>
    <col min="12043" max="12043" width="8.5703125" bestFit="1" customWidth="1"/>
    <col min="12044" max="12044" width="15.42578125" bestFit="1" customWidth="1"/>
    <col min="12290" max="12290" width="26" bestFit="1" customWidth="1"/>
    <col min="12291" max="12291" width="21.42578125" bestFit="1" customWidth="1"/>
    <col min="12292" max="12292" width="10.5703125" bestFit="1" customWidth="1"/>
    <col min="12293" max="12293" width="8.42578125" bestFit="1" customWidth="1"/>
    <col min="12294" max="12294" width="22.7109375" bestFit="1" customWidth="1"/>
    <col min="12295" max="12295" width="8.42578125" bestFit="1" customWidth="1"/>
    <col min="12296" max="12296" width="5.5703125" bestFit="1" customWidth="1"/>
    <col min="12297" max="12297" width="3.5703125" bestFit="1" customWidth="1"/>
    <col min="12298" max="12298" width="7.85546875" bestFit="1" customWidth="1"/>
    <col min="12299" max="12299" width="8.5703125" bestFit="1" customWidth="1"/>
    <col min="12300" max="12300" width="15.42578125" bestFit="1" customWidth="1"/>
    <col min="12546" max="12546" width="26" bestFit="1" customWidth="1"/>
    <col min="12547" max="12547" width="21.42578125" bestFit="1" customWidth="1"/>
    <col min="12548" max="12548" width="10.5703125" bestFit="1" customWidth="1"/>
    <col min="12549" max="12549" width="8.42578125" bestFit="1" customWidth="1"/>
    <col min="12550" max="12550" width="22.7109375" bestFit="1" customWidth="1"/>
    <col min="12551" max="12551" width="8.42578125" bestFit="1" customWidth="1"/>
    <col min="12552" max="12552" width="5.5703125" bestFit="1" customWidth="1"/>
    <col min="12553" max="12553" width="3.5703125" bestFit="1" customWidth="1"/>
    <col min="12554" max="12554" width="7.85546875" bestFit="1" customWidth="1"/>
    <col min="12555" max="12555" width="8.5703125" bestFit="1" customWidth="1"/>
    <col min="12556" max="12556" width="15.42578125" bestFit="1" customWidth="1"/>
    <col min="12802" max="12802" width="26" bestFit="1" customWidth="1"/>
    <col min="12803" max="12803" width="21.42578125" bestFit="1" customWidth="1"/>
    <col min="12804" max="12804" width="10.5703125" bestFit="1" customWidth="1"/>
    <col min="12805" max="12805" width="8.42578125" bestFit="1" customWidth="1"/>
    <col min="12806" max="12806" width="22.7109375" bestFit="1" customWidth="1"/>
    <col min="12807" max="12807" width="8.42578125" bestFit="1" customWidth="1"/>
    <col min="12808" max="12808" width="5.5703125" bestFit="1" customWidth="1"/>
    <col min="12809" max="12809" width="3.5703125" bestFit="1" customWidth="1"/>
    <col min="12810" max="12810" width="7.85546875" bestFit="1" customWidth="1"/>
    <col min="12811" max="12811" width="8.5703125" bestFit="1" customWidth="1"/>
    <col min="12812" max="12812" width="15.42578125" bestFit="1" customWidth="1"/>
    <col min="13058" max="13058" width="26" bestFit="1" customWidth="1"/>
    <col min="13059" max="13059" width="21.42578125" bestFit="1" customWidth="1"/>
    <col min="13060" max="13060" width="10.5703125" bestFit="1" customWidth="1"/>
    <col min="13061" max="13061" width="8.42578125" bestFit="1" customWidth="1"/>
    <col min="13062" max="13062" width="22.7109375" bestFit="1" customWidth="1"/>
    <col min="13063" max="13063" width="8.42578125" bestFit="1" customWidth="1"/>
    <col min="13064" max="13064" width="5.5703125" bestFit="1" customWidth="1"/>
    <col min="13065" max="13065" width="3.5703125" bestFit="1" customWidth="1"/>
    <col min="13066" max="13066" width="7.85546875" bestFit="1" customWidth="1"/>
    <col min="13067" max="13067" width="8.5703125" bestFit="1" customWidth="1"/>
    <col min="13068" max="13068" width="15.42578125" bestFit="1" customWidth="1"/>
    <col min="13314" max="13314" width="26" bestFit="1" customWidth="1"/>
    <col min="13315" max="13315" width="21.42578125" bestFit="1" customWidth="1"/>
    <col min="13316" max="13316" width="10.5703125" bestFit="1" customWidth="1"/>
    <col min="13317" max="13317" width="8.42578125" bestFit="1" customWidth="1"/>
    <col min="13318" max="13318" width="22.7109375" bestFit="1" customWidth="1"/>
    <col min="13319" max="13319" width="8.42578125" bestFit="1" customWidth="1"/>
    <col min="13320" max="13320" width="5.5703125" bestFit="1" customWidth="1"/>
    <col min="13321" max="13321" width="3.5703125" bestFit="1" customWidth="1"/>
    <col min="13322" max="13322" width="7.85546875" bestFit="1" customWidth="1"/>
    <col min="13323" max="13323" width="8.5703125" bestFit="1" customWidth="1"/>
    <col min="13324" max="13324" width="15.42578125" bestFit="1" customWidth="1"/>
    <col min="13570" max="13570" width="26" bestFit="1" customWidth="1"/>
    <col min="13571" max="13571" width="21.42578125" bestFit="1" customWidth="1"/>
    <col min="13572" max="13572" width="10.5703125" bestFit="1" customWidth="1"/>
    <col min="13573" max="13573" width="8.42578125" bestFit="1" customWidth="1"/>
    <col min="13574" max="13574" width="22.7109375" bestFit="1" customWidth="1"/>
    <col min="13575" max="13575" width="8.42578125" bestFit="1" customWidth="1"/>
    <col min="13576" max="13576" width="5.5703125" bestFit="1" customWidth="1"/>
    <col min="13577" max="13577" width="3.5703125" bestFit="1" customWidth="1"/>
    <col min="13578" max="13578" width="7.85546875" bestFit="1" customWidth="1"/>
    <col min="13579" max="13579" width="8.5703125" bestFit="1" customWidth="1"/>
    <col min="13580" max="13580" width="15.42578125" bestFit="1" customWidth="1"/>
    <col min="13826" max="13826" width="26" bestFit="1" customWidth="1"/>
    <col min="13827" max="13827" width="21.42578125" bestFit="1" customWidth="1"/>
    <col min="13828" max="13828" width="10.5703125" bestFit="1" customWidth="1"/>
    <col min="13829" max="13829" width="8.42578125" bestFit="1" customWidth="1"/>
    <col min="13830" max="13830" width="22.7109375" bestFit="1" customWidth="1"/>
    <col min="13831" max="13831" width="8.42578125" bestFit="1" customWidth="1"/>
    <col min="13832" max="13832" width="5.5703125" bestFit="1" customWidth="1"/>
    <col min="13833" max="13833" width="3.5703125" bestFit="1" customWidth="1"/>
    <col min="13834" max="13834" width="7.85546875" bestFit="1" customWidth="1"/>
    <col min="13835" max="13835" width="8.5703125" bestFit="1" customWidth="1"/>
    <col min="13836" max="13836" width="15.42578125" bestFit="1" customWidth="1"/>
    <col min="14082" max="14082" width="26" bestFit="1" customWidth="1"/>
    <col min="14083" max="14083" width="21.42578125" bestFit="1" customWidth="1"/>
    <col min="14084" max="14084" width="10.5703125" bestFit="1" customWidth="1"/>
    <col min="14085" max="14085" width="8.42578125" bestFit="1" customWidth="1"/>
    <col min="14086" max="14086" width="22.7109375" bestFit="1" customWidth="1"/>
    <col min="14087" max="14087" width="8.42578125" bestFit="1" customWidth="1"/>
    <col min="14088" max="14088" width="5.5703125" bestFit="1" customWidth="1"/>
    <col min="14089" max="14089" width="3.5703125" bestFit="1" customWidth="1"/>
    <col min="14090" max="14090" width="7.85546875" bestFit="1" customWidth="1"/>
    <col min="14091" max="14091" width="8.5703125" bestFit="1" customWidth="1"/>
    <col min="14092" max="14092" width="15.42578125" bestFit="1" customWidth="1"/>
    <col min="14338" max="14338" width="26" bestFit="1" customWidth="1"/>
    <col min="14339" max="14339" width="21.42578125" bestFit="1" customWidth="1"/>
    <col min="14340" max="14340" width="10.5703125" bestFit="1" customWidth="1"/>
    <col min="14341" max="14341" width="8.42578125" bestFit="1" customWidth="1"/>
    <col min="14342" max="14342" width="22.7109375" bestFit="1" customWidth="1"/>
    <col min="14343" max="14343" width="8.42578125" bestFit="1" customWidth="1"/>
    <col min="14344" max="14344" width="5.5703125" bestFit="1" customWidth="1"/>
    <col min="14345" max="14345" width="3.5703125" bestFit="1" customWidth="1"/>
    <col min="14346" max="14346" width="7.85546875" bestFit="1" customWidth="1"/>
    <col min="14347" max="14347" width="8.5703125" bestFit="1" customWidth="1"/>
    <col min="14348" max="14348" width="15.42578125" bestFit="1" customWidth="1"/>
    <col min="14594" max="14594" width="26" bestFit="1" customWidth="1"/>
    <col min="14595" max="14595" width="21.42578125" bestFit="1" customWidth="1"/>
    <col min="14596" max="14596" width="10.5703125" bestFit="1" customWidth="1"/>
    <col min="14597" max="14597" width="8.42578125" bestFit="1" customWidth="1"/>
    <col min="14598" max="14598" width="22.7109375" bestFit="1" customWidth="1"/>
    <col min="14599" max="14599" width="8.42578125" bestFit="1" customWidth="1"/>
    <col min="14600" max="14600" width="5.5703125" bestFit="1" customWidth="1"/>
    <col min="14601" max="14601" width="3.5703125" bestFit="1" customWidth="1"/>
    <col min="14602" max="14602" width="7.85546875" bestFit="1" customWidth="1"/>
    <col min="14603" max="14603" width="8.5703125" bestFit="1" customWidth="1"/>
    <col min="14604" max="14604" width="15.42578125" bestFit="1" customWidth="1"/>
    <col min="14850" max="14850" width="26" bestFit="1" customWidth="1"/>
    <col min="14851" max="14851" width="21.42578125" bestFit="1" customWidth="1"/>
    <col min="14852" max="14852" width="10.5703125" bestFit="1" customWidth="1"/>
    <col min="14853" max="14853" width="8.42578125" bestFit="1" customWidth="1"/>
    <col min="14854" max="14854" width="22.7109375" bestFit="1" customWidth="1"/>
    <col min="14855" max="14855" width="8.42578125" bestFit="1" customWidth="1"/>
    <col min="14856" max="14856" width="5.5703125" bestFit="1" customWidth="1"/>
    <col min="14857" max="14857" width="3.5703125" bestFit="1" customWidth="1"/>
    <col min="14858" max="14858" width="7.85546875" bestFit="1" customWidth="1"/>
    <col min="14859" max="14859" width="8.5703125" bestFit="1" customWidth="1"/>
    <col min="14860" max="14860" width="15.42578125" bestFit="1" customWidth="1"/>
    <col min="15106" max="15106" width="26" bestFit="1" customWidth="1"/>
    <col min="15107" max="15107" width="21.42578125" bestFit="1" customWidth="1"/>
    <col min="15108" max="15108" width="10.5703125" bestFit="1" customWidth="1"/>
    <col min="15109" max="15109" width="8.42578125" bestFit="1" customWidth="1"/>
    <col min="15110" max="15110" width="22.7109375" bestFit="1" customWidth="1"/>
    <col min="15111" max="15111" width="8.42578125" bestFit="1" customWidth="1"/>
    <col min="15112" max="15112" width="5.5703125" bestFit="1" customWidth="1"/>
    <col min="15113" max="15113" width="3.5703125" bestFit="1" customWidth="1"/>
    <col min="15114" max="15114" width="7.85546875" bestFit="1" customWidth="1"/>
    <col min="15115" max="15115" width="8.5703125" bestFit="1" customWidth="1"/>
    <col min="15116" max="15116" width="15.42578125" bestFit="1" customWidth="1"/>
    <col min="15362" max="15362" width="26" bestFit="1" customWidth="1"/>
    <col min="15363" max="15363" width="21.42578125" bestFit="1" customWidth="1"/>
    <col min="15364" max="15364" width="10.5703125" bestFit="1" customWidth="1"/>
    <col min="15365" max="15365" width="8.42578125" bestFit="1" customWidth="1"/>
    <col min="15366" max="15366" width="22.7109375" bestFit="1" customWidth="1"/>
    <col min="15367" max="15367" width="8.42578125" bestFit="1" customWidth="1"/>
    <col min="15368" max="15368" width="5.5703125" bestFit="1" customWidth="1"/>
    <col min="15369" max="15369" width="3.5703125" bestFit="1" customWidth="1"/>
    <col min="15370" max="15370" width="7.85546875" bestFit="1" customWidth="1"/>
    <col min="15371" max="15371" width="8.5703125" bestFit="1" customWidth="1"/>
    <col min="15372" max="15372" width="15.42578125" bestFit="1" customWidth="1"/>
    <col min="15618" max="15618" width="26" bestFit="1" customWidth="1"/>
    <col min="15619" max="15619" width="21.42578125" bestFit="1" customWidth="1"/>
    <col min="15620" max="15620" width="10.5703125" bestFit="1" customWidth="1"/>
    <col min="15621" max="15621" width="8.42578125" bestFit="1" customWidth="1"/>
    <col min="15622" max="15622" width="22.7109375" bestFit="1" customWidth="1"/>
    <col min="15623" max="15623" width="8.42578125" bestFit="1" customWidth="1"/>
    <col min="15624" max="15624" width="5.5703125" bestFit="1" customWidth="1"/>
    <col min="15625" max="15625" width="3.5703125" bestFit="1" customWidth="1"/>
    <col min="15626" max="15626" width="7.85546875" bestFit="1" customWidth="1"/>
    <col min="15627" max="15627" width="8.5703125" bestFit="1" customWidth="1"/>
    <col min="15628" max="15628" width="15.42578125" bestFit="1" customWidth="1"/>
    <col min="15874" max="15874" width="26" bestFit="1" customWidth="1"/>
    <col min="15875" max="15875" width="21.42578125" bestFit="1" customWidth="1"/>
    <col min="15876" max="15876" width="10.5703125" bestFit="1" customWidth="1"/>
    <col min="15877" max="15877" width="8.42578125" bestFit="1" customWidth="1"/>
    <col min="15878" max="15878" width="22.7109375" bestFit="1" customWidth="1"/>
    <col min="15879" max="15879" width="8.42578125" bestFit="1" customWidth="1"/>
    <col min="15880" max="15880" width="5.5703125" bestFit="1" customWidth="1"/>
    <col min="15881" max="15881" width="3.5703125" bestFit="1" customWidth="1"/>
    <col min="15882" max="15882" width="7.85546875" bestFit="1" customWidth="1"/>
    <col min="15883" max="15883" width="8.5703125" bestFit="1" customWidth="1"/>
    <col min="15884" max="15884" width="15.42578125" bestFit="1" customWidth="1"/>
    <col min="16130" max="16130" width="26" bestFit="1" customWidth="1"/>
    <col min="16131" max="16131" width="21.42578125" bestFit="1" customWidth="1"/>
    <col min="16132" max="16132" width="10.5703125" bestFit="1" customWidth="1"/>
    <col min="16133" max="16133" width="8.42578125" bestFit="1" customWidth="1"/>
    <col min="16134" max="16134" width="22.7109375" bestFit="1" customWidth="1"/>
    <col min="16135" max="16135" width="8.42578125" bestFit="1" customWidth="1"/>
    <col min="16136" max="16136" width="5.5703125" bestFit="1" customWidth="1"/>
    <col min="16137" max="16137" width="3.5703125" bestFit="1" customWidth="1"/>
    <col min="16138" max="16138" width="7.85546875" bestFit="1" customWidth="1"/>
    <col min="16139" max="16139" width="8.5703125" bestFit="1" customWidth="1"/>
    <col min="16140" max="16140" width="15.42578125" bestFit="1" customWidth="1"/>
  </cols>
  <sheetData>
    <row r="1" spans="1:12" ht="30" x14ac:dyDescent="0.4">
      <c r="A1" s="348" t="s">
        <v>4054</v>
      </c>
      <c r="B1" s="349"/>
      <c r="C1" s="349"/>
      <c r="D1" s="349"/>
      <c r="E1" s="349"/>
      <c r="F1" s="349"/>
      <c r="G1" s="349"/>
      <c r="H1" s="349"/>
      <c r="I1" s="349"/>
      <c r="J1" s="349"/>
      <c r="K1" s="349"/>
      <c r="L1" s="350"/>
    </row>
    <row r="2" spans="1:12" ht="30" x14ac:dyDescent="0.4">
      <c r="A2" s="351" t="s">
        <v>4078</v>
      </c>
      <c r="B2" s="352"/>
      <c r="C2" s="352"/>
      <c r="D2" s="352"/>
      <c r="E2" s="352"/>
      <c r="F2" s="352"/>
      <c r="G2" s="352"/>
      <c r="H2" s="352"/>
      <c r="I2" s="352"/>
      <c r="J2" s="352"/>
      <c r="K2" s="352"/>
      <c r="L2" s="353"/>
    </row>
    <row r="3" spans="1:12" ht="30.75" thickBot="1" x14ac:dyDescent="0.45">
      <c r="A3" s="354" t="s">
        <v>4056</v>
      </c>
      <c r="B3" s="355"/>
      <c r="C3" s="355"/>
      <c r="D3" s="355"/>
      <c r="E3" s="355"/>
      <c r="F3" s="355"/>
      <c r="G3" s="355"/>
      <c r="H3" s="355"/>
      <c r="I3" s="355"/>
      <c r="J3" s="355"/>
      <c r="K3" s="355"/>
      <c r="L3" s="356"/>
    </row>
    <row r="4" spans="1:12" s="5" customFormat="1" ht="15" customHeight="1" x14ac:dyDescent="0.2">
      <c r="A4" s="300" t="s">
        <v>2842</v>
      </c>
      <c r="B4" s="312" t="s">
        <v>2820</v>
      </c>
      <c r="C4" s="357" t="s">
        <v>2843</v>
      </c>
      <c r="D4" s="357" t="s">
        <v>2844</v>
      </c>
      <c r="E4" s="304" t="s">
        <v>2821</v>
      </c>
      <c r="F4" s="304" t="s">
        <v>2822</v>
      </c>
      <c r="G4" s="305" t="s">
        <v>2841</v>
      </c>
      <c r="H4" s="304" t="s">
        <v>2823</v>
      </c>
      <c r="I4" s="304"/>
      <c r="J4" s="359" t="s">
        <v>2940</v>
      </c>
      <c r="K4" s="304" t="s">
        <v>2825</v>
      </c>
      <c r="L4" s="307" t="s">
        <v>2826</v>
      </c>
    </row>
    <row r="5" spans="1:12" s="5" customFormat="1" ht="15.75" thickBot="1" x14ac:dyDescent="0.25">
      <c r="A5" s="301"/>
      <c r="B5" s="313"/>
      <c r="C5" s="358"/>
      <c r="D5" s="358"/>
      <c r="E5" s="303"/>
      <c r="F5" s="303"/>
      <c r="G5" s="306"/>
      <c r="H5" s="2" t="s">
        <v>2847</v>
      </c>
      <c r="I5" s="2" t="s">
        <v>2846</v>
      </c>
      <c r="J5" s="360"/>
      <c r="K5" s="303"/>
      <c r="L5" s="310"/>
    </row>
    <row r="6" spans="1:12" ht="15" x14ac:dyDescent="0.2">
      <c r="B6" s="299" t="s">
        <v>3007</v>
      </c>
      <c r="C6" s="299"/>
      <c r="D6" s="299"/>
      <c r="E6" s="299"/>
      <c r="F6" s="299"/>
      <c r="G6" s="299"/>
      <c r="H6" s="299"/>
      <c r="I6" s="299"/>
      <c r="J6" s="299"/>
      <c r="K6" s="299"/>
    </row>
    <row r="7" spans="1:12" x14ac:dyDescent="0.2">
      <c r="A7" s="43">
        <v>1</v>
      </c>
      <c r="B7" s="7" t="s">
        <v>3008</v>
      </c>
      <c r="C7" s="7" t="s">
        <v>3009</v>
      </c>
      <c r="D7" s="7" t="s">
        <v>1382</v>
      </c>
      <c r="E7" s="7" t="str">
        <f>"0,5910"</f>
        <v>0,5910</v>
      </c>
      <c r="F7" s="7" t="s">
        <v>2853</v>
      </c>
      <c r="G7" s="7" t="s">
        <v>3011</v>
      </c>
      <c r="H7" s="19" t="s">
        <v>127</v>
      </c>
      <c r="I7" s="19" t="s">
        <v>3012</v>
      </c>
      <c r="J7" s="19" t="s">
        <v>3010</v>
      </c>
      <c r="K7" s="19" t="str">
        <f>"851,0400"</f>
        <v>851,0400</v>
      </c>
      <c r="L7" s="7" t="s">
        <v>2855</v>
      </c>
    </row>
  </sheetData>
  <mergeCells count="15">
    <mergeCell ref="A1:L1"/>
    <mergeCell ref="A2:L2"/>
    <mergeCell ref="A3:L3"/>
    <mergeCell ref="L4:L5"/>
    <mergeCell ref="B6:K6"/>
    <mergeCell ref="A4:A5"/>
    <mergeCell ref="B4:B5"/>
    <mergeCell ref="C4:C5"/>
    <mergeCell ref="D4:D5"/>
    <mergeCell ref="E4:E5"/>
    <mergeCell ref="F4:F5"/>
    <mergeCell ref="G4:G5"/>
    <mergeCell ref="H4:I4"/>
    <mergeCell ref="J4:J5"/>
    <mergeCell ref="K4:K5"/>
  </mergeCells>
  <pageMargins left="0.7" right="0.7" top="0.75" bottom="0.75" header="0.3" footer="0.3"/>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workbookViewId="0">
      <selection activeCell="P12" sqref="P12"/>
    </sheetView>
  </sheetViews>
  <sheetFormatPr defaultColWidth="8.7109375" defaultRowHeight="12.75" x14ac:dyDescent="0.2"/>
  <cols>
    <col min="1" max="1" width="20" customWidth="1"/>
    <col min="2" max="2" width="14.7109375" customWidth="1"/>
    <col min="4" max="4" width="21.85546875" customWidth="1"/>
    <col min="14" max="14" width="20" customWidth="1"/>
    <col min="15" max="15" width="14.7109375" customWidth="1"/>
    <col min="17" max="17" width="21.85546875" customWidth="1"/>
  </cols>
  <sheetData>
    <row r="1" spans="1:25" ht="82.5" customHeight="1" thickBot="1" x14ac:dyDescent="0.25">
      <c r="A1" s="366" t="s">
        <v>4228</v>
      </c>
      <c r="B1" s="367"/>
      <c r="C1" s="367"/>
      <c r="D1" s="367"/>
      <c r="E1" s="367"/>
      <c r="F1" s="367"/>
      <c r="G1" s="367"/>
      <c r="H1" s="367"/>
      <c r="I1" s="367"/>
      <c r="J1" s="367"/>
      <c r="K1" s="367"/>
      <c r="L1" s="368"/>
      <c r="N1" s="366" t="s">
        <v>4144</v>
      </c>
      <c r="O1" s="367"/>
      <c r="P1" s="367"/>
      <c r="Q1" s="367"/>
      <c r="R1" s="367"/>
      <c r="S1" s="367"/>
      <c r="T1" s="367"/>
      <c r="U1" s="367"/>
      <c r="V1" s="367"/>
      <c r="W1" s="367"/>
      <c r="X1" s="367"/>
      <c r="Y1" s="368"/>
    </row>
    <row r="2" spans="1:25" x14ac:dyDescent="0.2">
      <c r="A2" s="369" t="s">
        <v>4122</v>
      </c>
      <c r="B2" s="369"/>
      <c r="C2" s="369"/>
      <c r="D2" s="369" t="s">
        <v>4123</v>
      </c>
      <c r="E2" s="369"/>
      <c r="F2" s="369"/>
      <c r="N2" s="369" t="s">
        <v>4145</v>
      </c>
      <c r="O2" s="369"/>
      <c r="P2" s="369"/>
      <c r="Q2" s="369" t="s">
        <v>4146</v>
      </c>
      <c r="R2" s="369"/>
      <c r="S2" s="369"/>
    </row>
    <row r="3" spans="1:25" x14ac:dyDescent="0.2">
      <c r="A3" t="s">
        <v>4124</v>
      </c>
      <c r="C3" s="250"/>
      <c r="D3" s="250" t="s">
        <v>4125</v>
      </c>
      <c r="E3" s="250">
        <v>472</v>
      </c>
      <c r="F3" s="250"/>
      <c r="G3" s="250"/>
      <c r="H3" s="250"/>
      <c r="I3" s="250"/>
      <c r="J3" s="250"/>
      <c r="K3" s="250"/>
      <c r="L3" s="250"/>
      <c r="N3" t="s">
        <v>4147</v>
      </c>
      <c r="P3" s="250"/>
      <c r="Q3" s="250" t="s">
        <v>4125</v>
      </c>
      <c r="R3" s="250">
        <v>472</v>
      </c>
      <c r="S3" s="250"/>
      <c r="T3" s="250"/>
      <c r="U3" s="250"/>
      <c r="V3" s="250"/>
      <c r="W3" s="250"/>
      <c r="X3" s="250"/>
      <c r="Y3" s="250"/>
    </row>
    <row r="4" spans="1:25" x14ac:dyDescent="0.2">
      <c r="A4" t="s">
        <v>4126</v>
      </c>
      <c r="C4" s="250"/>
      <c r="D4" s="250" t="s">
        <v>4127</v>
      </c>
      <c r="E4" s="250">
        <v>356</v>
      </c>
      <c r="F4" s="250"/>
      <c r="G4" s="250"/>
      <c r="H4" s="250"/>
      <c r="I4" s="250"/>
      <c r="J4" s="250"/>
      <c r="K4" s="250"/>
      <c r="L4" s="250"/>
      <c r="N4" t="s">
        <v>4148</v>
      </c>
      <c r="P4" s="250"/>
      <c r="Q4" s="250" t="s">
        <v>4127</v>
      </c>
      <c r="R4" s="250">
        <v>356</v>
      </c>
      <c r="S4" s="250"/>
      <c r="T4" s="250"/>
      <c r="U4" s="250"/>
      <c r="V4" s="250"/>
      <c r="W4" s="250"/>
      <c r="X4" s="250"/>
      <c r="Y4" s="250"/>
    </row>
    <row r="5" spans="1:25" x14ac:dyDescent="0.2">
      <c r="A5" t="s">
        <v>4128</v>
      </c>
      <c r="C5" s="250"/>
      <c r="D5" s="285" t="s">
        <v>4284</v>
      </c>
      <c r="E5" s="250">
        <v>315</v>
      </c>
      <c r="F5" s="250"/>
      <c r="G5" s="250"/>
      <c r="H5" s="250"/>
      <c r="I5" s="250"/>
      <c r="J5" s="250"/>
      <c r="K5" s="250"/>
      <c r="L5" s="250"/>
      <c r="N5" t="s">
        <v>4149</v>
      </c>
      <c r="P5" s="250"/>
      <c r="Q5" s="285" t="s">
        <v>4284</v>
      </c>
      <c r="R5" s="250">
        <v>315</v>
      </c>
      <c r="S5" s="250"/>
      <c r="T5" s="250"/>
      <c r="U5" s="250"/>
      <c r="V5" s="250"/>
      <c r="W5" s="250"/>
      <c r="X5" s="250"/>
      <c r="Y5" s="250"/>
    </row>
    <row r="6" spans="1:25" x14ac:dyDescent="0.2">
      <c r="C6" s="250"/>
      <c r="D6" s="263" t="s">
        <v>4293</v>
      </c>
      <c r="E6" s="250">
        <v>254</v>
      </c>
      <c r="F6" s="250"/>
      <c r="G6" s="250"/>
      <c r="H6" s="250"/>
      <c r="I6" s="250"/>
      <c r="J6" s="250"/>
      <c r="K6" s="250"/>
      <c r="L6" s="250"/>
      <c r="P6" s="250"/>
      <c r="Q6" s="263" t="s">
        <v>4294</v>
      </c>
      <c r="R6" s="250">
        <v>254</v>
      </c>
      <c r="S6" s="250"/>
      <c r="T6" s="250"/>
      <c r="U6" s="250"/>
      <c r="V6" s="250"/>
      <c r="W6" s="250"/>
      <c r="X6" s="250"/>
      <c r="Y6" s="250"/>
    </row>
    <row r="7" spans="1:25" x14ac:dyDescent="0.2">
      <c r="C7" s="250"/>
      <c r="D7" s="263" t="s">
        <v>4246</v>
      </c>
      <c r="E7" s="250">
        <v>240</v>
      </c>
      <c r="F7" s="250"/>
      <c r="G7" s="250"/>
      <c r="H7" s="250"/>
      <c r="I7" s="250"/>
      <c r="J7" s="250"/>
      <c r="K7" s="250"/>
      <c r="L7" s="250"/>
      <c r="P7" s="250"/>
      <c r="Q7" s="263" t="s">
        <v>4246</v>
      </c>
      <c r="R7" s="250">
        <v>240</v>
      </c>
      <c r="S7" s="250"/>
      <c r="T7" s="250"/>
      <c r="U7" s="250"/>
      <c r="V7" s="250"/>
      <c r="W7" s="250"/>
      <c r="X7" s="250"/>
      <c r="Y7" s="250"/>
    </row>
    <row r="8" spans="1:25" x14ac:dyDescent="0.2">
      <c r="C8" s="250"/>
      <c r="D8" s="250" t="s">
        <v>4129</v>
      </c>
      <c r="E8" s="250">
        <v>226</v>
      </c>
      <c r="F8" s="250"/>
      <c r="G8" s="250"/>
      <c r="H8" s="250"/>
      <c r="I8" s="250"/>
      <c r="J8" s="250"/>
      <c r="K8" s="250"/>
      <c r="L8" s="250"/>
      <c r="P8" s="250"/>
      <c r="Q8" s="285" t="s">
        <v>4295</v>
      </c>
      <c r="R8" s="250">
        <v>226</v>
      </c>
      <c r="S8" s="250"/>
      <c r="T8" s="250"/>
      <c r="U8" s="250"/>
      <c r="V8" s="250"/>
      <c r="W8" s="250"/>
      <c r="X8" s="250"/>
      <c r="Y8" s="250"/>
    </row>
    <row r="9" spans="1:25" x14ac:dyDescent="0.2">
      <c r="C9" s="250"/>
      <c r="D9" s="285" t="s">
        <v>4292</v>
      </c>
      <c r="E9" s="250">
        <v>210</v>
      </c>
      <c r="F9" s="250"/>
      <c r="G9" s="250"/>
      <c r="H9" s="250"/>
      <c r="I9" s="250"/>
      <c r="J9" s="250"/>
      <c r="K9" s="250"/>
      <c r="L9" s="250"/>
      <c r="P9" s="250"/>
      <c r="Q9" s="250" t="s">
        <v>4130</v>
      </c>
      <c r="R9" s="250">
        <v>210</v>
      </c>
      <c r="S9" s="250"/>
      <c r="T9" s="250"/>
      <c r="U9" s="250"/>
      <c r="V9" s="250"/>
      <c r="W9" s="250"/>
      <c r="X9" s="250"/>
      <c r="Y9" s="250"/>
    </row>
    <row r="10" spans="1:25" x14ac:dyDescent="0.2">
      <c r="C10" s="250"/>
      <c r="D10" s="285" t="s">
        <v>4288</v>
      </c>
      <c r="E10" s="250">
        <v>177</v>
      </c>
      <c r="F10" s="250"/>
      <c r="G10" s="250"/>
      <c r="H10" s="250"/>
      <c r="I10" s="250"/>
      <c r="J10" s="250"/>
      <c r="K10" s="250"/>
      <c r="L10" s="250"/>
      <c r="P10" s="250"/>
      <c r="Q10" s="250" t="s">
        <v>4131</v>
      </c>
      <c r="R10" s="250">
        <v>177</v>
      </c>
      <c r="S10" s="250"/>
      <c r="T10" s="250"/>
      <c r="U10" s="250"/>
      <c r="V10" s="250"/>
      <c r="W10" s="250"/>
      <c r="X10" s="250"/>
      <c r="Y10" s="250"/>
    </row>
    <row r="11" spans="1:25" x14ac:dyDescent="0.2">
      <c r="C11" s="250"/>
      <c r="D11" s="285" t="s">
        <v>4287</v>
      </c>
      <c r="E11" s="250">
        <v>161</v>
      </c>
      <c r="F11" s="250"/>
      <c r="G11" s="250"/>
      <c r="H11" s="250"/>
      <c r="I11" s="250"/>
      <c r="J11" s="250"/>
      <c r="K11" s="250"/>
      <c r="L11" s="250"/>
      <c r="P11" s="250"/>
      <c r="Q11" s="250" t="s">
        <v>4132</v>
      </c>
      <c r="R11" s="250">
        <v>161</v>
      </c>
      <c r="S11" s="250"/>
      <c r="T11" s="250"/>
      <c r="U11" s="250"/>
      <c r="V11" s="250"/>
      <c r="W11" s="250"/>
      <c r="X11" s="250"/>
      <c r="Y11" s="250"/>
    </row>
    <row r="12" spans="1:25" x14ac:dyDescent="0.2">
      <c r="C12" s="250"/>
      <c r="D12" s="285" t="s">
        <v>4285</v>
      </c>
      <c r="E12" s="250">
        <v>159</v>
      </c>
      <c r="F12" s="250"/>
      <c r="G12" s="250"/>
      <c r="H12" s="250"/>
      <c r="I12" s="250"/>
      <c r="J12" s="250"/>
      <c r="K12" s="250"/>
      <c r="L12" s="250"/>
      <c r="P12" s="250"/>
      <c r="Q12" s="250" t="s">
        <v>4133</v>
      </c>
      <c r="R12" s="250">
        <v>159</v>
      </c>
      <c r="S12" s="250"/>
      <c r="T12" s="250"/>
      <c r="U12" s="250"/>
      <c r="V12" s="250"/>
      <c r="W12" s="250"/>
      <c r="X12" s="250"/>
      <c r="Y12" s="250"/>
    </row>
    <row r="13" spans="1:25" x14ac:dyDescent="0.2">
      <c r="C13" s="250"/>
      <c r="D13" s="285" t="s">
        <v>4291</v>
      </c>
      <c r="E13" s="250">
        <v>131</v>
      </c>
      <c r="F13" s="250"/>
      <c r="G13" s="250"/>
      <c r="H13" s="250"/>
      <c r="I13" s="250"/>
      <c r="J13" s="250"/>
      <c r="K13" s="250"/>
      <c r="L13" s="250"/>
      <c r="P13" s="250"/>
      <c r="Q13" s="250" t="s">
        <v>4134</v>
      </c>
      <c r="R13" s="250">
        <v>131</v>
      </c>
      <c r="S13" s="250"/>
      <c r="T13" s="250"/>
      <c r="U13" s="250"/>
      <c r="V13" s="250"/>
      <c r="W13" s="250"/>
      <c r="X13" s="250"/>
      <c r="Y13" s="250"/>
    </row>
    <row r="14" spans="1:25" x14ac:dyDescent="0.2">
      <c r="C14" s="250"/>
      <c r="D14" s="263" t="s">
        <v>4286</v>
      </c>
      <c r="E14" s="250">
        <v>104</v>
      </c>
      <c r="F14" s="250"/>
      <c r="G14" s="250"/>
      <c r="H14" s="250"/>
      <c r="I14" s="250"/>
      <c r="J14" s="250"/>
      <c r="K14" s="250"/>
      <c r="L14" s="250"/>
      <c r="P14" s="250"/>
      <c r="Q14" s="251" t="s">
        <v>4135</v>
      </c>
      <c r="R14" s="250">
        <v>104</v>
      </c>
      <c r="S14" s="250"/>
      <c r="T14" s="250"/>
      <c r="U14" s="250"/>
      <c r="V14" s="250"/>
      <c r="W14" s="250"/>
      <c r="X14" s="250"/>
      <c r="Y14" s="250"/>
    </row>
    <row r="15" spans="1:25" x14ac:dyDescent="0.2">
      <c r="C15" s="250"/>
      <c r="D15" s="263" t="s">
        <v>4290</v>
      </c>
      <c r="E15" s="251">
        <v>86</v>
      </c>
      <c r="F15" s="250"/>
      <c r="G15" s="250"/>
      <c r="H15" s="250"/>
      <c r="I15" s="250"/>
      <c r="J15" s="250"/>
      <c r="K15" s="250"/>
      <c r="L15" s="250"/>
      <c r="P15" s="250"/>
      <c r="Q15" s="251" t="s">
        <v>4136</v>
      </c>
      <c r="R15" s="251">
        <v>86</v>
      </c>
      <c r="S15" s="250"/>
      <c r="T15" s="250"/>
      <c r="U15" s="250"/>
      <c r="V15" s="250"/>
      <c r="W15" s="250"/>
      <c r="X15" s="250"/>
      <c r="Y15" s="250"/>
    </row>
    <row r="16" spans="1:25" x14ac:dyDescent="0.2">
      <c r="C16" s="250"/>
      <c r="D16" s="263" t="s">
        <v>4289</v>
      </c>
      <c r="E16" s="250">
        <v>80</v>
      </c>
      <c r="F16" s="250"/>
      <c r="G16" s="250"/>
      <c r="H16" s="250"/>
      <c r="I16" s="250"/>
      <c r="J16" s="250"/>
      <c r="K16" s="250"/>
      <c r="L16" s="250"/>
      <c r="P16" s="250"/>
      <c r="Q16" s="251" t="s">
        <v>4137</v>
      </c>
      <c r="R16" s="250">
        <v>80</v>
      </c>
      <c r="S16" s="250"/>
      <c r="T16" s="250"/>
      <c r="U16" s="250"/>
      <c r="V16" s="250"/>
      <c r="W16" s="250"/>
      <c r="X16" s="250"/>
      <c r="Y16" s="250"/>
    </row>
    <row r="17" spans="1:25" ht="13.5" thickBot="1" x14ac:dyDescent="0.25">
      <c r="A17" s="252"/>
      <c r="B17" s="250"/>
      <c r="C17" s="250"/>
      <c r="D17" s="250"/>
      <c r="E17" s="250"/>
      <c r="F17" s="250"/>
      <c r="G17" s="250"/>
      <c r="H17" s="250"/>
      <c r="I17" s="250"/>
      <c r="J17" s="250"/>
      <c r="K17" s="250"/>
      <c r="L17" s="250"/>
      <c r="N17" s="252"/>
      <c r="O17" s="250"/>
      <c r="P17" s="250"/>
      <c r="Q17" s="250"/>
      <c r="R17" s="250"/>
      <c r="S17" s="250"/>
      <c r="T17" s="250"/>
      <c r="U17" s="250"/>
      <c r="V17" s="250"/>
      <c r="W17" s="250"/>
      <c r="X17" s="250"/>
      <c r="Y17" s="250"/>
    </row>
    <row r="18" spans="1:25" ht="64.5" customHeight="1" x14ac:dyDescent="0.2">
      <c r="A18" s="370" t="s">
        <v>4227</v>
      </c>
      <c r="B18" s="371"/>
      <c r="C18" s="371"/>
      <c r="D18" s="371"/>
      <c r="E18" s="371"/>
      <c r="F18" s="371"/>
      <c r="G18" s="371"/>
      <c r="H18" s="371"/>
      <c r="I18" s="371"/>
      <c r="J18" s="371"/>
      <c r="K18" s="371"/>
      <c r="L18" s="372"/>
      <c r="N18" s="370" t="s">
        <v>4247</v>
      </c>
      <c r="O18" s="371"/>
      <c r="P18" s="371"/>
      <c r="Q18" s="371"/>
      <c r="R18" s="371"/>
      <c r="S18" s="371"/>
      <c r="T18" s="371"/>
      <c r="U18" s="371"/>
      <c r="V18" s="371"/>
      <c r="W18" s="371"/>
      <c r="X18" s="371"/>
      <c r="Y18" s="372"/>
    </row>
    <row r="19" spans="1:25" ht="30.75" thickBot="1" x14ac:dyDescent="0.25">
      <c r="A19" s="363" t="s">
        <v>4229</v>
      </c>
      <c r="B19" s="364"/>
      <c r="C19" s="364"/>
      <c r="D19" s="364"/>
      <c r="E19" s="364"/>
      <c r="F19" s="364"/>
      <c r="G19" s="364"/>
      <c r="H19" s="364"/>
      <c r="I19" s="364"/>
      <c r="J19" s="364"/>
      <c r="K19" s="364"/>
      <c r="L19" s="365"/>
      <c r="N19" s="363" t="s">
        <v>4138</v>
      </c>
      <c r="O19" s="364"/>
      <c r="P19" s="364"/>
      <c r="Q19" s="364"/>
      <c r="R19" s="364"/>
      <c r="S19" s="364"/>
      <c r="T19" s="364"/>
      <c r="U19" s="364"/>
      <c r="V19" s="364"/>
      <c r="W19" s="364"/>
      <c r="X19" s="364"/>
      <c r="Y19" s="365"/>
    </row>
    <row r="21" spans="1:25" x14ac:dyDescent="0.2">
      <c r="A21" s="253" t="s">
        <v>4139</v>
      </c>
      <c r="B21" s="250">
        <v>419</v>
      </c>
      <c r="N21" s="253" t="s">
        <v>4139</v>
      </c>
      <c r="O21" s="250">
        <v>419</v>
      </c>
    </row>
    <row r="22" spans="1:25" x14ac:dyDescent="0.2">
      <c r="A22" s="253" t="s">
        <v>4140</v>
      </c>
      <c r="B22" s="250">
        <v>334</v>
      </c>
      <c r="N22" s="253" t="s">
        <v>4140</v>
      </c>
      <c r="O22" s="250">
        <v>334</v>
      </c>
    </row>
    <row r="23" spans="1:25" ht="13.5" thickBot="1" x14ac:dyDescent="0.25"/>
    <row r="24" spans="1:25" ht="61.5" customHeight="1" x14ac:dyDescent="0.2">
      <c r="A24" s="370" t="s">
        <v>4230</v>
      </c>
      <c r="B24" s="371"/>
      <c r="C24" s="371"/>
      <c r="D24" s="371"/>
      <c r="E24" s="371"/>
      <c r="F24" s="371"/>
      <c r="G24" s="371"/>
      <c r="H24" s="371"/>
      <c r="I24" s="371"/>
      <c r="J24" s="371"/>
      <c r="K24" s="371"/>
      <c r="L24" s="372"/>
      <c r="N24" s="370" t="s">
        <v>4141</v>
      </c>
      <c r="O24" s="371"/>
      <c r="P24" s="371"/>
      <c r="Q24" s="371"/>
      <c r="R24" s="371"/>
      <c r="S24" s="371"/>
      <c r="T24" s="371"/>
      <c r="U24" s="371"/>
      <c r="V24" s="371"/>
      <c r="W24" s="371"/>
      <c r="X24" s="371"/>
      <c r="Y24" s="372"/>
    </row>
    <row r="25" spans="1:25" ht="30.75" customHeight="1" thickBot="1" x14ac:dyDescent="0.25">
      <c r="A25" s="363" t="s">
        <v>4229</v>
      </c>
      <c r="B25" s="364"/>
      <c r="C25" s="364"/>
      <c r="D25" s="364"/>
      <c r="E25" s="364"/>
      <c r="F25" s="364"/>
      <c r="G25" s="364"/>
      <c r="H25" s="364"/>
      <c r="I25" s="364"/>
      <c r="J25" s="364"/>
      <c r="K25" s="364"/>
      <c r="L25" s="365"/>
      <c r="N25" s="363" t="s">
        <v>4138</v>
      </c>
      <c r="O25" s="364"/>
      <c r="P25" s="364"/>
      <c r="Q25" s="364"/>
      <c r="R25" s="364"/>
      <c r="S25" s="364"/>
      <c r="T25" s="364"/>
      <c r="U25" s="364"/>
      <c r="V25" s="364"/>
      <c r="W25" s="364"/>
      <c r="X25" s="364"/>
      <c r="Y25" s="365"/>
    </row>
    <row r="27" spans="1:25" x14ac:dyDescent="0.2">
      <c r="A27" t="s">
        <v>4142</v>
      </c>
      <c r="B27">
        <v>385</v>
      </c>
      <c r="N27" t="s">
        <v>4142</v>
      </c>
      <c r="O27">
        <v>385</v>
      </c>
    </row>
    <row r="28" spans="1:25" x14ac:dyDescent="0.2">
      <c r="A28" t="s">
        <v>4143</v>
      </c>
      <c r="B28">
        <v>84</v>
      </c>
      <c r="N28" t="s">
        <v>4143</v>
      </c>
      <c r="O28">
        <v>84</v>
      </c>
    </row>
  </sheetData>
  <mergeCells count="14">
    <mergeCell ref="A25:L25"/>
    <mergeCell ref="N1:Y1"/>
    <mergeCell ref="N2:P2"/>
    <mergeCell ref="Q2:S2"/>
    <mergeCell ref="N18:Y18"/>
    <mergeCell ref="N19:Y19"/>
    <mergeCell ref="N24:Y24"/>
    <mergeCell ref="N25:Y25"/>
    <mergeCell ref="A1:L1"/>
    <mergeCell ref="A2:C2"/>
    <mergeCell ref="D2:F2"/>
    <mergeCell ref="A18:L18"/>
    <mergeCell ref="A19:L19"/>
    <mergeCell ref="A24:L2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opLeftCell="F28" workbookViewId="0">
      <selection activeCell="D53" sqref="D53"/>
    </sheetView>
  </sheetViews>
  <sheetFormatPr defaultColWidth="8.7109375" defaultRowHeight="12.75" x14ac:dyDescent="0.2"/>
  <cols>
    <col min="1" max="1" width="47.28515625" style="255" customWidth="1"/>
    <col min="2" max="2" width="29.140625" style="255" bestFit="1" customWidth="1"/>
    <col min="3" max="3" width="20.7109375" style="255" customWidth="1"/>
    <col min="4" max="4" width="17.28515625" style="255" customWidth="1"/>
    <col min="5" max="5" width="8.7109375" style="255"/>
    <col min="6" max="6" width="38.5703125" style="255" bestFit="1" customWidth="1"/>
    <col min="7" max="7" width="32.5703125" style="255" customWidth="1"/>
    <col min="8" max="8" width="20.7109375" style="255" customWidth="1"/>
    <col min="9" max="9" width="11.5703125" style="255" customWidth="1"/>
    <col min="10" max="16384" width="8.7109375" style="255"/>
  </cols>
  <sheetData>
    <row r="1" spans="1:12" ht="225" customHeight="1" thickBot="1" x14ac:dyDescent="0.25">
      <c r="A1" s="373" t="s">
        <v>4249</v>
      </c>
      <c r="B1" s="374"/>
      <c r="C1" s="374"/>
      <c r="D1" s="375"/>
      <c r="E1" s="254"/>
      <c r="F1" s="366" t="s">
        <v>4248</v>
      </c>
      <c r="G1" s="367"/>
      <c r="H1" s="367"/>
      <c r="I1" s="368"/>
      <c r="J1" s="254"/>
      <c r="K1" s="254"/>
      <c r="L1" s="254"/>
    </row>
    <row r="2" spans="1:12" s="256" customFormat="1" ht="15" x14ac:dyDescent="0.25">
      <c r="A2" s="256" t="s">
        <v>4150</v>
      </c>
      <c r="B2" s="256" t="s">
        <v>0</v>
      </c>
      <c r="C2" s="256" t="s">
        <v>4151</v>
      </c>
      <c r="D2" s="256" t="s">
        <v>4152</v>
      </c>
      <c r="F2" s="256" t="s">
        <v>4193</v>
      </c>
      <c r="G2" s="256" t="s">
        <v>2820</v>
      </c>
      <c r="H2" s="256" t="s">
        <v>4194</v>
      </c>
      <c r="I2" s="256" t="s">
        <v>4195</v>
      </c>
    </row>
    <row r="3" spans="1:12" ht="15" x14ac:dyDescent="0.2">
      <c r="A3" s="257" t="s">
        <v>4226</v>
      </c>
      <c r="B3" s="257" t="s">
        <v>4173</v>
      </c>
      <c r="C3" s="257" t="s">
        <v>4154</v>
      </c>
      <c r="D3" s="257" t="s">
        <v>4250</v>
      </c>
      <c r="E3" s="257"/>
      <c r="F3" s="257" t="s">
        <v>4196</v>
      </c>
      <c r="G3" s="257" t="s">
        <v>4173</v>
      </c>
      <c r="H3" s="257" t="s">
        <v>4197</v>
      </c>
      <c r="I3" s="257" t="s">
        <v>4198</v>
      </c>
      <c r="J3" s="257"/>
      <c r="K3" s="257"/>
      <c r="L3" s="257"/>
    </row>
    <row r="4" spans="1:12" ht="16.5" customHeight="1" x14ac:dyDescent="0.2">
      <c r="A4" s="257" t="s">
        <v>4225</v>
      </c>
      <c r="B4" s="257" t="s">
        <v>4156</v>
      </c>
      <c r="C4" s="257" t="s">
        <v>4154</v>
      </c>
      <c r="D4" s="257" t="s">
        <v>4250</v>
      </c>
      <c r="E4" s="257"/>
      <c r="F4" s="257" t="s">
        <v>4199</v>
      </c>
      <c r="G4" s="257" t="s">
        <v>4156</v>
      </c>
      <c r="H4" s="257" t="s">
        <v>4197</v>
      </c>
      <c r="I4" s="257" t="s">
        <v>4198</v>
      </c>
      <c r="J4" s="257"/>
      <c r="K4" s="257"/>
      <c r="L4" s="257"/>
    </row>
    <row r="5" spans="1:12" ht="15" x14ac:dyDescent="0.2">
      <c r="A5" s="257" t="s">
        <v>4157</v>
      </c>
      <c r="B5" s="257" t="s">
        <v>4158</v>
      </c>
      <c r="C5" s="257" t="s">
        <v>4159</v>
      </c>
      <c r="D5" s="257" t="s">
        <v>4160</v>
      </c>
      <c r="E5" s="257"/>
      <c r="F5" s="257" t="s">
        <v>4200</v>
      </c>
      <c r="G5" s="257" t="s">
        <v>4158</v>
      </c>
      <c r="H5" s="257" t="s">
        <v>4201</v>
      </c>
      <c r="I5" s="257" t="s">
        <v>4202</v>
      </c>
      <c r="J5" s="257"/>
      <c r="K5" s="257"/>
      <c r="L5" s="257"/>
    </row>
    <row r="6" spans="1:12" ht="15" x14ac:dyDescent="0.2">
      <c r="A6" s="257" t="s">
        <v>4157</v>
      </c>
      <c r="B6" s="257" t="s">
        <v>4234</v>
      </c>
      <c r="C6" s="257" t="s">
        <v>4154</v>
      </c>
      <c r="D6" s="257"/>
      <c r="E6" s="257"/>
      <c r="F6" s="257" t="s">
        <v>4200</v>
      </c>
      <c r="G6" s="257" t="s">
        <v>4234</v>
      </c>
      <c r="H6" s="257" t="s">
        <v>4197</v>
      </c>
      <c r="I6" s="257"/>
      <c r="J6" s="257"/>
      <c r="K6" s="257"/>
      <c r="L6" s="257"/>
    </row>
    <row r="7" spans="1:12" ht="15" x14ac:dyDescent="0.2">
      <c r="A7" s="257" t="s">
        <v>4157</v>
      </c>
      <c r="B7" s="257" t="s">
        <v>4161</v>
      </c>
      <c r="C7" s="257" t="s">
        <v>4162</v>
      </c>
      <c r="D7" s="257" t="s">
        <v>4160</v>
      </c>
      <c r="E7" s="257"/>
      <c r="F7" s="257" t="s">
        <v>4200</v>
      </c>
      <c r="G7" s="257" t="s">
        <v>4161</v>
      </c>
      <c r="H7" s="257" t="s">
        <v>4203</v>
      </c>
      <c r="I7" s="257" t="s">
        <v>4202</v>
      </c>
      <c r="J7" s="257"/>
      <c r="K7" s="257"/>
      <c r="L7" s="257"/>
    </row>
    <row r="8" spans="1:12" ht="15" x14ac:dyDescent="0.2">
      <c r="A8" s="257" t="s">
        <v>4157</v>
      </c>
      <c r="B8" s="257" t="s">
        <v>4163</v>
      </c>
      <c r="C8" s="257" t="s">
        <v>4159</v>
      </c>
      <c r="D8" s="257" t="s">
        <v>4155</v>
      </c>
      <c r="E8" s="257"/>
      <c r="F8" s="257" t="s">
        <v>4200</v>
      </c>
      <c r="G8" s="257" t="s">
        <v>4163</v>
      </c>
      <c r="H8" s="257" t="s">
        <v>4201</v>
      </c>
      <c r="I8" s="257" t="s">
        <v>4204</v>
      </c>
      <c r="J8" s="257"/>
      <c r="K8" s="257"/>
      <c r="L8" s="257"/>
    </row>
    <row r="9" spans="1:12" ht="15" x14ac:dyDescent="0.2">
      <c r="A9" s="257" t="s">
        <v>4157</v>
      </c>
      <c r="B9" s="257" t="s">
        <v>4164</v>
      </c>
      <c r="C9" s="257" t="s">
        <v>4159</v>
      </c>
      <c r="D9" s="257"/>
      <c r="E9" s="257"/>
      <c r="F9" s="257" t="s">
        <v>4200</v>
      </c>
      <c r="G9" s="257" t="s">
        <v>4164</v>
      </c>
      <c r="H9" s="257" t="s">
        <v>4201</v>
      </c>
      <c r="I9" s="257"/>
      <c r="J9" s="257"/>
      <c r="K9" s="257"/>
      <c r="L9" s="257"/>
    </row>
    <row r="10" spans="1:12" ht="15" x14ac:dyDescent="0.2">
      <c r="A10" s="257" t="s">
        <v>4157</v>
      </c>
      <c r="B10" s="257" t="s">
        <v>4165</v>
      </c>
      <c r="C10" s="257" t="s">
        <v>4162</v>
      </c>
      <c r="D10" s="257"/>
      <c r="E10" s="257"/>
      <c r="F10" s="257" t="s">
        <v>4200</v>
      </c>
      <c r="G10" s="257" t="s">
        <v>4165</v>
      </c>
      <c r="H10" s="257" t="s">
        <v>4203</v>
      </c>
      <c r="I10" s="257"/>
      <c r="J10" s="257"/>
      <c r="K10" s="257"/>
      <c r="L10" s="257"/>
    </row>
    <row r="11" spans="1:12" ht="15" x14ac:dyDescent="0.2">
      <c r="A11" s="257" t="s">
        <v>4157</v>
      </c>
      <c r="B11" s="257" t="s">
        <v>4251</v>
      </c>
      <c r="C11" s="257" t="s">
        <v>4166</v>
      </c>
      <c r="D11" s="257" t="s">
        <v>4155</v>
      </c>
      <c r="E11" s="257"/>
      <c r="F11" s="257" t="s">
        <v>4200</v>
      </c>
      <c r="G11" s="257" t="s">
        <v>4251</v>
      </c>
      <c r="H11" s="257" t="s">
        <v>4205</v>
      </c>
      <c r="I11" s="257" t="s">
        <v>4204</v>
      </c>
      <c r="J11" s="257"/>
      <c r="K11" s="257"/>
      <c r="L11" s="257"/>
    </row>
    <row r="12" spans="1:12" ht="15" x14ac:dyDescent="0.2">
      <c r="A12" s="257" t="s">
        <v>4157</v>
      </c>
      <c r="B12" s="257" t="s">
        <v>3026</v>
      </c>
      <c r="C12" s="257" t="s">
        <v>4167</v>
      </c>
      <c r="D12" s="257"/>
      <c r="E12" s="257"/>
      <c r="F12" s="257" t="s">
        <v>4200</v>
      </c>
      <c r="G12" s="257" t="s">
        <v>3026</v>
      </c>
      <c r="H12" s="257" t="s">
        <v>4206</v>
      </c>
      <c r="I12" s="257"/>
      <c r="J12" s="257"/>
      <c r="K12" s="257"/>
      <c r="L12" s="257"/>
    </row>
    <row r="13" spans="1:12" ht="15" x14ac:dyDescent="0.2">
      <c r="A13" s="257" t="s">
        <v>4157</v>
      </c>
      <c r="B13" s="257" t="s">
        <v>4168</v>
      </c>
      <c r="C13" s="257" t="s">
        <v>4169</v>
      </c>
      <c r="D13" s="257"/>
      <c r="E13" s="257"/>
      <c r="F13" s="257" t="s">
        <v>4200</v>
      </c>
      <c r="G13" s="257" t="s">
        <v>4168</v>
      </c>
      <c r="H13" s="257" t="s">
        <v>4207</v>
      </c>
      <c r="I13" s="257"/>
      <c r="J13" s="257"/>
      <c r="K13" s="257"/>
      <c r="L13" s="257"/>
    </row>
    <row r="14" spans="1:12" ht="15" x14ac:dyDescent="0.2">
      <c r="A14" s="257" t="s">
        <v>4157</v>
      </c>
      <c r="B14" s="257" t="s">
        <v>4257</v>
      </c>
      <c r="C14" s="257" t="s">
        <v>4254</v>
      </c>
      <c r="D14" s="257"/>
      <c r="E14" s="257"/>
      <c r="F14" s="257" t="s">
        <v>4200</v>
      </c>
      <c r="G14" s="257" t="s">
        <v>4257</v>
      </c>
      <c r="H14" s="257" t="s">
        <v>4254</v>
      </c>
      <c r="I14" s="257"/>
      <c r="J14" s="257"/>
      <c r="K14" s="257"/>
      <c r="L14" s="257"/>
    </row>
    <row r="15" spans="1:12" ht="15" x14ac:dyDescent="0.2">
      <c r="A15" s="257" t="s">
        <v>4157</v>
      </c>
      <c r="B15" s="257" t="s">
        <v>4258</v>
      </c>
      <c r="C15" s="257" t="s">
        <v>4254</v>
      </c>
      <c r="D15" s="257"/>
      <c r="E15" s="257"/>
      <c r="F15" s="257" t="s">
        <v>4200</v>
      </c>
      <c r="G15" s="257" t="s">
        <v>4258</v>
      </c>
      <c r="H15" s="257" t="s">
        <v>4254</v>
      </c>
      <c r="I15" s="257"/>
      <c r="J15" s="257"/>
      <c r="K15" s="257"/>
      <c r="L15" s="257"/>
    </row>
    <row r="16" spans="1:12" ht="15" x14ac:dyDescent="0.2">
      <c r="A16" s="257" t="s">
        <v>4157</v>
      </c>
      <c r="B16" s="257" t="s">
        <v>4170</v>
      </c>
      <c r="C16" s="257" t="s">
        <v>4171</v>
      </c>
      <c r="D16" s="257" t="s">
        <v>4160</v>
      </c>
      <c r="E16" s="257"/>
      <c r="F16" s="257" t="s">
        <v>4200</v>
      </c>
      <c r="G16" s="257" t="s">
        <v>4170</v>
      </c>
      <c r="H16" s="257" t="s">
        <v>4208</v>
      </c>
      <c r="I16" s="257" t="s">
        <v>4202</v>
      </c>
      <c r="J16" s="257"/>
      <c r="K16" s="257"/>
      <c r="L16" s="257"/>
    </row>
    <row r="17" spans="1:9" ht="15" x14ac:dyDescent="0.2">
      <c r="A17" s="257" t="s">
        <v>4172</v>
      </c>
      <c r="B17" s="257" t="s">
        <v>4153</v>
      </c>
      <c r="C17" s="257" t="s">
        <v>4154</v>
      </c>
      <c r="D17" s="257" t="s">
        <v>4250</v>
      </c>
      <c r="F17" s="257" t="s">
        <v>4209</v>
      </c>
      <c r="G17" s="257" t="s">
        <v>4153</v>
      </c>
      <c r="H17" s="257" t="s">
        <v>4197</v>
      </c>
      <c r="I17" s="257" t="s">
        <v>4198</v>
      </c>
    </row>
    <row r="18" spans="1:9" ht="15" x14ac:dyDescent="0.2">
      <c r="A18" s="257" t="s">
        <v>4172</v>
      </c>
      <c r="B18" s="257" t="s">
        <v>4173</v>
      </c>
      <c r="C18" s="257" t="s">
        <v>4154</v>
      </c>
      <c r="D18" s="257" t="s">
        <v>4250</v>
      </c>
      <c r="F18" s="257" t="s">
        <v>4209</v>
      </c>
      <c r="G18" s="257" t="s">
        <v>4173</v>
      </c>
      <c r="H18" s="257" t="s">
        <v>4197</v>
      </c>
      <c r="I18" s="257" t="s">
        <v>4198</v>
      </c>
    </row>
    <row r="19" spans="1:9" ht="15" x14ac:dyDescent="0.2">
      <c r="A19" s="257" t="s">
        <v>4172</v>
      </c>
      <c r="B19" s="257" t="s">
        <v>4156</v>
      </c>
      <c r="C19" s="257" t="s">
        <v>4154</v>
      </c>
      <c r="D19" s="257" t="s">
        <v>4250</v>
      </c>
      <c r="F19" s="257" t="s">
        <v>4209</v>
      </c>
      <c r="G19" s="257" t="s">
        <v>4156</v>
      </c>
      <c r="H19" s="257" t="s">
        <v>4197</v>
      </c>
      <c r="I19" s="257" t="s">
        <v>4198</v>
      </c>
    </row>
    <row r="20" spans="1:9" ht="15" x14ac:dyDescent="0.2">
      <c r="A20" s="257" t="s">
        <v>4174</v>
      </c>
      <c r="B20" s="257" t="s">
        <v>4153</v>
      </c>
      <c r="C20" s="257" t="s">
        <v>4154</v>
      </c>
      <c r="D20" s="257" t="s">
        <v>4250</v>
      </c>
      <c r="F20" s="257" t="s">
        <v>4210</v>
      </c>
      <c r="G20" s="257" t="s">
        <v>4153</v>
      </c>
      <c r="H20" s="257" t="s">
        <v>4197</v>
      </c>
      <c r="I20" s="257" t="s">
        <v>4198</v>
      </c>
    </row>
    <row r="21" spans="1:9" ht="15" x14ac:dyDescent="0.2">
      <c r="A21" s="257" t="s">
        <v>4174</v>
      </c>
      <c r="B21" s="257" t="s">
        <v>4266</v>
      </c>
      <c r="C21" s="257" t="s">
        <v>4171</v>
      </c>
      <c r="D21" s="257" t="s">
        <v>4250</v>
      </c>
      <c r="F21" s="257" t="s">
        <v>4210</v>
      </c>
      <c r="G21" s="257" t="s">
        <v>4266</v>
      </c>
      <c r="H21" s="257" t="s">
        <v>4208</v>
      </c>
      <c r="I21" s="257" t="s">
        <v>4198</v>
      </c>
    </row>
    <row r="22" spans="1:9" ht="15" x14ac:dyDescent="0.2">
      <c r="A22" s="257" t="s">
        <v>4174</v>
      </c>
      <c r="B22" s="257" t="s">
        <v>4163</v>
      </c>
      <c r="C22" s="257" t="s">
        <v>4159</v>
      </c>
      <c r="D22" s="257" t="s">
        <v>4155</v>
      </c>
      <c r="F22" s="257" t="s">
        <v>4210</v>
      </c>
      <c r="G22" s="257" t="s">
        <v>4163</v>
      </c>
      <c r="H22" s="257" t="s">
        <v>4201</v>
      </c>
      <c r="I22" s="257" t="s">
        <v>4204</v>
      </c>
    </row>
    <row r="23" spans="1:9" ht="15" x14ac:dyDescent="0.2">
      <c r="A23" s="257" t="s">
        <v>4174</v>
      </c>
      <c r="B23" s="257" t="s">
        <v>4175</v>
      </c>
      <c r="C23" s="257" t="s">
        <v>4176</v>
      </c>
      <c r="D23" s="257" t="s">
        <v>4160</v>
      </c>
      <c r="F23" s="257" t="s">
        <v>4210</v>
      </c>
      <c r="G23" s="257" t="s">
        <v>4175</v>
      </c>
      <c r="H23" s="257" t="s">
        <v>4211</v>
      </c>
      <c r="I23" s="257" t="s">
        <v>4202</v>
      </c>
    </row>
    <row r="24" spans="1:9" ht="15" x14ac:dyDescent="0.2">
      <c r="A24" s="257" t="s">
        <v>4174</v>
      </c>
      <c r="B24" s="257" t="s">
        <v>4177</v>
      </c>
      <c r="C24" s="257" t="s">
        <v>4159</v>
      </c>
      <c r="D24" s="257" t="s">
        <v>4160</v>
      </c>
      <c r="F24" s="257" t="s">
        <v>4210</v>
      </c>
      <c r="G24" s="257" t="s">
        <v>4177</v>
      </c>
      <c r="H24" s="257" t="s">
        <v>4201</v>
      </c>
      <c r="I24" s="257" t="s">
        <v>4204</v>
      </c>
    </row>
    <row r="25" spans="1:9" ht="15" x14ac:dyDescent="0.2">
      <c r="A25" s="257" t="s">
        <v>4174</v>
      </c>
      <c r="B25" s="257" t="s">
        <v>4178</v>
      </c>
      <c r="C25" s="257" t="s">
        <v>4154</v>
      </c>
      <c r="D25" s="257" t="s">
        <v>4160</v>
      </c>
      <c r="F25" s="257" t="s">
        <v>4210</v>
      </c>
      <c r="G25" s="257" t="s">
        <v>4178</v>
      </c>
      <c r="H25" s="257" t="s">
        <v>4197</v>
      </c>
      <c r="I25" s="257" t="s">
        <v>4202</v>
      </c>
    </row>
    <row r="26" spans="1:9" ht="15" x14ac:dyDescent="0.2">
      <c r="A26" s="257" t="s">
        <v>4174</v>
      </c>
      <c r="B26" s="257" t="s">
        <v>4179</v>
      </c>
      <c r="C26" s="257" t="s">
        <v>4167</v>
      </c>
      <c r="D26" s="257" t="s">
        <v>4160</v>
      </c>
      <c r="F26" s="257" t="s">
        <v>4210</v>
      </c>
      <c r="G26" s="257" t="s">
        <v>4179</v>
      </c>
      <c r="H26" s="257" t="s">
        <v>4206</v>
      </c>
      <c r="I26" s="257" t="s">
        <v>4202</v>
      </c>
    </row>
    <row r="27" spans="1:9" ht="15" x14ac:dyDescent="0.2">
      <c r="A27" s="257" t="s">
        <v>4174</v>
      </c>
      <c r="B27" s="257" t="s">
        <v>4180</v>
      </c>
      <c r="C27" s="257" t="s">
        <v>4169</v>
      </c>
      <c r="D27" s="257" t="s">
        <v>4155</v>
      </c>
      <c r="F27" s="257" t="s">
        <v>4210</v>
      </c>
      <c r="G27" s="257" t="s">
        <v>4180</v>
      </c>
      <c r="H27" s="257" t="s">
        <v>4207</v>
      </c>
      <c r="I27" s="257" t="s">
        <v>4204</v>
      </c>
    </row>
    <row r="28" spans="1:9" ht="15" x14ac:dyDescent="0.2">
      <c r="A28" s="257" t="s">
        <v>4174</v>
      </c>
      <c r="B28" s="257" t="s">
        <v>4181</v>
      </c>
      <c r="C28" s="257" t="s">
        <v>4166</v>
      </c>
      <c r="D28" s="257" t="s">
        <v>4155</v>
      </c>
      <c r="F28" s="257" t="s">
        <v>4210</v>
      </c>
      <c r="G28" s="257" t="s">
        <v>4181</v>
      </c>
      <c r="H28" s="257" t="s">
        <v>4205</v>
      </c>
      <c r="I28" s="257" t="s">
        <v>4204</v>
      </c>
    </row>
    <row r="29" spans="1:9" ht="15" x14ac:dyDescent="0.2">
      <c r="A29" s="257" t="s">
        <v>4174</v>
      </c>
      <c r="B29" s="257" t="s">
        <v>4182</v>
      </c>
      <c r="C29" s="257" t="s">
        <v>851</v>
      </c>
      <c r="D29" s="257" t="s">
        <v>4155</v>
      </c>
      <c r="F29" s="257" t="s">
        <v>4210</v>
      </c>
      <c r="G29" s="257" t="s">
        <v>4182</v>
      </c>
      <c r="H29" s="257" t="s">
        <v>4212</v>
      </c>
      <c r="I29" s="257" t="s">
        <v>4204</v>
      </c>
    </row>
    <row r="30" spans="1:9" ht="15" x14ac:dyDescent="0.2">
      <c r="A30" s="257" t="s">
        <v>4174</v>
      </c>
      <c r="B30" s="257" t="s">
        <v>4183</v>
      </c>
      <c r="C30" s="257" t="s">
        <v>851</v>
      </c>
      <c r="D30" s="257" t="s">
        <v>4155</v>
      </c>
      <c r="F30" s="257" t="s">
        <v>4210</v>
      </c>
      <c r="G30" s="257" t="s">
        <v>4183</v>
      </c>
      <c r="H30" s="257" t="s">
        <v>4212</v>
      </c>
      <c r="I30" s="257" t="s">
        <v>4204</v>
      </c>
    </row>
    <row r="31" spans="1:9" ht="15" x14ac:dyDescent="0.2">
      <c r="A31" s="257" t="s">
        <v>4174</v>
      </c>
      <c r="B31" s="257" t="s">
        <v>4184</v>
      </c>
      <c r="C31" s="257" t="s">
        <v>4185</v>
      </c>
      <c r="D31" s="257" t="s">
        <v>4155</v>
      </c>
      <c r="F31" s="257" t="s">
        <v>4210</v>
      </c>
      <c r="G31" s="257" t="s">
        <v>4184</v>
      </c>
      <c r="H31" s="257" t="s">
        <v>4213</v>
      </c>
      <c r="I31" s="257" t="s">
        <v>4204</v>
      </c>
    </row>
    <row r="32" spans="1:9" ht="15" x14ac:dyDescent="0.2">
      <c r="A32" s="257" t="s">
        <v>4174</v>
      </c>
      <c r="B32" s="257" t="s">
        <v>4186</v>
      </c>
      <c r="C32" s="257" t="s">
        <v>4169</v>
      </c>
      <c r="D32" s="257" t="s">
        <v>4160</v>
      </c>
      <c r="F32" s="257" t="s">
        <v>4210</v>
      </c>
      <c r="G32" s="257" t="s">
        <v>4186</v>
      </c>
      <c r="H32" s="257" t="s">
        <v>4207</v>
      </c>
      <c r="I32" s="257" t="s">
        <v>4202</v>
      </c>
    </row>
    <row r="33" spans="1:9" ht="15" x14ac:dyDescent="0.2">
      <c r="A33" s="257" t="s">
        <v>4174</v>
      </c>
      <c r="B33" s="257" t="s">
        <v>4170</v>
      </c>
      <c r="C33" s="257" t="s">
        <v>4171</v>
      </c>
      <c r="D33" s="257" t="s">
        <v>4160</v>
      </c>
      <c r="F33" s="257" t="s">
        <v>4210</v>
      </c>
      <c r="G33" s="257" t="s">
        <v>4170</v>
      </c>
      <c r="H33" s="257" t="s">
        <v>4208</v>
      </c>
      <c r="I33" s="257" t="s">
        <v>4202</v>
      </c>
    </row>
    <row r="34" spans="1:9" ht="15" x14ac:dyDescent="0.2">
      <c r="A34" s="257" t="s">
        <v>4174</v>
      </c>
      <c r="B34" s="257" t="s">
        <v>4187</v>
      </c>
      <c r="C34" s="257" t="s">
        <v>4154</v>
      </c>
      <c r="D34" s="257" t="s">
        <v>4160</v>
      </c>
      <c r="F34" s="257" t="s">
        <v>4210</v>
      </c>
      <c r="G34" s="257" t="s">
        <v>4187</v>
      </c>
      <c r="H34" s="257" t="s">
        <v>4197</v>
      </c>
      <c r="I34" s="257" t="s">
        <v>4202</v>
      </c>
    </row>
    <row r="35" spans="1:9" ht="15" x14ac:dyDescent="0.2">
      <c r="A35" s="257" t="s">
        <v>4174</v>
      </c>
      <c r="B35" s="257" t="s">
        <v>4188</v>
      </c>
      <c r="C35" s="257" t="s">
        <v>4189</v>
      </c>
      <c r="D35" s="257" t="s">
        <v>4160</v>
      </c>
      <c r="F35" s="257" t="s">
        <v>4210</v>
      </c>
      <c r="G35" s="257" t="s">
        <v>4188</v>
      </c>
      <c r="H35" s="257" t="s">
        <v>4214</v>
      </c>
      <c r="I35" s="257" t="s">
        <v>4202</v>
      </c>
    </row>
    <row r="36" spans="1:9" ht="15" x14ac:dyDescent="0.2">
      <c r="A36" s="257" t="s">
        <v>4174</v>
      </c>
      <c r="B36" s="257" t="s">
        <v>2870</v>
      </c>
      <c r="C36" s="257" t="s">
        <v>4190</v>
      </c>
      <c r="D36" s="257" t="s">
        <v>4160</v>
      </c>
      <c r="F36" s="257" t="s">
        <v>4210</v>
      </c>
      <c r="G36" s="257" t="s">
        <v>2870</v>
      </c>
      <c r="H36" s="257" t="s">
        <v>4215</v>
      </c>
      <c r="I36" s="257" t="s">
        <v>4202</v>
      </c>
    </row>
    <row r="37" spans="1:9" ht="15" x14ac:dyDescent="0.2">
      <c r="A37" s="257" t="s">
        <v>4174</v>
      </c>
      <c r="B37" s="257" t="s">
        <v>4263</v>
      </c>
      <c r="C37" s="257" t="s">
        <v>4264</v>
      </c>
      <c r="D37" s="257" t="s">
        <v>4160</v>
      </c>
      <c r="F37" s="257" t="s">
        <v>4210</v>
      </c>
      <c r="G37" s="257" t="s">
        <v>4263</v>
      </c>
      <c r="H37" s="257" t="s">
        <v>4265</v>
      </c>
      <c r="I37" s="257" t="s">
        <v>4202</v>
      </c>
    </row>
    <row r="38" spans="1:9" ht="15" x14ac:dyDescent="0.2">
      <c r="A38" s="257" t="s">
        <v>4174</v>
      </c>
      <c r="B38" s="257" t="s">
        <v>4259</v>
      </c>
      <c r="C38" s="257" t="s">
        <v>4171</v>
      </c>
      <c r="D38" s="257" t="s">
        <v>4160</v>
      </c>
      <c r="F38" s="257" t="s">
        <v>4210</v>
      </c>
      <c r="G38" s="257" t="s">
        <v>4259</v>
      </c>
      <c r="H38" s="257" t="s">
        <v>4208</v>
      </c>
      <c r="I38" s="257" t="s">
        <v>4202</v>
      </c>
    </row>
    <row r="39" spans="1:9" ht="15" x14ac:dyDescent="0.2">
      <c r="A39" s="257" t="s">
        <v>4174</v>
      </c>
      <c r="B39" s="257" t="s">
        <v>4260</v>
      </c>
      <c r="C39" s="257" t="s">
        <v>4262</v>
      </c>
      <c r="D39" s="257" t="s">
        <v>4160</v>
      </c>
      <c r="F39" s="257" t="s">
        <v>4210</v>
      </c>
      <c r="G39" s="257" t="s">
        <v>4260</v>
      </c>
      <c r="H39" s="257" t="s">
        <v>4261</v>
      </c>
      <c r="I39" s="257" t="s">
        <v>4202</v>
      </c>
    </row>
    <row r="40" spans="1:9" ht="15" x14ac:dyDescent="0.2">
      <c r="A40" s="257" t="s">
        <v>4174</v>
      </c>
      <c r="B40" s="257" t="s">
        <v>4252</v>
      </c>
      <c r="C40" s="257" t="s">
        <v>4253</v>
      </c>
      <c r="D40" s="257" t="s">
        <v>4155</v>
      </c>
      <c r="F40" s="257" t="s">
        <v>4210</v>
      </c>
      <c r="G40" s="257" t="s">
        <v>4252</v>
      </c>
      <c r="H40" s="257" t="s">
        <v>4254</v>
      </c>
      <c r="I40" s="257" t="s">
        <v>4204</v>
      </c>
    </row>
    <row r="41" spans="1:9" ht="15" x14ac:dyDescent="0.2">
      <c r="A41" s="257" t="s">
        <v>4174</v>
      </c>
      <c r="B41" s="257" t="s">
        <v>2251</v>
      </c>
      <c r="C41" s="257" t="s">
        <v>1076</v>
      </c>
      <c r="D41" s="257" t="s">
        <v>4250</v>
      </c>
      <c r="F41" s="257" t="s">
        <v>4210</v>
      </c>
      <c r="G41" s="257" t="s">
        <v>4216</v>
      </c>
      <c r="H41" s="257" t="s">
        <v>4217</v>
      </c>
      <c r="I41" s="257" t="s">
        <v>4198</v>
      </c>
    </row>
    <row r="42" spans="1:9" ht="15" x14ac:dyDescent="0.2">
      <c r="A42" s="257" t="s">
        <v>4174</v>
      </c>
      <c r="B42" s="257" t="s">
        <v>2301</v>
      </c>
      <c r="C42" s="257" t="s">
        <v>1076</v>
      </c>
      <c r="D42" s="257" t="s">
        <v>4250</v>
      </c>
      <c r="F42" s="257" t="s">
        <v>4210</v>
      </c>
      <c r="G42" s="257" t="s">
        <v>4218</v>
      </c>
      <c r="H42" s="257" t="s">
        <v>4217</v>
      </c>
      <c r="I42" s="257" t="s">
        <v>4198</v>
      </c>
    </row>
    <row r="43" spans="1:9" ht="15" x14ac:dyDescent="0.2">
      <c r="A43" s="257" t="s">
        <v>4174</v>
      </c>
      <c r="B43" s="257" t="s">
        <v>2586</v>
      </c>
      <c r="C43" s="257" t="s">
        <v>1076</v>
      </c>
      <c r="D43" s="257" t="s">
        <v>4250</v>
      </c>
      <c r="F43" s="257" t="s">
        <v>4210</v>
      </c>
      <c r="G43" s="257" t="s">
        <v>4219</v>
      </c>
      <c r="H43" s="257" t="s">
        <v>4217</v>
      </c>
      <c r="I43" s="257" t="s">
        <v>4198</v>
      </c>
    </row>
    <row r="44" spans="1:9" ht="15" x14ac:dyDescent="0.2">
      <c r="A44" s="257" t="s">
        <v>4174</v>
      </c>
      <c r="B44" s="257" t="s">
        <v>2214</v>
      </c>
      <c r="C44" s="257" t="s">
        <v>1076</v>
      </c>
      <c r="D44" s="257" t="s">
        <v>4250</v>
      </c>
      <c r="F44" s="257" t="s">
        <v>4210</v>
      </c>
      <c r="G44" s="257" t="s">
        <v>4220</v>
      </c>
      <c r="H44" s="257" t="s">
        <v>4217</v>
      </c>
      <c r="I44" s="257" t="s">
        <v>4198</v>
      </c>
    </row>
    <row r="45" spans="1:9" ht="15" x14ac:dyDescent="0.2">
      <c r="A45" s="257" t="s">
        <v>4174</v>
      </c>
      <c r="B45" s="257" t="s">
        <v>4191</v>
      </c>
      <c r="C45" s="257" t="s">
        <v>1076</v>
      </c>
      <c r="D45" s="257" t="s">
        <v>4250</v>
      </c>
      <c r="F45" s="257" t="s">
        <v>4210</v>
      </c>
      <c r="G45" s="257" t="s">
        <v>4221</v>
      </c>
      <c r="H45" s="257" t="s">
        <v>4217</v>
      </c>
      <c r="I45" s="257" t="s">
        <v>4198</v>
      </c>
    </row>
    <row r="46" spans="1:9" ht="15" x14ac:dyDescent="0.2">
      <c r="A46" s="257" t="s">
        <v>4174</v>
      </c>
      <c r="B46" s="257" t="s">
        <v>815</v>
      </c>
      <c r="C46" s="257" t="s">
        <v>492</v>
      </c>
      <c r="D46" s="257" t="s">
        <v>4250</v>
      </c>
      <c r="F46" s="257" t="s">
        <v>4210</v>
      </c>
      <c r="G46" s="257" t="s">
        <v>4222</v>
      </c>
      <c r="H46" s="257" t="s">
        <v>4223</v>
      </c>
      <c r="I46" s="257" t="s">
        <v>4198</v>
      </c>
    </row>
    <row r="47" spans="1:9" ht="15" x14ac:dyDescent="0.2">
      <c r="A47" s="257" t="s">
        <v>4174</v>
      </c>
      <c r="B47" s="257" t="s">
        <v>4192</v>
      </c>
      <c r="C47" s="257" t="s">
        <v>492</v>
      </c>
      <c r="D47" s="257" t="s">
        <v>4250</v>
      </c>
      <c r="F47" s="257" t="s">
        <v>4210</v>
      </c>
      <c r="G47" s="257" t="s">
        <v>4224</v>
      </c>
      <c r="H47" s="257" t="s">
        <v>4223</v>
      </c>
      <c r="I47" s="257" t="s">
        <v>4198</v>
      </c>
    </row>
    <row r="48" spans="1:9" ht="15" x14ac:dyDescent="0.2">
      <c r="A48" s="257" t="s">
        <v>4174</v>
      </c>
      <c r="B48" s="257" t="s">
        <v>4255</v>
      </c>
      <c r="C48" s="264" t="s">
        <v>4256</v>
      </c>
      <c r="D48" s="257" t="s">
        <v>4250</v>
      </c>
      <c r="F48" s="257" t="s">
        <v>4210</v>
      </c>
      <c r="G48" s="257" t="s">
        <v>4255</v>
      </c>
      <c r="H48" s="264" t="s">
        <v>4256</v>
      </c>
      <c r="I48" s="257" t="s">
        <v>4198</v>
      </c>
    </row>
    <row r="49" spans="1:9" ht="15" x14ac:dyDescent="0.2">
      <c r="A49" s="257" t="s">
        <v>4174</v>
      </c>
      <c r="B49" s="264" t="s">
        <v>4296</v>
      </c>
      <c r="C49" s="264" t="s">
        <v>4256</v>
      </c>
      <c r="D49" s="257" t="s">
        <v>4250</v>
      </c>
      <c r="F49" s="257" t="s">
        <v>4210</v>
      </c>
      <c r="G49" s="264" t="s">
        <v>4296</v>
      </c>
      <c r="H49" s="264" t="s">
        <v>4256</v>
      </c>
      <c r="I49" s="257" t="s">
        <v>4198</v>
      </c>
    </row>
    <row r="50" spans="1:9" ht="15" x14ac:dyDescent="0.2">
      <c r="G50" s="257"/>
    </row>
    <row r="51" spans="1:9" ht="15" x14ac:dyDescent="0.2">
      <c r="G51" s="257"/>
    </row>
    <row r="52" spans="1:9" ht="15" x14ac:dyDescent="0.2">
      <c r="G52" s="257"/>
    </row>
    <row r="53" spans="1:9" ht="15" x14ac:dyDescent="0.2">
      <c r="G53" s="257"/>
    </row>
    <row r="54" spans="1:9" ht="15" x14ac:dyDescent="0.2">
      <c r="G54" s="257"/>
    </row>
    <row r="55" spans="1:9" ht="15" x14ac:dyDescent="0.2">
      <c r="G55" s="257"/>
    </row>
    <row r="56" spans="1:9" ht="15" x14ac:dyDescent="0.2">
      <c r="G56" s="257"/>
    </row>
    <row r="57" spans="1:9" ht="15" x14ac:dyDescent="0.2">
      <c r="G57" s="257"/>
    </row>
    <row r="58" spans="1:9" ht="15" x14ac:dyDescent="0.2">
      <c r="G58" s="257"/>
    </row>
    <row r="59" spans="1:9" ht="15" x14ac:dyDescent="0.2">
      <c r="G59" s="257"/>
    </row>
    <row r="60" spans="1:9" ht="15" x14ac:dyDescent="0.2">
      <c r="G60" s="257"/>
    </row>
  </sheetData>
  <mergeCells count="2">
    <mergeCell ref="A1:D1"/>
    <mergeCell ref="F1:I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topLeftCell="A24" workbookViewId="0">
      <selection activeCell="F32" sqref="F32"/>
    </sheetView>
  </sheetViews>
  <sheetFormatPr defaultColWidth="8.7109375" defaultRowHeight="12.75" x14ac:dyDescent="0.2"/>
  <cols>
    <col min="1" max="1" width="6.85546875" style="43" bestFit="1" customWidth="1"/>
    <col min="2" max="2" width="25.28515625" style="6" customWidth="1"/>
    <col min="3" max="3" width="28.42578125" style="6" bestFit="1" customWidth="1"/>
    <col min="4" max="4" width="7.85546875" style="6" bestFit="1" customWidth="1"/>
    <col min="5" max="5" width="7" style="6" bestFit="1" customWidth="1"/>
    <col min="6" max="6" width="19.140625" style="6" bestFit="1" customWidth="1"/>
    <col min="7" max="7" width="42.140625" style="6" bestFit="1" customWidth="1"/>
    <col min="8" max="19" width="5.5703125" style="27" bestFit="1" customWidth="1"/>
    <col min="20" max="20" width="7" style="32" bestFit="1" customWidth="1"/>
    <col min="21" max="21" width="9.140625" style="27" bestFit="1" customWidth="1"/>
    <col min="22" max="22" width="14.5703125" style="6" bestFit="1" customWidth="1"/>
    <col min="258" max="258" width="31.140625" bestFit="1" customWidth="1"/>
    <col min="259" max="259" width="26.85546875" bestFit="1" customWidth="1"/>
    <col min="260" max="260" width="7.7109375" bestFit="1" customWidth="1"/>
    <col min="261" max="261" width="6.7109375" bestFit="1" customWidth="1"/>
    <col min="262" max="262" width="17.28515625" bestFit="1" customWidth="1"/>
    <col min="263" max="263" width="32.5703125" bestFit="1" customWidth="1"/>
    <col min="264" max="275" width="5.5703125" bestFit="1" customWidth="1"/>
    <col min="276" max="276" width="6.7109375" bestFit="1" customWidth="1"/>
    <col min="277" max="277" width="8.5703125" bestFit="1" customWidth="1"/>
    <col min="278" max="278" width="15" bestFit="1" customWidth="1"/>
    <col min="514" max="514" width="31.140625" bestFit="1" customWidth="1"/>
    <col min="515" max="515" width="26.85546875" bestFit="1" customWidth="1"/>
    <col min="516" max="516" width="7.7109375" bestFit="1" customWidth="1"/>
    <col min="517" max="517" width="6.7109375" bestFit="1" customWidth="1"/>
    <col min="518" max="518" width="17.28515625" bestFit="1" customWidth="1"/>
    <col min="519" max="519" width="32.5703125" bestFit="1" customWidth="1"/>
    <col min="520" max="531" width="5.5703125" bestFit="1" customWidth="1"/>
    <col min="532" max="532" width="6.7109375" bestFit="1" customWidth="1"/>
    <col min="533" max="533" width="8.5703125" bestFit="1" customWidth="1"/>
    <col min="534" max="534" width="15" bestFit="1" customWidth="1"/>
    <col min="770" max="770" width="31.140625" bestFit="1" customWidth="1"/>
    <col min="771" max="771" width="26.85546875" bestFit="1" customWidth="1"/>
    <col min="772" max="772" width="7.7109375" bestFit="1" customWidth="1"/>
    <col min="773" max="773" width="6.7109375" bestFit="1" customWidth="1"/>
    <col min="774" max="774" width="17.28515625" bestFit="1" customWidth="1"/>
    <col min="775" max="775" width="32.5703125" bestFit="1" customWidth="1"/>
    <col min="776" max="787" width="5.5703125" bestFit="1" customWidth="1"/>
    <col min="788" max="788" width="6.7109375" bestFit="1" customWidth="1"/>
    <col min="789" max="789" width="8.5703125" bestFit="1" customWidth="1"/>
    <col min="790" max="790" width="15" bestFit="1" customWidth="1"/>
    <col min="1026" max="1026" width="31.140625" bestFit="1" customWidth="1"/>
    <col min="1027" max="1027" width="26.85546875" bestFit="1" customWidth="1"/>
    <col min="1028" max="1028" width="7.7109375" bestFit="1" customWidth="1"/>
    <col min="1029" max="1029" width="6.7109375" bestFit="1" customWidth="1"/>
    <col min="1030" max="1030" width="17.28515625" bestFit="1" customWidth="1"/>
    <col min="1031" max="1031" width="32.5703125" bestFit="1" customWidth="1"/>
    <col min="1032" max="1043" width="5.5703125" bestFit="1" customWidth="1"/>
    <col min="1044" max="1044" width="6.7109375" bestFit="1" customWidth="1"/>
    <col min="1045" max="1045" width="8.5703125" bestFit="1" customWidth="1"/>
    <col min="1046" max="1046" width="15" bestFit="1" customWidth="1"/>
    <col min="1282" max="1282" width="31.140625" bestFit="1" customWidth="1"/>
    <col min="1283" max="1283" width="26.85546875" bestFit="1" customWidth="1"/>
    <col min="1284" max="1284" width="7.7109375" bestFit="1" customWidth="1"/>
    <col min="1285" max="1285" width="6.7109375" bestFit="1" customWidth="1"/>
    <col min="1286" max="1286" width="17.28515625" bestFit="1" customWidth="1"/>
    <col min="1287" max="1287" width="32.5703125" bestFit="1" customWidth="1"/>
    <col min="1288" max="1299" width="5.5703125" bestFit="1" customWidth="1"/>
    <col min="1300" max="1300" width="6.7109375" bestFit="1" customWidth="1"/>
    <col min="1301" max="1301" width="8.5703125" bestFit="1" customWidth="1"/>
    <col min="1302" max="1302" width="15" bestFit="1" customWidth="1"/>
    <col min="1538" max="1538" width="31.140625" bestFit="1" customWidth="1"/>
    <col min="1539" max="1539" width="26.85546875" bestFit="1" customWidth="1"/>
    <col min="1540" max="1540" width="7.7109375" bestFit="1" customWidth="1"/>
    <col min="1541" max="1541" width="6.7109375" bestFit="1" customWidth="1"/>
    <col min="1542" max="1542" width="17.28515625" bestFit="1" customWidth="1"/>
    <col min="1543" max="1543" width="32.5703125" bestFit="1" customWidth="1"/>
    <col min="1544" max="1555" width="5.5703125" bestFit="1" customWidth="1"/>
    <col min="1556" max="1556" width="6.7109375" bestFit="1" customWidth="1"/>
    <col min="1557" max="1557" width="8.5703125" bestFit="1" customWidth="1"/>
    <col min="1558" max="1558" width="15" bestFit="1" customWidth="1"/>
    <col min="1794" max="1794" width="31.140625" bestFit="1" customWidth="1"/>
    <col min="1795" max="1795" width="26.85546875" bestFit="1" customWidth="1"/>
    <col min="1796" max="1796" width="7.7109375" bestFit="1" customWidth="1"/>
    <col min="1797" max="1797" width="6.7109375" bestFit="1" customWidth="1"/>
    <col min="1798" max="1798" width="17.28515625" bestFit="1" customWidth="1"/>
    <col min="1799" max="1799" width="32.5703125" bestFit="1" customWidth="1"/>
    <col min="1800" max="1811" width="5.5703125" bestFit="1" customWidth="1"/>
    <col min="1812" max="1812" width="6.7109375" bestFit="1" customWidth="1"/>
    <col min="1813" max="1813" width="8.5703125" bestFit="1" customWidth="1"/>
    <col min="1814" max="1814" width="15" bestFit="1" customWidth="1"/>
    <col min="2050" max="2050" width="31.140625" bestFit="1" customWidth="1"/>
    <col min="2051" max="2051" width="26.85546875" bestFit="1" customWidth="1"/>
    <col min="2052" max="2052" width="7.7109375" bestFit="1" customWidth="1"/>
    <col min="2053" max="2053" width="6.7109375" bestFit="1" customWidth="1"/>
    <col min="2054" max="2054" width="17.28515625" bestFit="1" customWidth="1"/>
    <col min="2055" max="2055" width="32.5703125" bestFit="1" customWidth="1"/>
    <col min="2056" max="2067" width="5.5703125" bestFit="1" customWidth="1"/>
    <col min="2068" max="2068" width="6.7109375" bestFit="1" customWidth="1"/>
    <col min="2069" max="2069" width="8.5703125" bestFit="1" customWidth="1"/>
    <col min="2070" max="2070" width="15" bestFit="1" customWidth="1"/>
    <col min="2306" max="2306" width="31.140625" bestFit="1" customWidth="1"/>
    <col min="2307" max="2307" width="26.85546875" bestFit="1" customWidth="1"/>
    <col min="2308" max="2308" width="7.7109375" bestFit="1" customWidth="1"/>
    <col min="2309" max="2309" width="6.7109375" bestFit="1" customWidth="1"/>
    <col min="2310" max="2310" width="17.28515625" bestFit="1" customWidth="1"/>
    <col min="2311" max="2311" width="32.5703125" bestFit="1" customWidth="1"/>
    <col min="2312" max="2323" width="5.5703125" bestFit="1" customWidth="1"/>
    <col min="2324" max="2324" width="6.7109375" bestFit="1" customWidth="1"/>
    <col min="2325" max="2325" width="8.5703125" bestFit="1" customWidth="1"/>
    <col min="2326" max="2326" width="15" bestFit="1" customWidth="1"/>
    <col min="2562" max="2562" width="31.140625" bestFit="1" customWidth="1"/>
    <col min="2563" max="2563" width="26.85546875" bestFit="1" customWidth="1"/>
    <col min="2564" max="2564" width="7.7109375" bestFit="1" customWidth="1"/>
    <col min="2565" max="2565" width="6.7109375" bestFit="1" customWidth="1"/>
    <col min="2566" max="2566" width="17.28515625" bestFit="1" customWidth="1"/>
    <col min="2567" max="2567" width="32.5703125" bestFit="1" customWidth="1"/>
    <col min="2568" max="2579" width="5.5703125" bestFit="1" customWidth="1"/>
    <col min="2580" max="2580" width="6.7109375" bestFit="1" customWidth="1"/>
    <col min="2581" max="2581" width="8.5703125" bestFit="1" customWidth="1"/>
    <col min="2582" max="2582" width="15" bestFit="1" customWidth="1"/>
    <col min="2818" max="2818" width="31.140625" bestFit="1" customWidth="1"/>
    <col min="2819" max="2819" width="26.85546875" bestFit="1" customWidth="1"/>
    <col min="2820" max="2820" width="7.7109375" bestFit="1" customWidth="1"/>
    <col min="2821" max="2821" width="6.7109375" bestFit="1" customWidth="1"/>
    <col min="2822" max="2822" width="17.28515625" bestFit="1" customWidth="1"/>
    <col min="2823" max="2823" width="32.5703125" bestFit="1" customWidth="1"/>
    <col min="2824" max="2835" width="5.5703125" bestFit="1" customWidth="1"/>
    <col min="2836" max="2836" width="6.7109375" bestFit="1" customWidth="1"/>
    <col min="2837" max="2837" width="8.5703125" bestFit="1" customWidth="1"/>
    <col min="2838" max="2838" width="15" bestFit="1" customWidth="1"/>
    <col min="3074" max="3074" width="31.140625" bestFit="1" customWidth="1"/>
    <col min="3075" max="3075" width="26.85546875" bestFit="1" customWidth="1"/>
    <col min="3076" max="3076" width="7.7109375" bestFit="1" customWidth="1"/>
    <col min="3077" max="3077" width="6.7109375" bestFit="1" customWidth="1"/>
    <col min="3078" max="3078" width="17.28515625" bestFit="1" customWidth="1"/>
    <col min="3079" max="3079" width="32.5703125" bestFit="1" customWidth="1"/>
    <col min="3080" max="3091" width="5.5703125" bestFit="1" customWidth="1"/>
    <col min="3092" max="3092" width="6.7109375" bestFit="1" customWidth="1"/>
    <col min="3093" max="3093" width="8.5703125" bestFit="1" customWidth="1"/>
    <col min="3094" max="3094" width="15" bestFit="1" customWidth="1"/>
    <col min="3330" max="3330" width="31.140625" bestFit="1" customWidth="1"/>
    <col min="3331" max="3331" width="26.85546875" bestFit="1" customWidth="1"/>
    <col min="3332" max="3332" width="7.7109375" bestFit="1" customWidth="1"/>
    <col min="3333" max="3333" width="6.7109375" bestFit="1" customWidth="1"/>
    <col min="3334" max="3334" width="17.28515625" bestFit="1" customWidth="1"/>
    <col min="3335" max="3335" width="32.5703125" bestFit="1" customWidth="1"/>
    <col min="3336" max="3347" width="5.5703125" bestFit="1" customWidth="1"/>
    <col min="3348" max="3348" width="6.7109375" bestFit="1" customWidth="1"/>
    <col min="3349" max="3349" width="8.5703125" bestFit="1" customWidth="1"/>
    <col min="3350" max="3350" width="15" bestFit="1" customWidth="1"/>
    <col min="3586" max="3586" width="31.140625" bestFit="1" customWidth="1"/>
    <col min="3587" max="3587" width="26.85546875" bestFit="1" customWidth="1"/>
    <col min="3588" max="3588" width="7.7109375" bestFit="1" customWidth="1"/>
    <col min="3589" max="3589" width="6.7109375" bestFit="1" customWidth="1"/>
    <col min="3590" max="3590" width="17.28515625" bestFit="1" customWidth="1"/>
    <col min="3591" max="3591" width="32.5703125" bestFit="1" customWidth="1"/>
    <col min="3592" max="3603" width="5.5703125" bestFit="1" customWidth="1"/>
    <col min="3604" max="3604" width="6.7109375" bestFit="1" customWidth="1"/>
    <col min="3605" max="3605" width="8.5703125" bestFit="1" customWidth="1"/>
    <col min="3606" max="3606" width="15" bestFit="1" customWidth="1"/>
    <col min="3842" max="3842" width="31.140625" bestFit="1" customWidth="1"/>
    <col min="3843" max="3843" width="26.85546875" bestFit="1" customWidth="1"/>
    <col min="3844" max="3844" width="7.7109375" bestFit="1" customWidth="1"/>
    <col min="3845" max="3845" width="6.7109375" bestFit="1" customWidth="1"/>
    <col min="3846" max="3846" width="17.28515625" bestFit="1" customWidth="1"/>
    <col min="3847" max="3847" width="32.5703125" bestFit="1" customWidth="1"/>
    <col min="3848" max="3859" width="5.5703125" bestFit="1" customWidth="1"/>
    <col min="3860" max="3860" width="6.7109375" bestFit="1" customWidth="1"/>
    <col min="3861" max="3861" width="8.5703125" bestFit="1" customWidth="1"/>
    <col min="3862" max="3862" width="15" bestFit="1" customWidth="1"/>
    <col min="4098" max="4098" width="31.140625" bestFit="1" customWidth="1"/>
    <col min="4099" max="4099" width="26.85546875" bestFit="1" customWidth="1"/>
    <col min="4100" max="4100" width="7.7109375" bestFit="1" customWidth="1"/>
    <col min="4101" max="4101" width="6.7109375" bestFit="1" customWidth="1"/>
    <col min="4102" max="4102" width="17.28515625" bestFit="1" customWidth="1"/>
    <col min="4103" max="4103" width="32.5703125" bestFit="1" customWidth="1"/>
    <col min="4104" max="4115" width="5.5703125" bestFit="1" customWidth="1"/>
    <col min="4116" max="4116" width="6.7109375" bestFit="1" customWidth="1"/>
    <col min="4117" max="4117" width="8.5703125" bestFit="1" customWidth="1"/>
    <col min="4118" max="4118" width="15" bestFit="1" customWidth="1"/>
    <col min="4354" max="4354" width="31.140625" bestFit="1" customWidth="1"/>
    <col min="4355" max="4355" width="26.85546875" bestFit="1" customWidth="1"/>
    <col min="4356" max="4356" width="7.7109375" bestFit="1" customWidth="1"/>
    <col min="4357" max="4357" width="6.7109375" bestFit="1" customWidth="1"/>
    <col min="4358" max="4358" width="17.28515625" bestFit="1" customWidth="1"/>
    <col min="4359" max="4359" width="32.5703125" bestFit="1" customWidth="1"/>
    <col min="4360" max="4371" width="5.5703125" bestFit="1" customWidth="1"/>
    <col min="4372" max="4372" width="6.7109375" bestFit="1" customWidth="1"/>
    <col min="4373" max="4373" width="8.5703125" bestFit="1" customWidth="1"/>
    <col min="4374" max="4374" width="15" bestFit="1" customWidth="1"/>
    <col min="4610" max="4610" width="31.140625" bestFit="1" customWidth="1"/>
    <col min="4611" max="4611" width="26.85546875" bestFit="1" customWidth="1"/>
    <col min="4612" max="4612" width="7.7109375" bestFit="1" customWidth="1"/>
    <col min="4613" max="4613" width="6.7109375" bestFit="1" customWidth="1"/>
    <col min="4614" max="4614" width="17.28515625" bestFit="1" customWidth="1"/>
    <col min="4615" max="4615" width="32.5703125" bestFit="1" customWidth="1"/>
    <col min="4616" max="4627" width="5.5703125" bestFit="1" customWidth="1"/>
    <col min="4628" max="4628" width="6.7109375" bestFit="1" customWidth="1"/>
    <col min="4629" max="4629" width="8.5703125" bestFit="1" customWidth="1"/>
    <col min="4630" max="4630" width="15" bestFit="1" customWidth="1"/>
    <col min="4866" max="4866" width="31.140625" bestFit="1" customWidth="1"/>
    <col min="4867" max="4867" width="26.85546875" bestFit="1" customWidth="1"/>
    <col min="4868" max="4868" width="7.7109375" bestFit="1" customWidth="1"/>
    <col min="4869" max="4869" width="6.7109375" bestFit="1" customWidth="1"/>
    <col min="4870" max="4870" width="17.28515625" bestFit="1" customWidth="1"/>
    <col min="4871" max="4871" width="32.5703125" bestFit="1" customWidth="1"/>
    <col min="4872" max="4883" width="5.5703125" bestFit="1" customWidth="1"/>
    <col min="4884" max="4884" width="6.7109375" bestFit="1" customWidth="1"/>
    <col min="4885" max="4885" width="8.5703125" bestFit="1" customWidth="1"/>
    <col min="4886" max="4886" width="15" bestFit="1" customWidth="1"/>
    <col min="5122" max="5122" width="31.140625" bestFit="1" customWidth="1"/>
    <col min="5123" max="5123" width="26.85546875" bestFit="1" customWidth="1"/>
    <col min="5124" max="5124" width="7.7109375" bestFit="1" customWidth="1"/>
    <col min="5125" max="5125" width="6.7109375" bestFit="1" customWidth="1"/>
    <col min="5126" max="5126" width="17.28515625" bestFit="1" customWidth="1"/>
    <col min="5127" max="5127" width="32.5703125" bestFit="1" customWidth="1"/>
    <col min="5128" max="5139" width="5.5703125" bestFit="1" customWidth="1"/>
    <col min="5140" max="5140" width="6.7109375" bestFit="1" customWidth="1"/>
    <col min="5141" max="5141" width="8.5703125" bestFit="1" customWidth="1"/>
    <col min="5142" max="5142" width="15" bestFit="1" customWidth="1"/>
    <col min="5378" max="5378" width="31.140625" bestFit="1" customWidth="1"/>
    <col min="5379" max="5379" width="26.85546875" bestFit="1" customWidth="1"/>
    <col min="5380" max="5380" width="7.7109375" bestFit="1" customWidth="1"/>
    <col min="5381" max="5381" width="6.7109375" bestFit="1" customWidth="1"/>
    <col min="5382" max="5382" width="17.28515625" bestFit="1" customWidth="1"/>
    <col min="5383" max="5383" width="32.5703125" bestFit="1" customWidth="1"/>
    <col min="5384" max="5395" width="5.5703125" bestFit="1" customWidth="1"/>
    <col min="5396" max="5396" width="6.7109375" bestFit="1" customWidth="1"/>
    <col min="5397" max="5397" width="8.5703125" bestFit="1" customWidth="1"/>
    <col min="5398" max="5398" width="15" bestFit="1" customWidth="1"/>
    <col min="5634" max="5634" width="31.140625" bestFit="1" customWidth="1"/>
    <col min="5635" max="5635" width="26.85546875" bestFit="1" customWidth="1"/>
    <col min="5636" max="5636" width="7.7109375" bestFit="1" customWidth="1"/>
    <col min="5637" max="5637" width="6.7109375" bestFit="1" customWidth="1"/>
    <col min="5638" max="5638" width="17.28515625" bestFit="1" customWidth="1"/>
    <col min="5639" max="5639" width="32.5703125" bestFit="1" customWidth="1"/>
    <col min="5640" max="5651" width="5.5703125" bestFit="1" customWidth="1"/>
    <col min="5652" max="5652" width="6.7109375" bestFit="1" customWidth="1"/>
    <col min="5653" max="5653" width="8.5703125" bestFit="1" customWidth="1"/>
    <col min="5654" max="5654" width="15" bestFit="1" customWidth="1"/>
    <col min="5890" max="5890" width="31.140625" bestFit="1" customWidth="1"/>
    <col min="5891" max="5891" width="26.85546875" bestFit="1" customWidth="1"/>
    <col min="5892" max="5892" width="7.7109375" bestFit="1" customWidth="1"/>
    <col min="5893" max="5893" width="6.7109375" bestFit="1" customWidth="1"/>
    <col min="5894" max="5894" width="17.28515625" bestFit="1" customWidth="1"/>
    <col min="5895" max="5895" width="32.5703125" bestFit="1" customWidth="1"/>
    <col min="5896" max="5907" width="5.5703125" bestFit="1" customWidth="1"/>
    <col min="5908" max="5908" width="6.7109375" bestFit="1" customWidth="1"/>
    <col min="5909" max="5909" width="8.5703125" bestFit="1" customWidth="1"/>
    <col min="5910" max="5910" width="15" bestFit="1" customWidth="1"/>
    <col min="6146" max="6146" width="31.140625" bestFit="1" customWidth="1"/>
    <col min="6147" max="6147" width="26.85546875" bestFit="1" customWidth="1"/>
    <col min="6148" max="6148" width="7.7109375" bestFit="1" customWidth="1"/>
    <col min="6149" max="6149" width="6.7109375" bestFit="1" customWidth="1"/>
    <col min="6150" max="6150" width="17.28515625" bestFit="1" customWidth="1"/>
    <col min="6151" max="6151" width="32.5703125" bestFit="1" customWidth="1"/>
    <col min="6152" max="6163" width="5.5703125" bestFit="1" customWidth="1"/>
    <col min="6164" max="6164" width="6.7109375" bestFit="1" customWidth="1"/>
    <col min="6165" max="6165" width="8.5703125" bestFit="1" customWidth="1"/>
    <col min="6166" max="6166" width="15" bestFit="1" customWidth="1"/>
    <col min="6402" max="6402" width="31.140625" bestFit="1" customWidth="1"/>
    <col min="6403" max="6403" width="26.85546875" bestFit="1" customWidth="1"/>
    <col min="6404" max="6404" width="7.7109375" bestFit="1" customWidth="1"/>
    <col min="6405" max="6405" width="6.7109375" bestFit="1" customWidth="1"/>
    <col min="6406" max="6406" width="17.28515625" bestFit="1" customWidth="1"/>
    <col min="6407" max="6407" width="32.5703125" bestFit="1" customWidth="1"/>
    <col min="6408" max="6419" width="5.5703125" bestFit="1" customWidth="1"/>
    <col min="6420" max="6420" width="6.7109375" bestFit="1" customWidth="1"/>
    <col min="6421" max="6421" width="8.5703125" bestFit="1" customWidth="1"/>
    <col min="6422" max="6422" width="15" bestFit="1" customWidth="1"/>
    <col min="6658" max="6658" width="31.140625" bestFit="1" customWidth="1"/>
    <col min="6659" max="6659" width="26.85546875" bestFit="1" customWidth="1"/>
    <col min="6660" max="6660" width="7.7109375" bestFit="1" customWidth="1"/>
    <col min="6661" max="6661" width="6.7109375" bestFit="1" customWidth="1"/>
    <col min="6662" max="6662" width="17.28515625" bestFit="1" customWidth="1"/>
    <col min="6663" max="6663" width="32.5703125" bestFit="1" customWidth="1"/>
    <col min="6664" max="6675" width="5.5703125" bestFit="1" customWidth="1"/>
    <col min="6676" max="6676" width="6.7109375" bestFit="1" customWidth="1"/>
    <col min="6677" max="6677" width="8.5703125" bestFit="1" customWidth="1"/>
    <col min="6678" max="6678" width="15" bestFit="1" customWidth="1"/>
    <col min="6914" max="6914" width="31.140625" bestFit="1" customWidth="1"/>
    <col min="6915" max="6915" width="26.85546875" bestFit="1" customWidth="1"/>
    <col min="6916" max="6916" width="7.7109375" bestFit="1" customWidth="1"/>
    <col min="6917" max="6917" width="6.7109375" bestFit="1" customWidth="1"/>
    <col min="6918" max="6918" width="17.28515625" bestFit="1" customWidth="1"/>
    <col min="6919" max="6919" width="32.5703125" bestFit="1" customWidth="1"/>
    <col min="6920" max="6931" width="5.5703125" bestFit="1" customWidth="1"/>
    <col min="6932" max="6932" width="6.7109375" bestFit="1" customWidth="1"/>
    <col min="6933" max="6933" width="8.5703125" bestFit="1" customWidth="1"/>
    <col min="6934" max="6934" width="15" bestFit="1" customWidth="1"/>
    <col min="7170" max="7170" width="31.140625" bestFit="1" customWidth="1"/>
    <col min="7171" max="7171" width="26.85546875" bestFit="1" customWidth="1"/>
    <col min="7172" max="7172" width="7.7109375" bestFit="1" customWidth="1"/>
    <col min="7173" max="7173" width="6.7109375" bestFit="1" customWidth="1"/>
    <col min="7174" max="7174" width="17.28515625" bestFit="1" customWidth="1"/>
    <col min="7175" max="7175" width="32.5703125" bestFit="1" customWidth="1"/>
    <col min="7176" max="7187" width="5.5703125" bestFit="1" customWidth="1"/>
    <col min="7188" max="7188" width="6.7109375" bestFit="1" customWidth="1"/>
    <col min="7189" max="7189" width="8.5703125" bestFit="1" customWidth="1"/>
    <col min="7190" max="7190" width="15" bestFit="1" customWidth="1"/>
    <col min="7426" max="7426" width="31.140625" bestFit="1" customWidth="1"/>
    <col min="7427" max="7427" width="26.85546875" bestFit="1" customWidth="1"/>
    <col min="7428" max="7428" width="7.7109375" bestFit="1" customWidth="1"/>
    <col min="7429" max="7429" width="6.7109375" bestFit="1" customWidth="1"/>
    <col min="7430" max="7430" width="17.28515625" bestFit="1" customWidth="1"/>
    <col min="7431" max="7431" width="32.5703125" bestFit="1" customWidth="1"/>
    <col min="7432" max="7443" width="5.5703125" bestFit="1" customWidth="1"/>
    <col min="7444" max="7444" width="6.7109375" bestFit="1" customWidth="1"/>
    <col min="7445" max="7445" width="8.5703125" bestFit="1" customWidth="1"/>
    <col min="7446" max="7446" width="15" bestFit="1" customWidth="1"/>
    <col min="7682" max="7682" width="31.140625" bestFit="1" customWidth="1"/>
    <col min="7683" max="7683" width="26.85546875" bestFit="1" customWidth="1"/>
    <col min="7684" max="7684" width="7.7109375" bestFit="1" customWidth="1"/>
    <col min="7685" max="7685" width="6.7109375" bestFit="1" customWidth="1"/>
    <col min="7686" max="7686" width="17.28515625" bestFit="1" customWidth="1"/>
    <col min="7687" max="7687" width="32.5703125" bestFit="1" customWidth="1"/>
    <col min="7688" max="7699" width="5.5703125" bestFit="1" customWidth="1"/>
    <col min="7700" max="7700" width="6.7109375" bestFit="1" customWidth="1"/>
    <col min="7701" max="7701" width="8.5703125" bestFit="1" customWidth="1"/>
    <col min="7702" max="7702" width="15" bestFit="1" customWidth="1"/>
    <col min="7938" max="7938" width="31.140625" bestFit="1" customWidth="1"/>
    <col min="7939" max="7939" width="26.85546875" bestFit="1" customWidth="1"/>
    <col min="7940" max="7940" width="7.7109375" bestFit="1" customWidth="1"/>
    <col min="7941" max="7941" width="6.7109375" bestFit="1" customWidth="1"/>
    <col min="7942" max="7942" width="17.28515625" bestFit="1" customWidth="1"/>
    <col min="7943" max="7943" width="32.5703125" bestFit="1" customWidth="1"/>
    <col min="7944" max="7955" width="5.5703125" bestFit="1" customWidth="1"/>
    <col min="7956" max="7956" width="6.7109375" bestFit="1" customWidth="1"/>
    <col min="7957" max="7957" width="8.5703125" bestFit="1" customWidth="1"/>
    <col min="7958" max="7958" width="15" bestFit="1" customWidth="1"/>
    <col min="8194" max="8194" width="31.140625" bestFit="1" customWidth="1"/>
    <col min="8195" max="8195" width="26.85546875" bestFit="1" customWidth="1"/>
    <col min="8196" max="8196" width="7.7109375" bestFit="1" customWidth="1"/>
    <col min="8197" max="8197" width="6.7109375" bestFit="1" customWidth="1"/>
    <col min="8198" max="8198" width="17.28515625" bestFit="1" customWidth="1"/>
    <col min="8199" max="8199" width="32.5703125" bestFit="1" customWidth="1"/>
    <col min="8200" max="8211" width="5.5703125" bestFit="1" customWidth="1"/>
    <col min="8212" max="8212" width="6.7109375" bestFit="1" customWidth="1"/>
    <col min="8213" max="8213" width="8.5703125" bestFit="1" customWidth="1"/>
    <col min="8214" max="8214" width="15" bestFit="1" customWidth="1"/>
    <col min="8450" max="8450" width="31.140625" bestFit="1" customWidth="1"/>
    <col min="8451" max="8451" width="26.85546875" bestFit="1" customWidth="1"/>
    <col min="8452" max="8452" width="7.7109375" bestFit="1" customWidth="1"/>
    <col min="8453" max="8453" width="6.7109375" bestFit="1" customWidth="1"/>
    <col min="8454" max="8454" width="17.28515625" bestFit="1" customWidth="1"/>
    <col min="8455" max="8455" width="32.5703125" bestFit="1" customWidth="1"/>
    <col min="8456" max="8467" width="5.5703125" bestFit="1" customWidth="1"/>
    <col min="8468" max="8468" width="6.7109375" bestFit="1" customWidth="1"/>
    <col min="8469" max="8469" width="8.5703125" bestFit="1" customWidth="1"/>
    <col min="8470" max="8470" width="15" bestFit="1" customWidth="1"/>
    <col min="8706" max="8706" width="31.140625" bestFit="1" customWidth="1"/>
    <col min="8707" max="8707" width="26.85546875" bestFit="1" customWidth="1"/>
    <col min="8708" max="8708" width="7.7109375" bestFit="1" customWidth="1"/>
    <col min="8709" max="8709" width="6.7109375" bestFit="1" customWidth="1"/>
    <col min="8710" max="8710" width="17.28515625" bestFit="1" customWidth="1"/>
    <col min="8711" max="8711" width="32.5703125" bestFit="1" customWidth="1"/>
    <col min="8712" max="8723" width="5.5703125" bestFit="1" customWidth="1"/>
    <col min="8724" max="8724" width="6.7109375" bestFit="1" customWidth="1"/>
    <col min="8725" max="8725" width="8.5703125" bestFit="1" customWidth="1"/>
    <col min="8726" max="8726" width="15" bestFit="1" customWidth="1"/>
    <col min="8962" max="8962" width="31.140625" bestFit="1" customWidth="1"/>
    <col min="8963" max="8963" width="26.85546875" bestFit="1" customWidth="1"/>
    <col min="8964" max="8964" width="7.7109375" bestFit="1" customWidth="1"/>
    <col min="8965" max="8965" width="6.7109375" bestFit="1" customWidth="1"/>
    <col min="8966" max="8966" width="17.28515625" bestFit="1" customWidth="1"/>
    <col min="8967" max="8967" width="32.5703125" bestFit="1" customWidth="1"/>
    <col min="8968" max="8979" width="5.5703125" bestFit="1" customWidth="1"/>
    <col min="8980" max="8980" width="6.7109375" bestFit="1" customWidth="1"/>
    <col min="8981" max="8981" width="8.5703125" bestFit="1" customWidth="1"/>
    <col min="8982" max="8982" width="15" bestFit="1" customWidth="1"/>
    <col min="9218" max="9218" width="31.140625" bestFit="1" customWidth="1"/>
    <col min="9219" max="9219" width="26.85546875" bestFit="1" customWidth="1"/>
    <col min="9220" max="9220" width="7.7109375" bestFit="1" customWidth="1"/>
    <col min="9221" max="9221" width="6.7109375" bestFit="1" customWidth="1"/>
    <col min="9222" max="9222" width="17.28515625" bestFit="1" customWidth="1"/>
    <col min="9223" max="9223" width="32.5703125" bestFit="1" customWidth="1"/>
    <col min="9224" max="9235" width="5.5703125" bestFit="1" customWidth="1"/>
    <col min="9236" max="9236" width="6.7109375" bestFit="1" customWidth="1"/>
    <col min="9237" max="9237" width="8.5703125" bestFit="1" customWidth="1"/>
    <col min="9238" max="9238" width="15" bestFit="1" customWidth="1"/>
    <col min="9474" max="9474" width="31.140625" bestFit="1" customWidth="1"/>
    <col min="9475" max="9475" width="26.85546875" bestFit="1" customWidth="1"/>
    <col min="9476" max="9476" width="7.7109375" bestFit="1" customWidth="1"/>
    <col min="9477" max="9477" width="6.7109375" bestFit="1" customWidth="1"/>
    <col min="9478" max="9478" width="17.28515625" bestFit="1" customWidth="1"/>
    <col min="9479" max="9479" width="32.5703125" bestFit="1" customWidth="1"/>
    <col min="9480" max="9491" width="5.5703125" bestFit="1" customWidth="1"/>
    <col min="9492" max="9492" width="6.7109375" bestFit="1" customWidth="1"/>
    <col min="9493" max="9493" width="8.5703125" bestFit="1" customWidth="1"/>
    <col min="9494" max="9494" width="15" bestFit="1" customWidth="1"/>
    <col min="9730" max="9730" width="31.140625" bestFit="1" customWidth="1"/>
    <col min="9731" max="9731" width="26.85546875" bestFit="1" customWidth="1"/>
    <col min="9732" max="9732" width="7.7109375" bestFit="1" customWidth="1"/>
    <col min="9733" max="9733" width="6.7109375" bestFit="1" customWidth="1"/>
    <col min="9734" max="9734" width="17.28515625" bestFit="1" customWidth="1"/>
    <col min="9735" max="9735" width="32.5703125" bestFit="1" customWidth="1"/>
    <col min="9736" max="9747" width="5.5703125" bestFit="1" customWidth="1"/>
    <col min="9748" max="9748" width="6.7109375" bestFit="1" customWidth="1"/>
    <col min="9749" max="9749" width="8.5703125" bestFit="1" customWidth="1"/>
    <col min="9750" max="9750" width="15" bestFit="1" customWidth="1"/>
    <col min="9986" max="9986" width="31.140625" bestFit="1" customWidth="1"/>
    <col min="9987" max="9987" width="26.85546875" bestFit="1" customWidth="1"/>
    <col min="9988" max="9988" width="7.7109375" bestFit="1" customWidth="1"/>
    <col min="9989" max="9989" width="6.7109375" bestFit="1" customWidth="1"/>
    <col min="9990" max="9990" width="17.28515625" bestFit="1" customWidth="1"/>
    <col min="9991" max="9991" width="32.5703125" bestFit="1" customWidth="1"/>
    <col min="9992" max="10003" width="5.5703125" bestFit="1" customWidth="1"/>
    <col min="10004" max="10004" width="6.7109375" bestFit="1" customWidth="1"/>
    <col min="10005" max="10005" width="8.5703125" bestFit="1" customWidth="1"/>
    <col min="10006" max="10006" width="15" bestFit="1" customWidth="1"/>
    <col min="10242" max="10242" width="31.140625" bestFit="1" customWidth="1"/>
    <col min="10243" max="10243" width="26.85546875" bestFit="1" customWidth="1"/>
    <col min="10244" max="10244" width="7.7109375" bestFit="1" customWidth="1"/>
    <col min="10245" max="10245" width="6.7109375" bestFit="1" customWidth="1"/>
    <col min="10246" max="10246" width="17.28515625" bestFit="1" customWidth="1"/>
    <col min="10247" max="10247" width="32.5703125" bestFit="1" customWidth="1"/>
    <col min="10248" max="10259" width="5.5703125" bestFit="1" customWidth="1"/>
    <col min="10260" max="10260" width="6.7109375" bestFit="1" customWidth="1"/>
    <col min="10261" max="10261" width="8.5703125" bestFit="1" customWidth="1"/>
    <col min="10262" max="10262" width="15" bestFit="1" customWidth="1"/>
    <col min="10498" max="10498" width="31.140625" bestFit="1" customWidth="1"/>
    <col min="10499" max="10499" width="26.85546875" bestFit="1" customWidth="1"/>
    <col min="10500" max="10500" width="7.7109375" bestFit="1" customWidth="1"/>
    <col min="10501" max="10501" width="6.7109375" bestFit="1" customWidth="1"/>
    <col min="10502" max="10502" width="17.28515625" bestFit="1" customWidth="1"/>
    <col min="10503" max="10503" width="32.5703125" bestFit="1" customWidth="1"/>
    <col min="10504" max="10515" width="5.5703125" bestFit="1" customWidth="1"/>
    <col min="10516" max="10516" width="6.7109375" bestFit="1" customWidth="1"/>
    <col min="10517" max="10517" width="8.5703125" bestFit="1" customWidth="1"/>
    <col min="10518" max="10518" width="15" bestFit="1" customWidth="1"/>
    <col min="10754" max="10754" width="31.140625" bestFit="1" customWidth="1"/>
    <col min="10755" max="10755" width="26.85546875" bestFit="1" customWidth="1"/>
    <col min="10756" max="10756" width="7.7109375" bestFit="1" customWidth="1"/>
    <col min="10757" max="10757" width="6.7109375" bestFit="1" customWidth="1"/>
    <col min="10758" max="10758" width="17.28515625" bestFit="1" customWidth="1"/>
    <col min="10759" max="10759" width="32.5703125" bestFit="1" customWidth="1"/>
    <col min="10760" max="10771" width="5.5703125" bestFit="1" customWidth="1"/>
    <col min="10772" max="10772" width="6.7109375" bestFit="1" customWidth="1"/>
    <col min="10773" max="10773" width="8.5703125" bestFit="1" customWidth="1"/>
    <col min="10774" max="10774" width="15" bestFit="1" customWidth="1"/>
    <col min="11010" max="11010" width="31.140625" bestFit="1" customWidth="1"/>
    <col min="11011" max="11011" width="26.85546875" bestFit="1" customWidth="1"/>
    <col min="11012" max="11012" width="7.7109375" bestFit="1" customWidth="1"/>
    <col min="11013" max="11013" width="6.7109375" bestFit="1" customWidth="1"/>
    <col min="11014" max="11014" width="17.28515625" bestFit="1" customWidth="1"/>
    <col min="11015" max="11015" width="32.5703125" bestFit="1" customWidth="1"/>
    <col min="11016" max="11027" width="5.5703125" bestFit="1" customWidth="1"/>
    <col min="11028" max="11028" width="6.7109375" bestFit="1" customWidth="1"/>
    <col min="11029" max="11029" width="8.5703125" bestFit="1" customWidth="1"/>
    <col min="11030" max="11030" width="15" bestFit="1" customWidth="1"/>
    <col min="11266" max="11266" width="31.140625" bestFit="1" customWidth="1"/>
    <col min="11267" max="11267" width="26.85546875" bestFit="1" customWidth="1"/>
    <col min="11268" max="11268" width="7.7109375" bestFit="1" customWidth="1"/>
    <col min="11269" max="11269" width="6.7109375" bestFit="1" customWidth="1"/>
    <col min="11270" max="11270" width="17.28515625" bestFit="1" customWidth="1"/>
    <col min="11271" max="11271" width="32.5703125" bestFit="1" customWidth="1"/>
    <col min="11272" max="11283" width="5.5703125" bestFit="1" customWidth="1"/>
    <col min="11284" max="11284" width="6.7109375" bestFit="1" customWidth="1"/>
    <col min="11285" max="11285" width="8.5703125" bestFit="1" customWidth="1"/>
    <col min="11286" max="11286" width="15" bestFit="1" customWidth="1"/>
    <col min="11522" max="11522" width="31.140625" bestFit="1" customWidth="1"/>
    <col min="11523" max="11523" width="26.85546875" bestFit="1" customWidth="1"/>
    <col min="11524" max="11524" width="7.7109375" bestFit="1" customWidth="1"/>
    <col min="11525" max="11525" width="6.7109375" bestFit="1" customWidth="1"/>
    <col min="11526" max="11526" width="17.28515625" bestFit="1" customWidth="1"/>
    <col min="11527" max="11527" width="32.5703125" bestFit="1" customWidth="1"/>
    <col min="11528" max="11539" width="5.5703125" bestFit="1" customWidth="1"/>
    <col min="11540" max="11540" width="6.7109375" bestFit="1" customWidth="1"/>
    <col min="11541" max="11541" width="8.5703125" bestFit="1" customWidth="1"/>
    <col min="11542" max="11542" width="15" bestFit="1" customWidth="1"/>
    <col min="11778" max="11778" width="31.140625" bestFit="1" customWidth="1"/>
    <col min="11779" max="11779" width="26.85546875" bestFit="1" customWidth="1"/>
    <col min="11780" max="11780" width="7.7109375" bestFit="1" customWidth="1"/>
    <col min="11781" max="11781" width="6.7109375" bestFit="1" customWidth="1"/>
    <col min="11782" max="11782" width="17.28515625" bestFit="1" customWidth="1"/>
    <col min="11783" max="11783" width="32.5703125" bestFit="1" customWidth="1"/>
    <col min="11784" max="11795" width="5.5703125" bestFit="1" customWidth="1"/>
    <col min="11796" max="11796" width="6.7109375" bestFit="1" customWidth="1"/>
    <col min="11797" max="11797" width="8.5703125" bestFit="1" customWidth="1"/>
    <col min="11798" max="11798" width="15" bestFit="1" customWidth="1"/>
    <col min="12034" max="12034" width="31.140625" bestFit="1" customWidth="1"/>
    <col min="12035" max="12035" width="26.85546875" bestFit="1" customWidth="1"/>
    <col min="12036" max="12036" width="7.7109375" bestFit="1" customWidth="1"/>
    <col min="12037" max="12037" width="6.7109375" bestFit="1" customWidth="1"/>
    <col min="12038" max="12038" width="17.28515625" bestFit="1" customWidth="1"/>
    <col min="12039" max="12039" width="32.5703125" bestFit="1" customWidth="1"/>
    <col min="12040" max="12051" width="5.5703125" bestFit="1" customWidth="1"/>
    <col min="12052" max="12052" width="6.7109375" bestFit="1" customWidth="1"/>
    <col min="12053" max="12053" width="8.5703125" bestFit="1" customWidth="1"/>
    <col min="12054" max="12054" width="15" bestFit="1" customWidth="1"/>
    <col min="12290" max="12290" width="31.140625" bestFit="1" customWidth="1"/>
    <col min="12291" max="12291" width="26.85546875" bestFit="1" customWidth="1"/>
    <col min="12292" max="12292" width="7.7109375" bestFit="1" customWidth="1"/>
    <col min="12293" max="12293" width="6.7109375" bestFit="1" customWidth="1"/>
    <col min="12294" max="12294" width="17.28515625" bestFit="1" customWidth="1"/>
    <col min="12295" max="12295" width="32.5703125" bestFit="1" customWidth="1"/>
    <col min="12296" max="12307" width="5.5703125" bestFit="1" customWidth="1"/>
    <col min="12308" max="12308" width="6.7109375" bestFit="1" customWidth="1"/>
    <col min="12309" max="12309" width="8.5703125" bestFit="1" customWidth="1"/>
    <col min="12310" max="12310" width="15" bestFit="1" customWidth="1"/>
    <col min="12546" max="12546" width="31.140625" bestFit="1" customWidth="1"/>
    <col min="12547" max="12547" width="26.85546875" bestFit="1" customWidth="1"/>
    <col min="12548" max="12548" width="7.7109375" bestFit="1" customWidth="1"/>
    <col min="12549" max="12549" width="6.7109375" bestFit="1" customWidth="1"/>
    <col min="12550" max="12550" width="17.28515625" bestFit="1" customWidth="1"/>
    <col min="12551" max="12551" width="32.5703125" bestFit="1" customWidth="1"/>
    <col min="12552" max="12563" width="5.5703125" bestFit="1" customWidth="1"/>
    <col min="12564" max="12564" width="6.7109375" bestFit="1" customWidth="1"/>
    <col min="12565" max="12565" width="8.5703125" bestFit="1" customWidth="1"/>
    <col min="12566" max="12566" width="15" bestFit="1" customWidth="1"/>
    <col min="12802" max="12802" width="31.140625" bestFit="1" customWidth="1"/>
    <col min="12803" max="12803" width="26.85546875" bestFit="1" customWidth="1"/>
    <col min="12804" max="12804" width="7.7109375" bestFit="1" customWidth="1"/>
    <col min="12805" max="12805" width="6.7109375" bestFit="1" customWidth="1"/>
    <col min="12806" max="12806" width="17.28515625" bestFit="1" customWidth="1"/>
    <col min="12807" max="12807" width="32.5703125" bestFit="1" customWidth="1"/>
    <col min="12808" max="12819" width="5.5703125" bestFit="1" customWidth="1"/>
    <col min="12820" max="12820" width="6.7109375" bestFit="1" customWidth="1"/>
    <col min="12821" max="12821" width="8.5703125" bestFit="1" customWidth="1"/>
    <col min="12822" max="12822" width="15" bestFit="1" customWidth="1"/>
    <col min="13058" max="13058" width="31.140625" bestFit="1" customWidth="1"/>
    <col min="13059" max="13059" width="26.85546875" bestFit="1" customWidth="1"/>
    <col min="13060" max="13060" width="7.7109375" bestFit="1" customWidth="1"/>
    <col min="13061" max="13061" width="6.7109375" bestFit="1" customWidth="1"/>
    <col min="13062" max="13062" width="17.28515625" bestFit="1" customWidth="1"/>
    <col min="13063" max="13063" width="32.5703125" bestFit="1" customWidth="1"/>
    <col min="13064" max="13075" width="5.5703125" bestFit="1" customWidth="1"/>
    <col min="13076" max="13076" width="6.7109375" bestFit="1" customWidth="1"/>
    <col min="13077" max="13077" width="8.5703125" bestFit="1" customWidth="1"/>
    <col min="13078" max="13078" width="15" bestFit="1" customWidth="1"/>
    <col min="13314" max="13314" width="31.140625" bestFit="1" customWidth="1"/>
    <col min="13315" max="13315" width="26.85546875" bestFit="1" customWidth="1"/>
    <col min="13316" max="13316" width="7.7109375" bestFit="1" customWidth="1"/>
    <col min="13317" max="13317" width="6.7109375" bestFit="1" customWidth="1"/>
    <col min="13318" max="13318" width="17.28515625" bestFit="1" customWidth="1"/>
    <col min="13319" max="13319" width="32.5703125" bestFit="1" customWidth="1"/>
    <col min="13320" max="13331" width="5.5703125" bestFit="1" customWidth="1"/>
    <col min="13332" max="13332" width="6.7109375" bestFit="1" customWidth="1"/>
    <col min="13333" max="13333" width="8.5703125" bestFit="1" customWidth="1"/>
    <col min="13334" max="13334" width="15" bestFit="1" customWidth="1"/>
    <col min="13570" max="13570" width="31.140625" bestFit="1" customWidth="1"/>
    <col min="13571" max="13571" width="26.85546875" bestFit="1" customWidth="1"/>
    <col min="13572" max="13572" width="7.7109375" bestFit="1" customWidth="1"/>
    <col min="13573" max="13573" width="6.7109375" bestFit="1" customWidth="1"/>
    <col min="13574" max="13574" width="17.28515625" bestFit="1" customWidth="1"/>
    <col min="13575" max="13575" width="32.5703125" bestFit="1" customWidth="1"/>
    <col min="13576" max="13587" width="5.5703125" bestFit="1" customWidth="1"/>
    <col min="13588" max="13588" width="6.7109375" bestFit="1" customWidth="1"/>
    <col min="13589" max="13589" width="8.5703125" bestFit="1" customWidth="1"/>
    <col min="13590" max="13590" width="15" bestFit="1" customWidth="1"/>
    <col min="13826" max="13826" width="31.140625" bestFit="1" customWidth="1"/>
    <col min="13827" max="13827" width="26.85546875" bestFit="1" customWidth="1"/>
    <col min="13828" max="13828" width="7.7109375" bestFit="1" customWidth="1"/>
    <col min="13829" max="13829" width="6.7109375" bestFit="1" customWidth="1"/>
    <col min="13830" max="13830" width="17.28515625" bestFit="1" customWidth="1"/>
    <col min="13831" max="13831" width="32.5703125" bestFit="1" customWidth="1"/>
    <col min="13832" max="13843" width="5.5703125" bestFit="1" customWidth="1"/>
    <col min="13844" max="13844" width="6.7109375" bestFit="1" customWidth="1"/>
    <col min="13845" max="13845" width="8.5703125" bestFit="1" customWidth="1"/>
    <col min="13846" max="13846" width="15" bestFit="1" customWidth="1"/>
    <col min="14082" max="14082" width="31.140625" bestFit="1" customWidth="1"/>
    <col min="14083" max="14083" width="26.85546875" bestFit="1" customWidth="1"/>
    <col min="14084" max="14084" width="7.7109375" bestFit="1" customWidth="1"/>
    <col min="14085" max="14085" width="6.7109375" bestFit="1" customWidth="1"/>
    <col min="14086" max="14086" width="17.28515625" bestFit="1" customWidth="1"/>
    <col min="14087" max="14087" width="32.5703125" bestFit="1" customWidth="1"/>
    <col min="14088" max="14099" width="5.5703125" bestFit="1" customWidth="1"/>
    <col min="14100" max="14100" width="6.7109375" bestFit="1" customWidth="1"/>
    <col min="14101" max="14101" width="8.5703125" bestFit="1" customWidth="1"/>
    <col min="14102" max="14102" width="15" bestFit="1" customWidth="1"/>
    <col min="14338" max="14338" width="31.140625" bestFit="1" customWidth="1"/>
    <col min="14339" max="14339" width="26.85546875" bestFit="1" customWidth="1"/>
    <col min="14340" max="14340" width="7.7109375" bestFit="1" customWidth="1"/>
    <col min="14341" max="14341" width="6.7109375" bestFit="1" customWidth="1"/>
    <col min="14342" max="14342" width="17.28515625" bestFit="1" customWidth="1"/>
    <col min="14343" max="14343" width="32.5703125" bestFit="1" customWidth="1"/>
    <col min="14344" max="14355" width="5.5703125" bestFit="1" customWidth="1"/>
    <col min="14356" max="14356" width="6.7109375" bestFit="1" customWidth="1"/>
    <col min="14357" max="14357" width="8.5703125" bestFit="1" customWidth="1"/>
    <col min="14358" max="14358" width="15" bestFit="1" customWidth="1"/>
    <col min="14594" max="14594" width="31.140625" bestFit="1" customWidth="1"/>
    <col min="14595" max="14595" width="26.85546875" bestFit="1" customWidth="1"/>
    <col min="14596" max="14596" width="7.7109375" bestFit="1" customWidth="1"/>
    <col min="14597" max="14597" width="6.7109375" bestFit="1" customWidth="1"/>
    <col min="14598" max="14598" width="17.28515625" bestFit="1" customWidth="1"/>
    <col min="14599" max="14599" width="32.5703125" bestFit="1" customWidth="1"/>
    <col min="14600" max="14611" width="5.5703125" bestFit="1" customWidth="1"/>
    <col min="14612" max="14612" width="6.7109375" bestFit="1" customWidth="1"/>
    <col min="14613" max="14613" width="8.5703125" bestFit="1" customWidth="1"/>
    <col min="14614" max="14614" width="15" bestFit="1" customWidth="1"/>
    <col min="14850" max="14850" width="31.140625" bestFit="1" customWidth="1"/>
    <col min="14851" max="14851" width="26.85546875" bestFit="1" customWidth="1"/>
    <col min="14852" max="14852" width="7.7109375" bestFit="1" customWidth="1"/>
    <col min="14853" max="14853" width="6.7109375" bestFit="1" customWidth="1"/>
    <col min="14854" max="14854" width="17.28515625" bestFit="1" customWidth="1"/>
    <col min="14855" max="14855" width="32.5703125" bestFit="1" customWidth="1"/>
    <col min="14856" max="14867" width="5.5703125" bestFit="1" customWidth="1"/>
    <col min="14868" max="14868" width="6.7109375" bestFit="1" customWidth="1"/>
    <col min="14869" max="14869" width="8.5703125" bestFit="1" customWidth="1"/>
    <col min="14870" max="14870" width="15" bestFit="1" customWidth="1"/>
    <col min="15106" max="15106" width="31.140625" bestFit="1" customWidth="1"/>
    <col min="15107" max="15107" width="26.85546875" bestFit="1" customWidth="1"/>
    <col min="15108" max="15108" width="7.7109375" bestFit="1" customWidth="1"/>
    <col min="15109" max="15109" width="6.7109375" bestFit="1" customWidth="1"/>
    <col min="15110" max="15110" width="17.28515625" bestFit="1" customWidth="1"/>
    <col min="15111" max="15111" width="32.5703125" bestFit="1" customWidth="1"/>
    <col min="15112" max="15123" width="5.5703125" bestFit="1" customWidth="1"/>
    <col min="15124" max="15124" width="6.7109375" bestFit="1" customWidth="1"/>
    <col min="15125" max="15125" width="8.5703125" bestFit="1" customWidth="1"/>
    <col min="15126" max="15126" width="15" bestFit="1" customWidth="1"/>
    <col min="15362" max="15362" width="31.140625" bestFit="1" customWidth="1"/>
    <col min="15363" max="15363" width="26.85546875" bestFit="1" customWidth="1"/>
    <col min="15364" max="15364" width="7.7109375" bestFit="1" customWidth="1"/>
    <col min="15365" max="15365" width="6.7109375" bestFit="1" customWidth="1"/>
    <col min="15366" max="15366" width="17.28515625" bestFit="1" customWidth="1"/>
    <col min="15367" max="15367" width="32.5703125" bestFit="1" customWidth="1"/>
    <col min="15368" max="15379" width="5.5703125" bestFit="1" customWidth="1"/>
    <col min="15380" max="15380" width="6.7109375" bestFit="1" customWidth="1"/>
    <col min="15381" max="15381" width="8.5703125" bestFit="1" customWidth="1"/>
    <col min="15382" max="15382" width="15" bestFit="1" customWidth="1"/>
    <col min="15618" max="15618" width="31.140625" bestFit="1" customWidth="1"/>
    <col min="15619" max="15619" width="26.85546875" bestFit="1" customWidth="1"/>
    <col min="15620" max="15620" width="7.7109375" bestFit="1" customWidth="1"/>
    <col min="15621" max="15621" width="6.7109375" bestFit="1" customWidth="1"/>
    <col min="15622" max="15622" width="17.28515625" bestFit="1" customWidth="1"/>
    <col min="15623" max="15623" width="32.5703125" bestFit="1" customWidth="1"/>
    <col min="15624" max="15635" width="5.5703125" bestFit="1" customWidth="1"/>
    <col min="15636" max="15636" width="6.7109375" bestFit="1" customWidth="1"/>
    <col min="15637" max="15637" width="8.5703125" bestFit="1" customWidth="1"/>
    <col min="15638" max="15638" width="15" bestFit="1" customWidth="1"/>
    <col min="15874" max="15874" width="31.140625" bestFit="1" customWidth="1"/>
    <col min="15875" max="15875" width="26.85546875" bestFit="1" customWidth="1"/>
    <col min="15876" max="15876" width="7.7109375" bestFit="1" customWidth="1"/>
    <col min="15877" max="15877" width="6.7109375" bestFit="1" customWidth="1"/>
    <col min="15878" max="15878" width="17.28515625" bestFit="1" customWidth="1"/>
    <col min="15879" max="15879" width="32.5703125" bestFit="1" customWidth="1"/>
    <col min="15880" max="15891" width="5.5703125" bestFit="1" customWidth="1"/>
    <col min="15892" max="15892" width="6.7109375" bestFit="1" customWidth="1"/>
    <col min="15893" max="15893" width="8.5703125" bestFit="1" customWidth="1"/>
    <col min="15894" max="15894" width="15" bestFit="1" customWidth="1"/>
    <col min="16130" max="16130" width="31.140625" bestFit="1" customWidth="1"/>
    <col min="16131" max="16131" width="26.85546875" bestFit="1" customWidth="1"/>
    <col min="16132" max="16132" width="7.7109375" bestFit="1" customWidth="1"/>
    <col min="16133" max="16133" width="6.7109375" bestFit="1" customWidth="1"/>
    <col min="16134" max="16134" width="17.28515625" bestFit="1" customWidth="1"/>
    <col min="16135" max="16135" width="32.5703125" bestFit="1" customWidth="1"/>
    <col min="16136" max="16147" width="5.5703125" bestFit="1" customWidth="1"/>
    <col min="16148" max="16148" width="6.7109375" bestFit="1" customWidth="1"/>
    <col min="16149" max="16149" width="8.5703125" bestFit="1" customWidth="1"/>
    <col min="16150" max="16150" width="15" bestFit="1" customWidth="1"/>
  </cols>
  <sheetData>
    <row r="1" spans="1:22" s="1" customFormat="1" ht="30" customHeight="1" x14ac:dyDescent="0.2">
      <c r="A1" s="295" t="s">
        <v>4023</v>
      </c>
      <c r="B1" s="295"/>
      <c r="C1" s="295"/>
      <c r="D1" s="295"/>
      <c r="E1" s="295"/>
      <c r="F1" s="295"/>
      <c r="G1" s="295"/>
      <c r="H1" s="295"/>
      <c r="I1" s="295"/>
      <c r="J1" s="295"/>
      <c r="K1" s="295"/>
      <c r="L1" s="295"/>
      <c r="M1" s="295"/>
      <c r="N1" s="295"/>
      <c r="O1" s="295"/>
      <c r="P1" s="295"/>
      <c r="Q1" s="295"/>
      <c r="R1" s="295"/>
      <c r="S1" s="295"/>
      <c r="T1" s="295"/>
      <c r="U1" s="295"/>
      <c r="V1" s="296"/>
    </row>
    <row r="2" spans="1:22" s="1" customFormat="1" ht="30" x14ac:dyDescent="0.2">
      <c r="A2" s="295" t="s">
        <v>4030</v>
      </c>
      <c r="B2" s="295"/>
      <c r="C2" s="295"/>
      <c r="D2" s="295"/>
      <c r="E2" s="295"/>
      <c r="F2" s="295"/>
      <c r="G2" s="295"/>
      <c r="H2" s="295"/>
      <c r="I2" s="295"/>
      <c r="J2" s="295"/>
      <c r="K2" s="295"/>
      <c r="L2" s="295"/>
      <c r="M2" s="295"/>
      <c r="N2" s="295"/>
      <c r="O2" s="295"/>
      <c r="P2" s="295"/>
      <c r="Q2" s="295"/>
      <c r="R2" s="295"/>
      <c r="S2" s="295"/>
      <c r="T2" s="295"/>
      <c r="U2" s="295"/>
      <c r="V2" s="296"/>
    </row>
    <row r="3" spans="1:22" s="1" customFormat="1" ht="30.75" thickBot="1" x14ac:dyDescent="0.25">
      <c r="A3" s="295" t="s">
        <v>3381</v>
      </c>
      <c r="B3" s="295"/>
      <c r="C3" s="295"/>
      <c r="D3" s="295"/>
      <c r="E3" s="295"/>
      <c r="F3" s="295"/>
      <c r="G3" s="295"/>
      <c r="H3" s="295"/>
      <c r="I3" s="295"/>
      <c r="J3" s="295"/>
      <c r="K3" s="295"/>
      <c r="L3" s="295"/>
      <c r="M3" s="295"/>
      <c r="N3" s="295"/>
      <c r="O3" s="295"/>
      <c r="P3" s="295"/>
      <c r="Q3" s="295"/>
      <c r="R3" s="295"/>
      <c r="S3" s="295"/>
      <c r="T3" s="295"/>
      <c r="U3" s="295"/>
      <c r="V3" s="296"/>
    </row>
    <row r="4" spans="1:22" s="5" customFormat="1" ht="12.75" customHeight="1" x14ac:dyDescent="0.2">
      <c r="A4" s="297" t="s">
        <v>719</v>
      </c>
      <c r="B4" s="300" t="s">
        <v>0</v>
      </c>
      <c r="C4" s="302" t="s">
        <v>3382</v>
      </c>
      <c r="D4" s="302" t="s">
        <v>8</v>
      </c>
      <c r="E4" s="304" t="s">
        <v>9</v>
      </c>
      <c r="F4" s="304" t="s">
        <v>1</v>
      </c>
      <c r="G4" s="305" t="s">
        <v>3239</v>
      </c>
      <c r="H4" s="300" t="s">
        <v>2</v>
      </c>
      <c r="I4" s="304"/>
      <c r="J4" s="304"/>
      <c r="K4" s="307"/>
      <c r="L4" s="300" t="s">
        <v>3</v>
      </c>
      <c r="M4" s="304"/>
      <c r="N4" s="304"/>
      <c r="O4" s="307"/>
      <c r="P4" s="300" t="s">
        <v>4</v>
      </c>
      <c r="Q4" s="304"/>
      <c r="R4" s="304"/>
      <c r="S4" s="307"/>
      <c r="T4" s="308" t="s">
        <v>3593</v>
      </c>
      <c r="U4" s="304" t="s">
        <v>6</v>
      </c>
      <c r="V4" s="307" t="s">
        <v>5</v>
      </c>
    </row>
    <row r="5" spans="1:22" s="5" customFormat="1" ht="23.25" customHeight="1" thickBot="1" x14ac:dyDescent="0.25">
      <c r="A5" s="298"/>
      <c r="B5" s="301"/>
      <c r="C5" s="303"/>
      <c r="D5" s="303"/>
      <c r="E5" s="303"/>
      <c r="F5" s="303"/>
      <c r="G5" s="306"/>
      <c r="H5" s="3">
        <v>1</v>
      </c>
      <c r="I5" s="2">
        <v>2</v>
      </c>
      <c r="J5" s="2">
        <v>3</v>
      </c>
      <c r="K5" s="4" t="s">
        <v>7</v>
      </c>
      <c r="L5" s="3">
        <v>1</v>
      </c>
      <c r="M5" s="2">
        <v>2</v>
      </c>
      <c r="N5" s="2">
        <v>3</v>
      </c>
      <c r="O5" s="4" t="s">
        <v>7</v>
      </c>
      <c r="P5" s="3">
        <v>1</v>
      </c>
      <c r="Q5" s="2">
        <v>2</v>
      </c>
      <c r="R5" s="2">
        <v>3</v>
      </c>
      <c r="S5" s="4" t="s">
        <v>7</v>
      </c>
      <c r="T5" s="309"/>
      <c r="U5" s="303"/>
      <c r="V5" s="310"/>
    </row>
    <row r="6" spans="1:22" ht="15" x14ac:dyDescent="0.2">
      <c r="B6" s="299" t="s">
        <v>4007</v>
      </c>
      <c r="C6" s="299"/>
      <c r="D6" s="299"/>
      <c r="E6" s="299"/>
      <c r="F6" s="299"/>
      <c r="G6" s="299"/>
      <c r="H6" s="299"/>
      <c r="I6" s="299"/>
      <c r="J6" s="299"/>
      <c r="K6" s="299"/>
      <c r="L6" s="299"/>
      <c r="M6" s="299"/>
      <c r="N6" s="299"/>
      <c r="O6" s="299"/>
      <c r="P6" s="299"/>
      <c r="Q6" s="299"/>
      <c r="R6" s="299"/>
      <c r="S6" s="299"/>
      <c r="T6" s="299"/>
      <c r="U6" s="299"/>
    </row>
    <row r="7" spans="1:22" x14ac:dyDescent="0.2">
      <c r="A7" s="43">
        <v>1</v>
      </c>
      <c r="B7" s="7" t="s">
        <v>2164</v>
      </c>
      <c r="C7" s="7" t="s">
        <v>2114</v>
      </c>
      <c r="D7" s="7" t="s">
        <v>2115</v>
      </c>
      <c r="E7" s="7" t="str">
        <f>"1,2550"</f>
        <v>1,2550</v>
      </c>
      <c r="F7" s="7" t="s">
        <v>859</v>
      </c>
      <c r="G7" s="7" t="s">
        <v>804</v>
      </c>
      <c r="H7" s="41" t="s">
        <v>36</v>
      </c>
      <c r="I7" s="34" t="s">
        <v>36</v>
      </c>
      <c r="J7" s="34" t="s">
        <v>142</v>
      </c>
      <c r="K7" s="20"/>
      <c r="L7" s="34" t="s">
        <v>87</v>
      </c>
      <c r="M7" s="34" t="s">
        <v>157</v>
      </c>
      <c r="N7" s="34" t="s">
        <v>104</v>
      </c>
      <c r="O7" s="34" t="s">
        <v>165</v>
      </c>
      <c r="P7" s="34" t="s">
        <v>126</v>
      </c>
      <c r="Q7" s="34" t="s">
        <v>155</v>
      </c>
      <c r="R7" s="34" t="s">
        <v>156</v>
      </c>
      <c r="S7" s="34" t="s">
        <v>11</v>
      </c>
      <c r="T7" s="28">
        <v>475</v>
      </c>
      <c r="U7" s="19" t="str">
        <f>"596,1250"</f>
        <v>596,1250</v>
      </c>
      <c r="V7" s="7" t="s">
        <v>730</v>
      </c>
    </row>
    <row r="9" spans="1:22" ht="15" x14ac:dyDescent="0.2">
      <c r="B9" s="294" t="s">
        <v>4009</v>
      </c>
      <c r="C9" s="294"/>
      <c r="D9" s="294"/>
      <c r="E9" s="294"/>
      <c r="F9" s="294"/>
      <c r="G9" s="294"/>
      <c r="H9" s="294"/>
      <c r="I9" s="294"/>
      <c r="J9" s="294"/>
      <c r="K9" s="294"/>
      <c r="L9" s="294"/>
      <c r="M9" s="294"/>
      <c r="N9" s="294"/>
      <c r="O9" s="294"/>
      <c r="P9" s="294"/>
      <c r="Q9" s="294"/>
      <c r="R9" s="294"/>
      <c r="S9" s="294"/>
      <c r="T9" s="294"/>
      <c r="U9" s="294"/>
    </row>
    <row r="10" spans="1:22" x14ac:dyDescent="0.2">
      <c r="A10" s="43">
        <v>1</v>
      </c>
      <c r="B10" s="15" t="s">
        <v>2165</v>
      </c>
      <c r="C10" s="15" t="s">
        <v>1118</v>
      </c>
      <c r="D10" s="15" t="s">
        <v>1222</v>
      </c>
      <c r="E10" s="15" t="str">
        <f>"1,0348"</f>
        <v>1,0348</v>
      </c>
      <c r="F10" s="15" t="s">
        <v>856</v>
      </c>
      <c r="G10" s="15" t="s">
        <v>800</v>
      </c>
      <c r="H10" s="35" t="s">
        <v>679</v>
      </c>
      <c r="I10" s="38" t="s">
        <v>1110</v>
      </c>
      <c r="J10" s="35" t="s">
        <v>677</v>
      </c>
      <c r="K10" s="22"/>
      <c r="L10" s="35" t="s">
        <v>135</v>
      </c>
      <c r="M10" s="35" t="s">
        <v>296</v>
      </c>
      <c r="N10" s="35" t="s">
        <v>246</v>
      </c>
      <c r="O10" s="22"/>
      <c r="P10" s="38" t="s">
        <v>17</v>
      </c>
      <c r="Q10" s="35" t="s">
        <v>17</v>
      </c>
      <c r="R10" s="35" t="s">
        <v>26</v>
      </c>
      <c r="S10" s="38" t="s">
        <v>274</v>
      </c>
      <c r="T10" s="29">
        <v>845</v>
      </c>
      <c r="U10" s="21" t="str">
        <f>"874,4060"</f>
        <v>874,4060</v>
      </c>
      <c r="V10" s="15" t="s">
        <v>3391</v>
      </c>
    </row>
    <row r="11" spans="1:22" x14ac:dyDescent="0.2">
      <c r="A11" s="43">
        <v>2</v>
      </c>
      <c r="B11" s="16" t="s">
        <v>1248</v>
      </c>
      <c r="C11" s="16" t="s">
        <v>1217</v>
      </c>
      <c r="D11" s="16" t="s">
        <v>1218</v>
      </c>
      <c r="E11" s="16" t="str">
        <f>"1,0406"</f>
        <v>1,0406</v>
      </c>
      <c r="F11" s="16" t="s">
        <v>4020</v>
      </c>
      <c r="G11" s="16" t="s">
        <v>796</v>
      </c>
      <c r="H11" s="36" t="s">
        <v>1110</v>
      </c>
      <c r="I11" s="24"/>
      <c r="J11" s="24"/>
      <c r="K11" s="24"/>
      <c r="L11" s="36" t="s">
        <v>260</v>
      </c>
      <c r="M11" s="24"/>
      <c r="N11" s="24"/>
      <c r="O11" s="24"/>
      <c r="P11" s="36" t="s">
        <v>1151</v>
      </c>
      <c r="Q11" s="24"/>
      <c r="R11" s="24"/>
      <c r="S11" s="24"/>
      <c r="T11" s="30">
        <v>832.5</v>
      </c>
      <c r="U11" s="23" t="str">
        <f>"866,2995"</f>
        <v>866,2995</v>
      </c>
      <c r="V11" s="16" t="s">
        <v>1243</v>
      </c>
    </row>
    <row r="12" spans="1:22" x14ac:dyDescent="0.2">
      <c r="A12" s="43">
        <v>3</v>
      </c>
      <c r="B12" s="16" t="s">
        <v>1520</v>
      </c>
      <c r="C12" s="16" t="s">
        <v>1521</v>
      </c>
      <c r="D12" s="16" t="s">
        <v>1522</v>
      </c>
      <c r="E12" s="16" t="str">
        <f>"1,0516"</f>
        <v>1,0516</v>
      </c>
      <c r="F12" s="16" t="s">
        <v>4020</v>
      </c>
      <c r="G12" s="16" t="s">
        <v>879</v>
      </c>
      <c r="H12" s="36" t="s">
        <v>35</v>
      </c>
      <c r="I12" s="40" t="s">
        <v>26</v>
      </c>
      <c r="J12" s="40" t="s">
        <v>26</v>
      </c>
      <c r="K12" s="24"/>
      <c r="L12" s="36" t="s">
        <v>36</v>
      </c>
      <c r="M12" s="40" t="s">
        <v>25</v>
      </c>
      <c r="N12" s="40" t="s">
        <v>25</v>
      </c>
      <c r="O12" s="24"/>
      <c r="P12" s="40" t="s">
        <v>37</v>
      </c>
      <c r="Q12" s="36" t="s">
        <v>37</v>
      </c>
      <c r="R12" s="36" t="s">
        <v>17</v>
      </c>
      <c r="S12" s="24"/>
      <c r="T12" s="30">
        <v>680</v>
      </c>
      <c r="U12" s="23" t="str">
        <f>"715,0880"</f>
        <v>715,0880</v>
      </c>
      <c r="V12" s="16" t="s">
        <v>3391</v>
      </c>
    </row>
    <row r="13" spans="1:22" x14ac:dyDescent="0.2">
      <c r="A13" s="43">
        <v>1</v>
      </c>
      <c r="B13" s="17" t="s">
        <v>1569</v>
      </c>
      <c r="C13" s="17" t="s">
        <v>1528</v>
      </c>
      <c r="D13" s="17" t="s">
        <v>1522</v>
      </c>
      <c r="E13" s="17" t="str">
        <f>"1,0516"</f>
        <v>1,0516</v>
      </c>
      <c r="F13" s="17" t="s">
        <v>4020</v>
      </c>
      <c r="G13" s="17" t="s">
        <v>879</v>
      </c>
      <c r="H13" s="37" t="s">
        <v>35</v>
      </c>
      <c r="I13" s="39" t="s">
        <v>26</v>
      </c>
      <c r="J13" s="39" t="s">
        <v>26</v>
      </c>
      <c r="K13" s="26"/>
      <c r="L13" s="37" t="s">
        <v>36</v>
      </c>
      <c r="M13" s="39" t="s">
        <v>25</v>
      </c>
      <c r="N13" s="39" t="s">
        <v>25</v>
      </c>
      <c r="O13" s="26"/>
      <c r="P13" s="39" t="s">
        <v>37</v>
      </c>
      <c r="Q13" s="37" t="s">
        <v>37</v>
      </c>
      <c r="R13" s="37" t="s">
        <v>17</v>
      </c>
      <c r="S13" s="26"/>
      <c r="T13" s="31">
        <v>680</v>
      </c>
      <c r="U13" s="25" t="str">
        <f>"715,0880"</f>
        <v>715,0880</v>
      </c>
      <c r="V13" s="17" t="s">
        <v>3391</v>
      </c>
    </row>
    <row r="15" spans="1:22" ht="15" x14ac:dyDescent="0.2">
      <c r="B15" s="294" t="s">
        <v>4010</v>
      </c>
      <c r="C15" s="294"/>
      <c r="D15" s="294"/>
      <c r="E15" s="294"/>
      <c r="F15" s="294"/>
      <c r="G15" s="294"/>
      <c r="H15" s="294"/>
      <c r="I15" s="294"/>
      <c r="J15" s="294"/>
      <c r="K15" s="294"/>
      <c r="L15" s="294"/>
      <c r="M15" s="294"/>
      <c r="N15" s="294"/>
      <c r="O15" s="294"/>
      <c r="P15" s="294"/>
      <c r="Q15" s="294"/>
      <c r="R15" s="294"/>
      <c r="S15" s="294"/>
      <c r="T15" s="294"/>
      <c r="U15" s="294"/>
    </row>
    <row r="16" spans="1:22" x14ac:dyDescent="0.2">
      <c r="A16" s="43">
        <v>1</v>
      </c>
      <c r="B16" s="15" t="s">
        <v>2166</v>
      </c>
      <c r="C16" s="15" t="s">
        <v>2116</v>
      </c>
      <c r="D16" s="15" t="s">
        <v>1263</v>
      </c>
      <c r="E16" s="15" t="str">
        <f>"0,9694"</f>
        <v>0,9694</v>
      </c>
      <c r="F16" s="15" t="s">
        <v>4020</v>
      </c>
      <c r="G16" s="15" t="s">
        <v>796</v>
      </c>
      <c r="H16" s="35" t="s">
        <v>287</v>
      </c>
      <c r="I16" s="38" t="s">
        <v>274</v>
      </c>
      <c r="J16" s="38" t="s">
        <v>274</v>
      </c>
      <c r="K16" s="22"/>
      <c r="L16" s="38" t="s">
        <v>106</v>
      </c>
      <c r="M16" s="35" t="s">
        <v>106</v>
      </c>
      <c r="N16" s="38" t="s">
        <v>107</v>
      </c>
      <c r="O16" s="22"/>
      <c r="P16" s="35" t="s">
        <v>26</v>
      </c>
      <c r="Q16" s="38" t="s">
        <v>287</v>
      </c>
      <c r="R16" s="38" t="s">
        <v>287</v>
      </c>
      <c r="S16" s="22"/>
      <c r="T16" s="29">
        <v>755</v>
      </c>
      <c r="U16" s="21" t="str">
        <f>"731,8970"</f>
        <v>731,8970</v>
      </c>
      <c r="V16" s="15" t="s">
        <v>2175</v>
      </c>
    </row>
    <row r="17" spans="1:22" x14ac:dyDescent="0.2">
      <c r="B17" s="16" t="s">
        <v>2117</v>
      </c>
      <c r="C17" s="16" t="s">
        <v>2118</v>
      </c>
      <c r="D17" s="16" t="s">
        <v>231</v>
      </c>
      <c r="E17" s="16" t="str">
        <f>"0,9870"</f>
        <v>0,9870</v>
      </c>
      <c r="F17" s="16" t="s">
        <v>4020</v>
      </c>
      <c r="G17" s="16" t="s">
        <v>799</v>
      </c>
      <c r="H17" s="36" t="s">
        <v>107</v>
      </c>
      <c r="I17" s="36" t="s">
        <v>140</v>
      </c>
      <c r="J17" s="40" t="s">
        <v>143</v>
      </c>
      <c r="K17" s="24"/>
      <c r="L17" s="40" t="s">
        <v>104</v>
      </c>
      <c r="M17" s="40" t="s">
        <v>104</v>
      </c>
      <c r="N17" s="40" t="s">
        <v>104</v>
      </c>
      <c r="O17" s="24"/>
      <c r="P17" s="40"/>
      <c r="Q17" s="24"/>
      <c r="R17" s="24"/>
      <c r="S17" s="24"/>
      <c r="T17" s="47">
        <v>0</v>
      </c>
      <c r="U17" s="23" t="str">
        <f>"0,0000"</f>
        <v>0,0000</v>
      </c>
      <c r="V17" s="16" t="s">
        <v>3391</v>
      </c>
    </row>
    <row r="18" spans="1:22" x14ac:dyDescent="0.2">
      <c r="A18" s="43">
        <v>1</v>
      </c>
      <c r="B18" s="17" t="s">
        <v>3311</v>
      </c>
      <c r="C18" s="17" t="s">
        <v>1106</v>
      </c>
      <c r="D18" s="17" t="s">
        <v>1107</v>
      </c>
      <c r="E18" s="17" t="str">
        <f>"0,9822"</f>
        <v>0,9822</v>
      </c>
      <c r="F18" s="17" t="s">
        <v>855</v>
      </c>
      <c r="G18" s="17" t="s">
        <v>802</v>
      </c>
      <c r="H18" s="39" t="s">
        <v>144</v>
      </c>
      <c r="I18" s="39" t="s">
        <v>144</v>
      </c>
      <c r="J18" s="37" t="s">
        <v>144</v>
      </c>
      <c r="K18" s="26"/>
      <c r="L18" s="37" t="s">
        <v>142</v>
      </c>
      <c r="M18" s="37" t="s">
        <v>260</v>
      </c>
      <c r="N18" s="39" t="s">
        <v>206</v>
      </c>
      <c r="O18" s="26"/>
      <c r="P18" s="37" t="s">
        <v>253</v>
      </c>
      <c r="Q18" s="37" t="s">
        <v>37</v>
      </c>
      <c r="R18" s="26"/>
      <c r="S18" s="26"/>
      <c r="T18" s="31">
        <v>657.5</v>
      </c>
      <c r="U18" s="25" t="str">
        <f>"731,0417"</f>
        <v>731,0417</v>
      </c>
      <c r="V18" s="17" t="s">
        <v>3391</v>
      </c>
    </row>
    <row r="20" spans="1:22" ht="15" x14ac:dyDescent="0.2">
      <c r="B20" s="294" t="s">
        <v>4011</v>
      </c>
      <c r="C20" s="294"/>
      <c r="D20" s="294"/>
      <c r="E20" s="294"/>
      <c r="F20" s="294"/>
      <c r="G20" s="294"/>
      <c r="H20" s="294"/>
      <c r="I20" s="294"/>
      <c r="J20" s="294"/>
      <c r="K20" s="294"/>
      <c r="L20" s="294"/>
      <c r="M20" s="294"/>
      <c r="N20" s="294"/>
      <c r="O20" s="294"/>
      <c r="P20" s="294"/>
      <c r="Q20" s="294"/>
      <c r="R20" s="294"/>
      <c r="S20" s="294"/>
      <c r="T20" s="294"/>
      <c r="U20" s="294"/>
    </row>
    <row r="21" spans="1:22" x14ac:dyDescent="0.2">
      <c r="A21" s="43">
        <v>1</v>
      </c>
      <c r="B21" s="15" t="s">
        <v>2119</v>
      </c>
      <c r="C21" s="15" t="s">
        <v>2120</v>
      </c>
      <c r="D21" s="15" t="s">
        <v>2121</v>
      </c>
      <c r="E21" s="15" t="str">
        <f>"0,9610"</f>
        <v>0,9610</v>
      </c>
      <c r="F21" s="15" t="s">
        <v>859</v>
      </c>
      <c r="G21" s="15" t="s">
        <v>3241</v>
      </c>
      <c r="H21" s="35" t="s">
        <v>26</v>
      </c>
      <c r="I21" s="22"/>
      <c r="J21" s="22"/>
      <c r="K21" s="22"/>
      <c r="L21" s="35" t="s">
        <v>187</v>
      </c>
      <c r="M21" s="22"/>
      <c r="N21" s="22"/>
      <c r="O21" s="22"/>
      <c r="P21" s="35" t="s">
        <v>17</v>
      </c>
      <c r="Q21" s="22"/>
      <c r="R21" s="22"/>
      <c r="S21" s="22"/>
      <c r="T21" s="29">
        <v>755</v>
      </c>
      <c r="U21" s="21" t="str">
        <f>"725,5550"</f>
        <v>725,5550</v>
      </c>
      <c r="V21" s="15" t="s">
        <v>730</v>
      </c>
    </row>
    <row r="22" spans="1:22" x14ac:dyDescent="0.2">
      <c r="A22" s="43">
        <v>1</v>
      </c>
      <c r="B22" s="16" t="s">
        <v>2122</v>
      </c>
      <c r="C22" s="16" t="s">
        <v>2123</v>
      </c>
      <c r="D22" s="16" t="s">
        <v>473</v>
      </c>
      <c r="E22" s="16" t="str">
        <f>"0,9198"</f>
        <v>0,9198</v>
      </c>
      <c r="F22" s="16" t="s">
        <v>4020</v>
      </c>
      <c r="G22" s="16" t="s">
        <v>836</v>
      </c>
      <c r="H22" s="36" t="s">
        <v>274</v>
      </c>
      <c r="I22" s="40" t="s">
        <v>1007</v>
      </c>
      <c r="J22" s="40" t="s">
        <v>1007</v>
      </c>
      <c r="K22" s="24"/>
      <c r="L22" s="36" t="s">
        <v>37</v>
      </c>
      <c r="M22" s="40" t="s">
        <v>15</v>
      </c>
      <c r="N22" s="36" t="s">
        <v>15</v>
      </c>
      <c r="O22" s="24"/>
      <c r="P22" s="36" t="s">
        <v>17</v>
      </c>
      <c r="Q22" s="36" t="s">
        <v>262</v>
      </c>
      <c r="R22" s="40" t="s">
        <v>274</v>
      </c>
      <c r="S22" s="24"/>
      <c r="T22" s="30">
        <v>850</v>
      </c>
      <c r="U22" s="23" t="str">
        <f>"781,8300"</f>
        <v>781,8300</v>
      </c>
      <c r="V22" s="16" t="s">
        <v>3391</v>
      </c>
    </row>
    <row r="23" spans="1:22" x14ac:dyDescent="0.2">
      <c r="A23" s="43">
        <v>2</v>
      </c>
      <c r="B23" s="16" t="s">
        <v>2119</v>
      </c>
      <c r="C23" s="16" t="s">
        <v>2124</v>
      </c>
      <c r="D23" s="16" t="s">
        <v>2121</v>
      </c>
      <c r="E23" s="16" t="str">
        <f>"0,9610"</f>
        <v>0,9610</v>
      </c>
      <c r="F23" s="16" t="s">
        <v>859</v>
      </c>
      <c r="G23" s="16" t="s">
        <v>3241</v>
      </c>
      <c r="H23" s="36" t="s">
        <v>26</v>
      </c>
      <c r="I23" s="40" t="s">
        <v>274</v>
      </c>
      <c r="J23" s="40" t="s">
        <v>679</v>
      </c>
      <c r="K23" s="24"/>
      <c r="L23" s="36" t="s">
        <v>140</v>
      </c>
      <c r="M23" s="36" t="s">
        <v>143</v>
      </c>
      <c r="N23" s="36" t="s">
        <v>187</v>
      </c>
      <c r="O23" s="24"/>
      <c r="P23" s="36" t="s">
        <v>17</v>
      </c>
      <c r="Q23" s="40" t="s">
        <v>16</v>
      </c>
      <c r="R23" s="40" t="s">
        <v>16</v>
      </c>
      <c r="S23" s="24"/>
      <c r="T23" s="30">
        <v>755</v>
      </c>
      <c r="U23" s="23" t="str">
        <f>"725,5550"</f>
        <v>725,5550</v>
      </c>
      <c r="V23" s="16" t="s">
        <v>730</v>
      </c>
    </row>
    <row r="24" spans="1:22" x14ac:dyDescent="0.2">
      <c r="A24" s="43">
        <v>3</v>
      </c>
      <c r="B24" s="16" t="s">
        <v>2125</v>
      </c>
      <c r="C24" s="16" t="s">
        <v>2126</v>
      </c>
      <c r="D24" s="16" t="s">
        <v>1268</v>
      </c>
      <c r="E24" s="16" t="str">
        <f>"0,9298"</f>
        <v>0,9298</v>
      </c>
      <c r="F24" s="16" t="s">
        <v>857</v>
      </c>
      <c r="G24" s="16" t="s">
        <v>3242</v>
      </c>
      <c r="H24" s="40" t="s">
        <v>208</v>
      </c>
      <c r="I24" s="40" t="s">
        <v>208</v>
      </c>
      <c r="J24" s="36" t="s">
        <v>208</v>
      </c>
      <c r="K24" s="24"/>
      <c r="L24" s="40" t="s">
        <v>224</v>
      </c>
      <c r="M24" s="36" t="s">
        <v>224</v>
      </c>
      <c r="N24" s="36" t="s">
        <v>381</v>
      </c>
      <c r="O24" s="24"/>
      <c r="P24" s="36" t="s">
        <v>37</v>
      </c>
      <c r="Q24" s="36" t="s">
        <v>17</v>
      </c>
      <c r="R24" s="36" t="s">
        <v>15</v>
      </c>
      <c r="S24" s="24"/>
      <c r="T24" s="30">
        <v>707.5</v>
      </c>
      <c r="U24" s="23" t="str">
        <f>"657,8335"</f>
        <v>657,8335</v>
      </c>
      <c r="V24" s="16" t="s">
        <v>3391</v>
      </c>
    </row>
    <row r="25" spans="1:22" x14ac:dyDescent="0.2">
      <c r="A25" s="43">
        <v>4</v>
      </c>
      <c r="B25" s="16" t="s">
        <v>2127</v>
      </c>
      <c r="C25" s="16" t="s">
        <v>2128</v>
      </c>
      <c r="D25" s="16" t="s">
        <v>1500</v>
      </c>
      <c r="E25" s="16" t="str">
        <f>"0,9218"</f>
        <v>0,9218</v>
      </c>
      <c r="F25" s="16" t="s">
        <v>4020</v>
      </c>
      <c r="G25" s="16" t="s">
        <v>847</v>
      </c>
      <c r="H25" s="40" t="s">
        <v>261</v>
      </c>
      <c r="I25" s="36" t="s">
        <v>261</v>
      </c>
      <c r="J25" s="40" t="s">
        <v>15</v>
      </c>
      <c r="K25" s="24"/>
      <c r="L25" s="36" t="s">
        <v>127</v>
      </c>
      <c r="M25" s="36" t="s">
        <v>30</v>
      </c>
      <c r="N25" s="36" t="s">
        <v>156</v>
      </c>
      <c r="O25" s="24"/>
      <c r="P25" s="36" t="s">
        <v>17</v>
      </c>
      <c r="Q25" s="36" t="s">
        <v>16</v>
      </c>
      <c r="R25" s="40" t="s">
        <v>26</v>
      </c>
      <c r="S25" s="24"/>
      <c r="T25" s="30">
        <v>705</v>
      </c>
      <c r="U25" s="23" t="str">
        <f>"649,8690"</f>
        <v>649,8690</v>
      </c>
      <c r="V25" s="16" t="s">
        <v>1061</v>
      </c>
    </row>
    <row r="26" spans="1:22" x14ac:dyDescent="0.2">
      <c r="A26" s="43">
        <v>5</v>
      </c>
      <c r="B26" s="16" t="s">
        <v>2129</v>
      </c>
      <c r="C26" s="16" t="s">
        <v>2130</v>
      </c>
      <c r="D26" s="16" t="s">
        <v>470</v>
      </c>
      <c r="E26" s="16" t="str">
        <f>"0,9182"</f>
        <v>0,9182</v>
      </c>
      <c r="F26" s="16" t="s">
        <v>4020</v>
      </c>
      <c r="G26" s="16" t="s">
        <v>847</v>
      </c>
      <c r="H26" s="36" t="s">
        <v>261</v>
      </c>
      <c r="I26" s="36" t="s">
        <v>928</v>
      </c>
      <c r="J26" s="40" t="s">
        <v>16</v>
      </c>
      <c r="K26" s="24"/>
      <c r="L26" s="36" t="s">
        <v>155</v>
      </c>
      <c r="M26" s="36" t="s">
        <v>142</v>
      </c>
      <c r="N26" s="24"/>
      <c r="O26" s="24"/>
      <c r="P26" s="40" t="s">
        <v>220</v>
      </c>
      <c r="Q26" s="36" t="s">
        <v>220</v>
      </c>
      <c r="R26" s="36" t="s">
        <v>660</v>
      </c>
      <c r="S26" s="24"/>
      <c r="T26" s="30">
        <v>685</v>
      </c>
      <c r="U26" s="23" t="str">
        <f>"628,9670"</f>
        <v>628,9670</v>
      </c>
      <c r="V26" s="16" t="s">
        <v>1061</v>
      </c>
    </row>
    <row r="27" spans="1:22" x14ac:dyDescent="0.2">
      <c r="A27" s="43">
        <v>6</v>
      </c>
      <c r="B27" s="17" t="s">
        <v>2131</v>
      </c>
      <c r="C27" s="17" t="s">
        <v>2132</v>
      </c>
      <c r="D27" s="17" t="s">
        <v>2133</v>
      </c>
      <c r="E27" s="17" t="str">
        <f>"0,9344"</f>
        <v>0,9344</v>
      </c>
      <c r="F27" s="17" t="s">
        <v>4020</v>
      </c>
      <c r="G27" s="17" t="s">
        <v>796</v>
      </c>
      <c r="H27" s="37" t="s">
        <v>166</v>
      </c>
      <c r="I27" s="37" t="s">
        <v>135</v>
      </c>
      <c r="J27" s="39" t="s">
        <v>143</v>
      </c>
      <c r="K27" s="26"/>
      <c r="L27" s="37" t="s">
        <v>36</v>
      </c>
      <c r="M27" s="39" t="s">
        <v>127</v>
      </c>
      <c r="N27" s="37" t="s">
        <v>127</v>
      </c>
      <c r="O27" s="26"/>
      <c r="P27" s="37" t="s">
        <v>106</v>
      </c>
      <c r="Q27" s="37" t="s">
        <v>140</v>
      </c>
      <c r="R27" s="37" t="s">
        <v>143</v>
      </c>
      <c r="S27" s="26"/>
      <c r="T27" s="31">
        <v>575</v>
      </c>
      <c r="U27" s="25" t="str">
        <f>"637,7514"</f>
        <v>637,7514</v>
      </c>
      <c r="V27" s="17" t="s">
        <v>2176</v>
      </c>
    </row>
    <row r="28" spans="1:22" x14ac:dyDescent="0.2">
      <c r="C28" s="6" t="s">
        <v>3240</v>
      </c>
    </row>
    <row r="29" spans="1:22" ht="15" x14ac:dyDescent="0.2">
      <c r="B29" s="294" t="s">
        <v>4012</v>
      </c>
      <c r="C29" s="294"/>
      <c r="D29" s="294"/>
      <c r="E29" s="294"/>
      <c r="F29" s="294"/>
      <c r="G29" s="294"/>
      <c r="H29" s="294"/>
      <c r="I29" s="294"/>
      <c r="J29" s="294"/>
      <c r="K29" s="294"/>
      <c r="L29" s="294"/>
      <c r="M29" s="294"/>
      <c r="N29" s="294"/>
      <c r="O29" s="294"/>
      <c r="P29" s="294"/>
      <c r="Q29" s="294"/>
      <c r="R29" s="294"/>
      <c r="S29" s="294"/>
      <c r="T29" s="294"/>
      <c r="U29" s="294"/>
    </row>
    <row r="30" spans="1:22" x14ac:dyDescent="0.2">
      <c r="A30" s="43">
        <v>1</v>
      </c>
      <c r="B30" s="15" t="s">
        <v>1573</v>
      </c>
      <c r="C30" s="15" t="s">
        <v>1540</v>
      </c>
      <c r="D30" s="15" t="s">
        <v>1541</v>
      </c>
      <c r="E30" s="15" t="str">
        <f>"0,8870"</f>
        <v>0,8870</v>
      </c>
      <c r="F30" s="15" t="s">
        <v>857</v>
      </c>
      <c r="G30" s="15" t="s">
        <v>801</v>
      </c>
      <c r="H30" s="35" t="s">
        <v>274</v>
      </c>
      <c r="I30" s="35" t="s">
        <v>679</v>
      </c>
      <c r="J30" s="35" t="s">
        <v>1007</v>
      </c>
      <c r="K30" s="22"/>
      <c r="L30" s="35" t="s">
        <v>144</v>
      </c>
      <c r="M30" s="35" t="s">
        <v>253</v>
      </c>
      <c r="N30" s="35" t="s">
        <v>37</v>
      </c>
      <c r="O30" s="22"/>
      <c r="P30" s="35" t="s">
        <v>1110</v>
      </c>
      <c r="Q30" s="35" t="s">
        <v>1517</v>
      </c>
      <c r="R30" s="35" t="s">
        <v>1401</v>
      </c>
      <c r="S30" s="22"/>
      <c r="T30" s="29">
        <v>922.5</v>
      </c>
      <c r="U30" s="21" t="str">
        <f>"818,2575"</f>
        <v>818,2575</v>
      </c>
      <c r="V30" s="15" t="s">
        <v>2177</v>
      </c>
    </row>
    <row r="31" spans="1:22" x14ac:dyDescent="0.2">
      <c r="A31" s="43">
        <v>2</v>
      </c>
      <c r="B31" s="16" t="s">
        <v>2167</v>
      </c>
      <c r="C31" s="16" t="s">
        <v>2135</v>
      </c>
      <c r="D31" s="16" t="s">
        <v>259</v>
      </c>
      <c r="E31" s="16" t="str">
        <f>"0,8890"</f>
        <v>0,8890</v>
      </c>
      <c r="F31" s="16" t="s">
        <v>4020</v>
      </c>
      <c r="G31" s="16" t="s">
        <v>796</v>
      </c>
      <c r="H31" s="36" t="s">
        <v>1110</v>
      </c>
      <c r="I31" s="36" t="s">
        <v>1550</v>
      </c>
      <c r="J31" s="36" t="s">
        <v>2108</v>
      </c>
      <c r="K31" s="40" t="s">
        <v>2136</v>
      </c>
      <c r="L31" s="36" t="s">
        <v>24</v>
      </c>
      <c r="M31" s="40" t="s">
        <v>144</v>
      </c>
      <c r="N31" s="24"/>
      <c r="O31" s="24"/>
      <c r="P31" s="36" t="s">
        <v>1151</v>
      </c>
      <c r="Q31" s="40" t="s">
        <v>1554</v>
      </c>
      <c r="R31" s="40" t="s">
        <v>1554</v>
      </c>
      <c r="S31" s="24"/>
      <c r="T31" s="30">
        <v>915</v>
      </c>
      <c r="U31" s="23" t="str">
        <f>"813,4350"</f>
        <v>813,4350</v>
      </c>
      <c r="V31" s="16" t="s">
        <v>2178</v>
      </c>
    </row>
    <row r="32" spans="1:22" x14ac:dyDescent="0.2">
      <c r="A32" s="43">
        <v>1</v>
      </c>
      <c r="B32" s="16" t="s">
        <v>2169</v>
      </c>
      <c r="C32" s="16" t="s">
        <v>2137</v>
      </c>
      <c r="D32" s="16" t="s">
        <v>2138</v>
      </c>
      <c r="E32" s="16" t="str">
        <f>"0,8940"</f>
        <v>0,8940</v>
      </c>
      <c r="F32" s="16" t="s">
        <v>4020</v>
      </c>
      <c r="G32" s="16" t="s">
        <v>3187</v>
      </c>
      <c r="H32" s="36" t="s">
        <v>17</v>
      </c>
      <c r="I32" s="40" t="s">
        <v>16</v>
      </c>
      <c r="J32" s="40" t="s">
        <v>287</v>
      </c>
      <c r="K32" s="24"/>
      <c r="L32" s="36" t="s">
        <v>156</v>
      </c>
      <c r="M32" s="36" t="s">
        <v>106</v>
      </c>
      <c r="N32" s="40" t="s">
        <v>166</v>
      </c>
      <c r="O32" s="24"/>
      <c r="P32" s="36" t="s">
        <v>220</v>
      </c>
      <c r="Q32" s="36" t="s">
        <v>37</v>
      </c>
      <c r="R32" s="40" t="s">
        <v>35</v>
      </c>
      <c r="S32" s="24"/>
      <c r="T32" s="30">
        <v>695</v>
      </c>
      <c r="U32" s="23" t="str">
        <f>"621,3300"</f>
        <v>621,3300</v>
      </c>
      <c r="V32" s="16" t="s">
        <v>767</v>
      </c>
    </row>
    <row r="33" spans="1:22" x14ac:dyDescent="0.2">
      <c r="A33" s="43">
        <v>1</v>
      </c>
      <c r="B33" s="16" t="s">
        <v>2168</v>
      </c>
      <c r="C33" s="16" t="s">
        <v>2139</v>
      </c>
      <c r="D33" s="16" t="s">
        <v>2140</v>
      </c>
      <c r="E33" s="16" t="str">
        <f>"0,9038"</f>
        <v>0,9038</v>
      </c>
      <c r="F33" s="16" t="s">
        <v>4020</v>
      </c>
      <c r="G33" s="16" t="s">
        <v>3243</v>
      </c>
      <c r="H33" s="36" t="s">
        <v>253</v>
      </c>
      <c r="I33" s="36" t="s">
        <v>37</v>
      </c>
      <c r="J33" s="36" t="s">
        <v>17</v>
      </c>
      <c r="K33" s="24"/>
      <c r="L33" s="36" t="s">
        <v>127</v>
      </c>
      <c r="M33" s="40" t="s">
        <v>30</v>
      </c>
      <c r="N33" s="36" t="s">
        <v>30</v>
      </c>
      <c r="O33" s="24"/>
      <c r="P33" s="36" t="s">
        <v>253</v>
      </c>
      <c r="Q33" s="36" t="s">
        <v>261</v>
      </c>
      <c r="R33" s="36" t="s">
        <v>17</v>
      </c>
      <c r="S33" s="24"/>
      <c r="T33" s="30">
        <v>687.5</v>
      </c>
      <c r="U33" s="23" t="str">
        <f>"703,3824"</f>
        <v>703,3824</v>
      </c>
      <c r="V33" s="16" t="s">
        <v>3391</v>
      </c>
    </row>
    <row r="34" spans="1:22" x14ac:dyDescent="0.2">
      <c r="A34" s="43">
        <v>1</v>
      </c>
      <c r="B34" s="17" t="s">
        <v>1575</v>
      </c>
      <c r="C34" s="17" t="s">
        <v>1134</v>
      </c>
      <c r="D34" s="17" t="s">
        <v>663</v>
      </c>
      <c r="E34" s="17" t="str">
        <f>"0,8932"</f>
        <v>0,8932</v>
      </c>
      <c r="F34" s="17" t="s">
        <v>862</v>
      </c>
      <c r="G34" s="17" t="s">
        <v>3244</v>
      </c>
      <c r="H34" s="37" t="s">
        <v>24</v>
      </c>
      <c r="I34" s="37" t="s">
        <v>220</v>
      </c>
      <c r="J34" s="39" t="s">
        <v>253</v>
      </c>
      <c r="K34" s="26"/>
      <c r="L34" s="37" t="s">
        <v>141</v>
      </c>
      <c r="M34" s="39" t="s">
        <v>156</v>
      </c>
      <c r="N34" s="39" t="s">
        <v>156</v>
      </c>
      <c r="O34" s="26"/>
      <c r="P34" s="37" t="s">
        <v>143</v>
      </c>
      <c r="Q34" s="37" t="s">
        <v>24</v>
      </c>
      <c r="R34" s="39" t="s">
        <v>144</v>
      </c>
      <c r="S34" s="26"/>
      <c r="T34" s="31">
        <v>620</v>
      </c>
      <c r="U34" s="25" t="str">
        <f>"646,8197"</f>
        <v>646,8197</v>
      </c>
      <c r="V34" s="17" t="s">
        <v>3391</v>
      </c>
    </row>
    <row r="36" spans="1:22" ht="15" x14ac:dyDescent="0.2">
      <c r="B36" s="294" t="s">
        <v>4013</v>
      </c>
      <c r="C36" s="294"/>
      <c r="D36" s="294"/>
      <c r="E36" s="294"/>
      <c r="F36" s="294"/>
      <c r="G36" s="294"/>
      <c r="H36" s="294"/>
      <c r="I36" s="294"/>
      <c r="J36" s="294"/>
      <c r="K36" s="294"/>
      <c r="L36" s="294"/>
      <c r="M36" s="294"/>
      <c r="N36" s="294"/>
      <c r="O36" s="294"/>
      <c r="P36" s="294"/>
      <c r="Q36" s="294"/>
      <c r="R36" s="294"/>
      <c r="S36" s="294"/>
      <c r="T36" s="294"/>
      <c r="U36" s="294"/>
    </row>
    <row r="37" spans="1:22" x14ac:dyDescent="0.2">
      <c r="A37" s="43">
        <v>1</v>
      </c>
      <c r="B37" s="15" t="s">
        <v>2170</v>
      </c>
      <c r="C37" s="15" t="s">
        <v>213</v>
      </c>
      <c r="D37" s="15" t="s">
        <v>1504</v>
      </c>
      <c r="E37" s="15" t="str">
        <f>"0,8680"</f>
        <v>0,8680</v>
      </c>
      <c r="F37" s="15" t="s">
        <v>4020</v>
      </c>
      <c r="G37" s="15" t="s">
        <v>3235</v>
      </c>
      <c r="H37" s="38" t="s">
        <v>679</v>
      </c>
      <c r="I37" s="35" t="s">
        <v>679</v>
      </c>
      <c r="J37" s="35" t="s">
        <v>677</v>
      </c>
      <c r="K37" s="22"/>
      <c r="L37" s="35" t="s">
        <v>143</v>
      </c>
      <c r="M37" s="35" t="s">
        <v>220</v>
      </c>
      <c r="N37" s="35" t="s">
        <v>208</v>
      </c>
      <c r="O37" s="22"/>
      <c r="P37" s="35" t="s">
        <v>287</v>
      </c>
      <c r="Q37" s="35" t="s">
        <v>1007</v>
      </c>
      <c r="R37" s="38" t="s">
        <v>677</v>
      </c>
      <c r="S37" s="22"/>
      <c r="T37" s="29">
        <v>905</v>
      </c>
      <c r="U37" s="21" t="str">
        <f>"785,5400"</f>
        <v>785,5400</v>
      </c>
      <c r="V37" s="15" t="s">
        <v>1512</v>
      </c>
    </row>
    <row r="38" spans="1:22" x14ac:dyDescent="0.2">
      <c r="A38" s="43">
        <v>1</v>
      </c>
      <c r="B38" s="17" t="s">
        <v>2171</v>
      </c>
      <c r="C38" s="17" t="s">
        <v>2141</v>
      </c>
      <c r="D38" s="17" t="s">
        <v>2142</v>
      </c>
      <c r="E38" s="17" t="str">
        <f>"0,8600"</f>
        <v>0,8600</v>
      </c>
      <c r="F38" s="17" t="s">
        <v>4020</v>
      </c>
      <c r="G38" s="17" t="s">
        <v>3245</v>
      </c>
      <c r="H38" s="37" t="s">
        <v>2108</v>
      </c>
      <c r="I38" s="37" t="s">
        <v>2143</v>
      </c>
      <c r="J38" s="39" t="s">
        <v>1414</v>
      </c>
      <c r="K38" s="26"/>
      <c r="L38" s="39" t="s">
        <v>1007</v>
      </c>
      <c r="M38" s="39" t="s">
        <v>1007</v>
      </c>
      <c r="N38" s="37" t="s">
        <v>1007</v>
      </c>
      <c r="O38" s="37" t="s">
        <v>1110</v>
      </c>
      <c r="P38" s="37" t="s">
        <v>1007</v>
      </c>
      <c r="Q38" s="37" t="s">
        <v>677</v>
      </c>
      <c r="R38" s="37" t="s">
        <v>1111</v>
      </c>
      <c r="S38" s="26"/>
      <c r="T38" s="31">
        <v>1070</v>
      </c>
      <c r="U38" s="25" t="str">
        <f>"920,2000"</f>
        <v>920,2000</v>
      </c>
      <c r="V38" s="17" t="s">
        <v>3391</v>
      </c>
    </row>
    <row r="40" spans="1:22" ht="15" x14ac:dyDescent="0.2">
      <c r="B40" s="294" t="s">
        <v>4016</v>
      </c>
      <c r="C40" s="294"/>
      <c r="D40" s="294"/>
      <c r="E40" s="294"/>
      <c r="F40" s="294"/>
      <c r="G40" s="294"/>
      <c r="H40" s="294"/>
      <c r="I40" s="294"/>
      <c r="J40" s="294"/>
      <c r="K40" s="294"/>
      <c r="L40" s="294"/>
      <c r="M40" s="294"/>
      <c r="N40" s="294"/>
      <c r="O40" s="294"/>
      <c r="P40" s="294"/>
      <c r="Q40" s="294"/>
      <c r="R40" s="294"/>
      <c r="S40" s="294"/>
      <c r="T40" s="294"/>
      <c r="U40" s="294"/>
    </row>
    <row r="41" spans="1:22" x14ac:dyDescent="0.2">
      <c r="A41" s="43">
        <v>1</v>
      </c>
      <c r="B41" s="7" t="s">
        <v>2172</v>
      </c>
      <c r="C41" s="7" t="s">
        <v>2144</v>
      </c>
      <c r="D41" s="7" t="s">
        <v>2145</v>
      </c>
      <c r="E41" s="7" t="str">
        <f>"0,8558"</f>
        <v>0,8558</v>
      </c>
      <c r="F41" s="7" t="s">
        <v>266</v>
      </c>
      <c r="G41" s="7" t="s">
        <v>3237</v>
      </c>
      <c r="H41" s="34" t="s">
        <v>2108</v>
      </c>
      <c r="I41" s="34" t="s">
        <v>2143</v>
      </c>
      <c r="J41" s="34" t="s">
        <v>2146</v>
      </c>
      <c r="K41" s="20"/>
      <c r="L41" s="34" t="s">
        <v>26</v>
      </c>
      <c r="M41" s="34" t="s">
        <v>274</v>
      </c>
      <c r="N41" s="34" t="s">
        <v>1007</v>
      </c>
      <c r="O41" s="20"/>
      <c r="P41" s="34" t="s">
        <v>274</v>
      </c>
      <c r="Q41" s="34" t="s">
        <v>1007</v>
      </c>
      <c r="R41" s="41" t="s">
        <v>1110</v>
      </c>
      <c r="S41" s="20"/>
      <c r="T41" s="28">
        <v>1045</v>
      </c>
      <c r="U41" s="19" t="str">
        <f>"894,3110"</f>
        <v>894,3110</v>
      </c>
      <c r="V41" s="7" t="s">
        <v>3391</v>
      </c>
    </row>
    <row r="43" spans="1:22" ht="15" x14ac:dyDescent="0.2">
      <c r="B43" s="294" t="s">
        <v>4017</v>
      </c>
      <c r="C43" s="294"/>
      <c r="D43" s="294"/>
      <c r="E43" s="294"/>
      <c r="F43" s="294"/>
      <c r="G43" s="294"/>
      <c r="H43" s="294"/>
      <c r="I43" s="294"/>
      <c r="J43" s="294"/>
      <c r="K43" s="294"/>
      <c r="L43" s="294"/>
      <c r="M43" s="294"/>
      <c r="N43" s="294"/>
      <c r="O43" s="294"/>
      <c r="P43" s="294"/>
      <c r="Q43" s="294"/>
      <c r="R43" s="294"/>
      <c r="S43" s="294"/>
      <c r="T43" s="294"/>
      <c r="U43" s="294"/>
    </row>
    <row r="44" spans="1:22" x14ac:dyDescent="0.2">
      <c r="A44" s="43">
        <v>1</v>
      </c>
      <c r="B44" s="15" t="s">
        <v>2173</v>
      </c>
      <c r="C44" s="15" t="s">
        <v>2147</v>
      </c>
      <c r="D44" s="15" t="s">
        <v>2148</v>
      </c>
      <c r="E44" s="15" t="str">
        <f>"0,8380"</f>
        <v>0,8380</v>
      </c>
      <c r="F44" s="15" t="s">
        <v>4020</v>
      </c>
      <c r="G44" s="15" t="s">
        <v>3245</v>
      </c>
      <c r="H44" s="38" t="s">
        <v>2143</v>
      </c>
      <c r="I44" s="35" t="s">
        <v>2143</v>
      </c>
      <c r="J44" s="35" t="s">
        <v>2149</v>
      </c>
      <c r="K44" s="38" t="s">
        <v>2150</v>
      </c>
      <c r="L44" s="35" t="s">
        <v>287</v>
      </c>
      <c r="M44" s="38" t="s">
        <v>274</v>
      </c>
      <c r="N44" s="22"/>
      <c r="O44" s="22"/>
      <c r="P44" s="35" t="s">
        <v>677</v>
      </c>
      <c r="Q44" s="35" t="s">
        <v>1111</v>
      </c>
      <c r="R44" s="35" t="s">
        <v>2151</v>
      </c>
      <c r="S44" s="38" t="s">
        <v>289</v>
      </c>
      <c r="T44" s="29">
        <v>1082.5</v>
      </c>
      <c r="U44" s="21" t="str">
        <f>"907,1350"</f>
        <v>907,1350</v>
      </c>
      <c r="V44" s="15" t="s">
        <v>2179</v>
      </c>
    </row>
    <row r="45" spans="1:22" x14ac:dyDescent="0.2">
      <c r="A45" s="43">
        <v>2</v>
      </c>
      <c r="B45" s="17" t="s">
        <v>2174</v>
      </c>
      <c r="C45" s="17" t="s">
        <v>2153</v>
      </c>
      <c r="D45" s="17" t="s">
        <v>2154</v>
      </c>
      <c r="E45" s="17" t="str">
        <f>"0,8300"</f>
        <v>0,8300</v>
      </c>
      <c r="F45" s="17" t="s">
        <v>266</v>
      </c>
      <c r="G45" s="17" t="s">
        <v>3237</v>
      </c>
      <c r="H45" s="39" t="s">
        <v>1414</v>
      </c>
      <c r="I45" s="37" t="s">
        <v>1414</v>
      </c>
      <c r="J45" s="37" t="s">
        <v>1505</v>
      </c>
      <c r="K45" s="26"/>
      <c r="L45" s="37" t="s">
        <v>35</v>
      </c>
      <c r="M45" s="37" t="s">
        <v>287</v>
      </c>
      <c r="N45" s="37" t="s">
        <v>274</v>
      </c>
      <c r="O45" s="39" t="s">
        <v>1007</v>
      </c>
      <c r="P45" s="37" t="s">
        <v>274</v>
      </c>
      <c r="Q45" s="37" t="s">
        <v>1110</v>
      </c>
      <c r="R45" s="39" t="s">
        <v>1401</v>
      </c>
      <c r="S45" s="26"/>
      <c r="T45" s="31">
        <v>1052.5</v>
      </c>
      <c r="U45" s="25" t="str">
        <f>"873,5750"</f>
        <v>873,5750</v>
      </c>
      <c r="V45" s="17" t="s">
        <v>2155</v>
      </c>
    </row>
    <row r="46" spans="1:22" x14ac:dyDescent="0.2">
      <c r="O46" s="46"/>
    </row>
    <row r="47" spans="1:22" ht="18" x14ac:dyDescent="0.25">
      <c r="B47" s="8" t="s">
        <v>4022</v>
      </c>
      <c r="C47" s="8"/>
    </row>
    <row r="48" spans="1:22" ht="18.75" x14ac:dyDescent="0.3">
      <c r="B48" s="242" t="s">
        <v>3499</v>
      </c>
      <c r="C48" s="8"/>
    </row>
    <row r="49" spans="1:6" ht="14.25" x14ac:dyDescent="0.2">
      <c r="B49" s="11"/>
      <c r="C49" s="12" t="s">
        <v>18</v>
      </c>
    </row>
    <row r="50" spans="1:6" ht="15" x14ac:dyDescent="0.2">
      <c r="B50" s="13" t="s">
        <v>0</v>
      </c>
      <c r="C50" s="13" t="s">
        <v>19</v>
      </c>
      <c r="D50" s="13" t="s">
        <v>20</v>
      </c>
      <c r="E50" s="13" t="s">
        <v>3593</v>
      </c>
      <c r="F50" s="13" t="s">
        <v>9</v>
      </c>
    </row>
    <row r="51" spans="1:6" x14ac:dyDescent="0.2">
      <c r="A51" s="43">
        <v>1</v>
      </c>
      <c r="B51" s="10" t="s">
        <v>2152</v>
      </c>
      <c r="C51" s="18" t="s">
        <v>18</v>
      </c>
      <c r="D51" s="27" t="s">
        <v>303</v>
      </c>
      <c r="E51" s="27" t="s">
        <v>2156</v>
      </c>
      <c r="F51" s="27" t="s">
        <v>2157</v>
      </c>
    </row>
    <row r="52" spans="1:6" x14ac:dyDescent="0.2">
      <c r="A52" s="43">
        <v>2</v>
      </c>
      <c r="B52" s="10" t="s">
        <v>2158</v>
      </c>
      <c r="C52" s="18" t="s">
        <v>18</v>
      </c>
      <c r="D52" s="27" t="s">
        <v>519</v>
      </c>
      <c r="E52" s="27" t="s">
        <v>2159</v>
      </c>
      <c r="F52" s="27" t="s">
        <v>2160</v>
      </c>
    </row>
    <row r="53" spans="1:6" x14ac:dyDescent="0.2">
      <c r="A53" s="43">
        <v>3</v>
      </c>
      <c r="B53" s="10" t="s">
        <v>2161</v>
      </c>
      <c r="C53" s="18" t="s">
        <v>18</v>
      </c>
      <c r="D53" s="27" t="s">
        <v>692</v>
      </c>
      <c r="E53" s="27" t="s">
        <v>2162</v>
      </c>
      <c r="F53" s="27" t="s">
        <v>2163</v>
      </c>
    </row>
  </sheetData>
  <mergeCells count="24">
    <mergeCell ref="A1:V1"/>
    <mergeCell ref="A2:V2"/>
    <mergeCell ref="A3:V3"/>
    <mergeCell ref="B20:U20"/>
    <mergeCell ref="B29:U29"/>
    <mergeCell ref="V4:V5"/>
    <mergeCell ref="L4:O4"/>
    <mergeCell ref="P4:S4"/>
    <mergeCell ref="B36:U36"/>
    <mergeCell ref="B40:U40"/>
    <mergeCell ref="B43:U43"/>
    <mergeCell ref="A4:A5"/>
    <mergeCell ref="T4:T5"/>
    <mergeCell ref="U4:U5"/>
    <mergeCell ref="B6:U6"/>
    <mergeCell ref="B9:U9"/>
    <mergeCell ref="B15:U15"/>
    <mergeCell ref="B4:B5"/>
    <mergeCell ref="C4:C5"/>
    <mergeCell ref="D4:D5"/>
    <mergeCell ref="E4:E5"/>
    <mergeCell ref="F4:F5"/>
    <mergeCell ref="G4:G5"/>
    <mergeCell ref="H4:K4"/>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2" workbookViewId="0">
      <selection activeCell="E20" sqref="E20"/>
    </sheetView>
  </sheetViews>
  <sheetFormatPr defaultColWidth="11.42578125" defaultRowHeight="12.75" x14ac:dyDescent="0.2"/>
  <cols>
    <col min="1" max="1" width="26.85546875" customWidth="1"/>
    <col min="2" max="2" width="29" customWidth="1"/>
    <col min="3" max="3" width="1.140625" customWidth="1"/>
    <col min="4" max="4" width="28.42578125" customWidth="1"/>
    <col min="5" max="5" width="35.140625" customWidth="1"/>
  </cols>
  <sheetData>
    <row r="1" spans="1:5" ht="188.1" customHeight="1" thickBot="1" x14ac:dyDescent="0.25">
      <c r="A1" s="373" t="s">
        <v>4249</v>
      </c>
      <c r="B1" s="374"/>
      <c r="C1" s="374"/>
      <c r="D1" s="374"/>
      <c r="E1" s="375"/>
    </row>
    <row r="2" spans="1:5" ht="11.1" customHeight="1" x14ac:dyDescent="0.2">
      <c r="A2" s="267"/>
      <c r="B2" s="267"/>
      <c r="C2" s="267"/>
      <c r="D2" s="267"/>
      <c r="E2" s="267"/>
    </row>
    <row r="3" spans="1:5" x14ac:dyDescent="0.2">
      <c r="A3" s="43" t="s">
        <v>4276</v>
      </c>
      <c r="B3" s="266" t="s">
        <v>4275</v>
      </c>
      <c r="C3" s="266"/>
      <c r="D3" s="43" t="s">
        <v>4274</v>
      </c>
      <c r="E3" s="266" t="s">
        <v>4267</v>
      </c>
    </row>
    <row r="4" spans="1:5" x14ac:dyDescent="0.2">
      <c r="A4" t="s">
        <v>4268</v>
      </c>
      <c r="B4">
        <v>935</v>
      </c>
      <c r="D4" t="s">
        <v>4268</v>
      </c>
      <c r="E4">
        <v>935</v>
      </c>
    </row>
    <row r="5" spans="1:5" x14ac:dyDescent="0.2">
      <c r="A5" t="s">
        <v>4279</v>
      </c>
      <c r="B5">
        <v>115</v>
      </c>
      <c r="D5" t="s">
        <v>4273</v>
      </c>
      <c r="E5">
        <v>115</v>
      </c>
    </row>
    <row r="6" spans="1:5" x14ac:dyDescent="0.2">
      <c r="A6" t="s">
        <v>4278</v>
      </c>
      <c r="B6">
        <v>114</v>
      </c>
      <c r="D6" t="s">
        <v>4269</v>
      </c>
      <c r="E6">
        <v>114</v>
      </c>
    </row>
    <row r="7" spans="1:5" x14ac:dyDescent="0.2">
      <c r="A7" t="s">
        <v>4277</v>
      </c>
      <c r="B7">
        <v>104</v>
      </c>
      <c r="D7" t="s">
        <v>4272</v>
      </c>
      <c r="E7">
        <v>104</v>
      </c>
    </row>
    <row r="8" spans="1:5" x14ac:dyDescent="0.2">
      <c r="A8" t="s">
        <v>4280</v>
      </c>
      <c r="B8">
        <v>74</v>
      </c>
      <c r="D8" t="s">
        <v>4271</v>
      </c>
      <c r="E8">
        <v>74</v>
      </c>
    </row>
    <row r="9" spans="1:5" x14ac:dyDescent="0.2">
      <c r="A9" t="s">
        <v>3599</v>
      </c>
      <c r="B9">
        <v>44</v>
      </c>
      <c r="D9" t="s">
        <v>4270</v>
      </c>
      <c r="E9">
        <v>44</v>
      </c>
    </row>
    <row r="10" spans="1:5" x14ac:dyDescent="0.2">
      <c r="A10" t="s">
        <v>4281</v>
      </c>
      <c r="B10">
        <v>18</v>
      </c>
      <c r="D10" t="s">
        <v>4232</v>
      </c>
      <c r="E10">
        <v>18</v>
      </c>
    </row>
    <row r="11" spans="1:5" ht="15" x14ac:dyDescent="0.25">
      <c r="B11" s="265">
        <v>1404</v>
      </c>
      <c r="C11" s="265"/>
      <c r="E11" s="265">
        <v>1404</v>
      </c>
    </row>
  </sheetData>
  <mergeCells count="1">
    <mergeCell ref="A1:E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topLeftCell="A8" workbookViewId="0">
      <selection activeCell="T25" sqref="T25"/>
    </sheetView>
  </sheetViews>
  <sheetFormatPr defaultColWidth="8.7109375" defaultRowHeight="12.75" x14ac:dyDescent="0.2"/>
  <cols>
    <col min="1" max="1" width="6.85546875" style="43" bestFit="1" customWidth="1"/>
    <col min="2" max="2" width="22" style="6" customWidth="1"/>
    <col min="3" max="3" width="26.85546875" style="6" bestFit="1" customWidth="1"/>
    <col min="4" max="4" width="9" style="6" customWidth="1"/>
    <col min="5" max="5" width="7.5703125" style="6" bestFit="1" customWidth="1"/>
    <col min="6" max="6" width="24" style="6" customWidth="1"/>
    <col min="7" max="7" width="42.28515625" style="6" customWidth="1"/>
    <col min="8" max="10" width="5.5703125" style="27" bestFit="1" customWidth="1"/>
    <col min="11" max="11" width="4.85546875" style="27" bestFit="1" customWidth="1"/>
    <col min="12" max="15" width="5.5703125" style="27" bestFit="1" customWidth="1"/>
    <col min="16" max="16" width="6.42578125" style="32" bestFit="1" customWidth="1"/>
    <col min="17" max="17" width="9.85546875" style="27" bestFit="1" customWidth="1"/>
    <col min="18" max="18" width="16.42578125" style="6" customWidth="1"/>
  </cols>
  <sheetData>
    <row r="1" spans="1:18" s="1" customFormat="1" ht="30" customHeight="1" x14ac:dyDescent="0.2">
      <c r="A1" s="295" t="s">
        <v>4023</v>
      </c>
      <c r="B1" s="295"/>
      <c r="C1" s="295"/>
      <c r="D1" s="295"/>
      <c r="E1" s="295"/>
      <c r="F1" s="295"/>
      <c r="G1" s="295"/>
      <c r="H1" s="295"/>
      <c r="I1" s="295"/>
      <c r="J1" s="295"/>
      <c r="K1" s="295"/>
      <c r="L1" s="295"/>
      <c r="M1" s="295"/>
      <c r="N1" s="295"/>
      <c r="O1" s="295"/>
      <c r="P1" s="295"/>
      <c r="Q1" s="295"/>
      <c r="R1" s="295"/>
    </row>
    <row r="2" spans="1:18" s="1" customFormat="1" ht="30" customHeight="1" x14ac:dyDescent="0.2">
      <c r="A2" s="295" t="s">
        <v>4031</v>
      </c>
      <c r="B2" s="295"/>
      <c r="C2" s="295"/>
      <c r="D2" s="295"/>
      <c r="E2" s="295"/>
      <c r="F2" s="295"/>
      <c r="G2" s="295"/>
      <c r="H2" s="295"/>
      <c r="I2" s="295"/>
      <c r="J2" s="295"/>
      <c r="K2" s="295"/>
      <c r="L2" s="295"/>
      <c r="M2" s="295"/>
      <c r="N2" s="295"/>
      <c r="O2" s="295"/>
      <c r="P2" s="295"/>
      <c r="Q2" s="295"/>
      <c r="R2" s="295"/>
    </row>
    <row r="3" spans="1:18" s="1" customFormat="1" ht="30.75" customHeight="1" thickBot="1" x14ac:dyDescent="0.25">
      <c r="A3" s="295" t="s">
        <v>3381</v>
      </c>
      <c r="B3" s="295"/>
      <c r="C3" s="295"/>
      <c r="D3" s="295"/>
      <c r="E3" s="295"/>
      <c r="F3" s="295"/>
      <c r="G3" s="295"/>
      <c r="H3" s="295"/>
      <c r="I3" s="295"/>
      <c r="J3" s="295"/>
      <c r="K3" s="295"/>
      <c r="L3" s="295"/>
      <c r="M3" s="295"/>
      <c r="N3" s="295"/>
      <c r="O3" s="295"/>
      <c r="P3" s="295"/>
      <c r="Q3" s="295"/>
      <c r="R3" s="295"/>
    </row>
    <row r="4" spans="1:18" s="5" customFormat="1" ht="12.75" customHeight="1" x14ac:dyDescent="0.2">
      <c r="A4" s="297" t="s">
        <v>719</v>
      </c>
      <c r="B4" s="312" t="s">
        <v>0</v>
      </c>
      <c r="C4" s="302" t="s">
        <v>3382</v>
      </c>
      <c r="D4" s="302" t="s">
        <v>8</v>
      </c>
      <c r="E4" s="304" t="s">
        <v>9</v>
      </c>
      <c r="F4" s="304" t="s">
        <v>1</v>
      </c>
      <c r="G4" s="305" t="s">
        <v>795</v>
      </c>
      <c r="H4" s="300" t="s">
        <v>3</v>
      </c>
      <c r="I4" s="304"/>
      <c r="J4" s="304"/>
      <c r="K4" s="307"/>
      <c r="L4" s="300" t="s">
        <v>4</v>
      </c>
      <c r="M4" s="304"/>
      <c r="N4" s="304"/>
      <c r="O4" s="307"/>
      <c r="P4" s="308" t="s">
        <v>3593</v>
      </c>
      <c r="Q4" s="304" t="s">
        <v>6</v>
      </c>
      <c r="R4" s="307" t="s">
        <v>5</v>
      </c>
    </row>
    <row r="5" spans="1:18" s="5" customFormat="1" ht="23.25" customHeight="1" thickBot="1" x14ac:dyDescent="0.25">
      <c r="A5" s="298"/>
      <c r="B5" s="313"/>
      <c r="C5" s="303"/>
      <c r="D5" s="303"/>
      <c r="E5" s="303"/>
      <c r="F5" s="303"/>
      <c r="G5" s="306"/>
      <c r="H5" s="3">
        <v>1</v>
      </c>
      <c r="I5" s="2">
        <v>2</v>
      </c>
      <c r="J5" s="2">
        <v>3</v>
      </c>
      <c r="K5" s="4" t="s">
        <v>7</v>
      </c>
      <c r="L5" s="3">
        <v>1</v>
      </c>
      <c r="M5" s="2">
        <v>2</v>
      </c>
      <c r="N5" s="2">
        <v>3</v>
      </c>
      <c r="O5" s="4" t="s">
        <v>7</v>
      </c>
      <c r="P5" s="309"/>
      <c r="Q5" s="303"/>
      <c r="R5" s="310"/>
    </row>
    <row r="6" spans="1:18" ht="15" x14ac:dyDescent="0.2">
      <c r="B6" s="299" t="s">
        <v>4005</v>
      </c>
      <c r="C6" s="299"/>
      <c r="D6" s="299"/>
      <c r="E6" s="299"/>
      <c r="F6" s="299"/>
      <c r="G6" s="299"/>
      <c r="H6" s="299"/>
      <c r="I6" s="299"/>
      <c r="J6" s="299"/>
      <c r="K6" s="299"/>
      <c r="L6" s="299"/>
      <c r="M6" s="299"/>
      <c r="N6" s="299"/>
      <c r="O6" s="299"/>
      <c r="P6" s="299"/>
      <c r="Q6" s="299"/>
    </row>
    <row r="7" spans="1:18" x14ac:dyDescent="0.2">
      <c r="A7" s="43">
        <v>1</v>
      </c>
      <c r="B7" s="7" t="s">
        <v>524</v>
      </c>
      <c r="C7" s="7" t="s">
        <v>525</v>
      </c>
      <c r="D7" s="7" t="s">
        <v>526</v>
      </c>
      <c r="E7" s="7" t="str">
        <f>"2,1824"</f>
        <v>2,1824</v>
      </c>
      <c r="F7" s="7" t="s">
        <v>4020</v>
      </c>
      <c r="G7" s="7" t="s">
        <v>796</v>
      </c>
      <c r="H7" s="34" t="s">
        <v>60</v>
      </c>
      <c r="I7" s="41" t="s">
        <v>93</v>
      </c>
      <c r="J7" s="41" t="s">
        <v>93</v>
      </c>
      <c r="K7" s="20"/>
      <c r="L7" s="41" t="s">
        <v>104</v>
      </c>
      <c r="M7" s="34" t="s">
        <v>23</v>
      </c>
      <c r="N7" s="41" t="s">
        <v>116</v>
      </c>
      <c r="O7" s="20"/>
      <c r="P7" s="28">
        <v>187.5</v>
      </c>
      <c r="Q7" s="19" t="str">
        <f>"409,2000"</f>
        <v>409,2000</v>
      </c>
      <c r="R7" s="7" t="s">
        <v>3391</v>
      </c>
    </row>
    <row r="9" spans="1:18" ht="15" x14ac:dyDescent="0.2">
      <c r="B9" s="294" t="s">
        <v>4014</v>
      </c>
      <c r="C9" s="294"/>
      <c r="D9" s="294"/>
      <c r="E9" s="294"/>
      <c r="F9" s="294"/>
      <c r="G9" s="294"/>
      <c r="H9" s="294"/>
      <c r="I9" s="294"/>
      <c r="J9" s="294"/>
      <c r="K9" s="294"/>
      <c r="L9" s="294"/>
      <c r="M9" s="294"/>
      <c r="N9" s="294"/>
      <c r="O9" s="294"/>
      <c r="P9" s="294"/>
      <c r="Q9" s="294"/>
    </row>
    <row r="10" spans="1:18" x14ac:dyDescent="0.2">
      <c r="A10" s="43">
        <v>1</v>
      </c>
      <c r="B10" s="15" t="s">
        <v>527</v>
      </c>
      <c r="C10" s="15" t="s">
        <v>528</v>
      </c>
      <c r="D10" s="15" t="s">
        <v>529</v>
      </c>
      <c r="E10" s="15" t="str">
        <f>"1,9508"</f>
        <v>1,9508</v>
      </c>
      <c r="F10" s="15" t="s">
        <v>4020</v>
      </c>
      <c r="G10" s="15" t="s">
        <v>796</v>
      </c>
      <c r="H10" s="35" t="s">
        <v>52</v>
      </c>
      <c r="I10" s="35" t="s">
        <v>44</v>
      </c>
      <c r="J10" s="38" t="s">
        <v>45</v>
      </c>
      <c r="K10" s="22"/>
      <c r="L10" s="35" t="s">
        <v>76</v>
      </c>
      <c r="M10" s="35" t="s">
        <v>69</v>
      </c>
      <c r="N10" s="38" t="s">
        <v>70</v>
      </c>
      <c r="O10" s="22"/>
      <c r="P10" s="29">
        <v>152.5</v>
      </c>
      <c r="Q10" s="21" t="str">
        <f>"297,4970"</f>
        <v>297,4970</v>
      </c>
      <c r="R10" s="15" t="s">
        <v>752</v>
      </c>
    </row>
    <row r="11" spans="1:18" x14ac:dyDescent="0.2">
      <c r="A11" s="43">
        <v>1</v>
      </c>
      <c r="B11" s="17" t="s">
        <v>527</v>
      </c>
      <c r="C11" s="17" t="s">
        <v>530</v>
      </c>
      <c r="D11" s="17" t="s">
        <v>529</v>
      </c>
      <c r="E11" s="17" t="str">
        <f>"1,9508"</f>
        <v>1,9508</v>
      </c>
      <c r="F11" s="17" t="s">
        <v>4020</v>
      </c>
      <c r="G11" s="17" t="s">
        <v>796</v>
      </c>
      <c r="H11" s="37" t="s">
        <v>52</v>
      </c>
      <c r="I11" s="37" t="s">
        <v>44</v>
      </c>
      <c r="J11" s="39" t="s">
        <v>45</v>
      </c>
      <c r="K11" s="26"/>
      <c r="L11" s="37" t="s">
        <v>76</v>
      </c>
      <c r="M11" s="37" t="s">
        <v>69</v>
      </c>
      <c r="N11" s="39" t="s">
        <v>70</v>
      </c>
      <c r="O11" s="26"/>
      <c r="P11" s="31">
        <v>152.5</v>
      </c>
      <c r="Q11" s="25" t="str">
        <f>"297,4970"</f>
        <v>297,4970</v>
      </c>
      <c r="R11" s="17" t="s">
        <v>752</v>
      </c>
    </row>
    <row r="13" spans="1:18" ht="15" x14ac:dyDescent="0.2">
      <c r="B13" s="294" t="s">
        <v>4006</v>
      </c>
      <c r="C13" s="294"/>
      <c r="D13" s="294"/>
      <c r="E13" s="294"/>
      <c r="F13" s="294"/>
      <c r="G13" s="294"/>
      <c r="H13" s="294"/>
      <c r="I13" s="294"/>
      <c r="J13" s="294"/>
      <c r="K13" s="294"/>
      <c r="L13" s="294"/>
      <c r="M13" s="294"/>
      <c r="N13" s="294"/>
      <c r="O13" s="294"/>
      <c r="P13" s="294"/>
      <c r="Q13" s="294"/>
    </row>
    <row r="14" spans="1:18" x14ac:dyDescent="0.2">
      <c r="A14" s="43">
        <v>1</v>
      </c>
      <c r="B14" s="15" t="s">
        <v>531</v>
      </c>
      <c r="C14" s="15" t="s">
        <v>532</v>
      </c>
      <c r="D14" s="15" t="s">
        <v>133</v>
      </c>
      <c r="E14" s="15" t="str">
        <f>"1,8162"</f>
        <v>1,8162</v>
      </c>
      <c r="F14" s="15" t="s">
        <v>863</v>
      </c>
      <c r="G14" s="15" t="s">
        <v>834</v>
      </c>
      <c r="H14" s="35" t="s">
        <v>59</v>
      </c>
      <c r="I14" s="35" t="s">
        <v>93</v>
      </c>
      <c r="J14" s="38" t="s">
        <v>86</v>
      </c>
      <c r="K14" s="22"/>
      <c r="L14" s="35" t="s">
        <v>46</v>
      </c>
      <c r="M14" s="35" t="s">
        <v>61</v>
      </c>
      <c r="N14" s="35" t="s">
        <v>76</v>
      </c>
      <c r="O14" s="22"/>
      <c r="P14" s="29">
        <v>155</v>
      </c>
      <c r="Q14" s="21" t="str">
        <f>"281,5110"</f>
        <v>281,5110</v>
      </c>
      <c r="R14" s="15" t="s">
        <v>750</v>
      </c>
    </row>
    <row r="15" spans="1:18" x14ac:dyDescent="0.2">
      <c r="A15" s="43">
        <v>1</v>
      </c>
      <c r="B15" s="16" t="s">
        <v>533</v>
      </c>
      <c r="C15" s="16" t="s">
        <v>534</v>
      </c>
      <c r="D15" s="16" t="s">
        <v>535</v>
      </c>
      <c r="E15" s="16" t="str">
        <f>"1,8210"</f>
        <v>1,8210</v>
      </c>
      <c r="F15" s="16" t="s">
        <v>857</v>
      </c>
      <c r="G15" s="16" t="s">
        <v>870</v>
      </c>
      <c r="H15" s="40" t="s">
        <v>45</v>
      </c>
      <c r="I15" s="36" t="s">
        <v>45</v>
      </c>
      <c r="J15" s="40" t="s">
        <v>92</v>
      </c>
      <c r="K15" s="24"/>
      <c r="L15" s="40" t="s">
        <v>76</v>
      </c>
      <c r="M15" s="36" t="s">
        <v>76</v>
      </c>
      <c r="N15" s="40" t="s">
        <v>97</v>
      </c>
      <c r="O15" s="24"/>
      <c r="P15" s="30">
        <v>145</v>
      </c>
      <c r="Q15" s="23" t="str">
        <f>"264,0450"</f>
        <v>264,0450</v>
      </c>
      <c r="R15" s="16" t="s">
        <v>3391</v>
      </c>
    </row>
    <row r="16" spans="1:18" x14ac:dyDescent="0.2">
      <c r="A16" s="43">
        <v>1</v>
      </c>
      <c r="B16" s="16" t="s">
        <v>536</v>
      </c>
      <c r="C16" s="16" t="s">
        <v>537</v>
      </c>
      <c r="D16" s="16" t="s">
        <v>336</v>
      </c>
      <c r="E16" s="16" t="str">
        <f>"1,8032"</f>
        <v>1,8032</v>
      </c>
      <c r="F16" s="16" t="s">
        <v>4020</v>
      </c>
      <c r="G16" s="16" t="s">
        <v>871</v>
      </c>
      <c r="H16" s="36" t="s">
        <v>41</v>
      </c>
      <c r="I16" s="36" t="s">
        <v>42</v>
      </c>
      <c r="J16" s="40" t="s">
        <v>43</v>
      </c>
      <c r="K16" s="24"/>
      <c r="L16" s="36" t="s">
        <v>169</v>
      </c>
      <c r="M16" s="36" t="s">
        <v>112</v>
      </c>
      <c r="N16" s="36" t="s">
        <v>104</v>
      </c>
      <c r="O16" s="24"/>
      <c r="P16" s="30">
        <v>210</v>
      </c>
      <c r="Q16" s="23" t="str">
        <f>"378,6720"</f>
        <v>378,6720</v>
      </c>
      <c r="R16" s="16" t="s">
        <v>751</v>
      </c>
    </row>
    <row r="17" spans="1:18" x14ac:dyDescent="0.2">
      <c r="A17" s="43">
        <v>1</v>
      </c>
      <c r="B17" s="17" t="s">
        <v>531</v>
      </c>
      <c r="C17" s="17" t="s">
        <v>538</v>
      </c>
      <c r="D17" s="17" t="s">
        <v>133</v>
      </c>
      <c r="E17" s="17" t="str">
        <f>"1,8162"</f>
        <v>1,8162</v>
      </c>
      <c r="F17" s="17" t="s">
        <v>863</v>
      </c>
      <c r="G17" s="17" t="s">
        <v>834</v>
      </c>
      <c r="H17" s="37" t="s">
        <v>59</v>
      </c>
      <c r="I17" s="37" t="s">
        <v>93</v>
      </c>
      <c r="J17" s="39" t="s">
        <v>86</v>
      </c>
      <c r="K17" s="26"/>
      <c r="L17" s="37" t="s">
        <v>46</v>
      </c>
      <c r="M17" s="37" t="s">
        <v>61</v>
      </c>
      <c r="N17" s="37" t="s">
        <v>76</v>
      </c>
      <c r="O17" s="26"/>
      <c r="P17" s="31">
        <v>155</v>
      </c>
      <c r="Q17" s="25" t="str">
        <f>"281,5110"</f>
        <v>281,5110</v>
      </c>
      <c r="R17" s="17" t="s">
        <v>750</v>
      </c>
    </row>
    <row r="19" spans="1:18" ht="15" x14ac:dyDescent="0.2">
      <c r="B19" s="294" t="s">
        <v>4007</v>
      </c>
      <c r="C19" s="294"/>
      <c r="D19" s="294"/>
      <c r="E19" s="294"/>
      <c r="F19" s="294"/>
      <c r="G19" s="294"/>
      <c r="H19" s="294"/>
      <c r="I19" s="294"/>
      <c r="J19" s="294"/>
      <c r="K19" s="294"/>
      <c r="L19" s="294"/>
      <c r="M19" s="294"/>
      <c r="N19" s="294"/>
      <c r="O19" s="294"/>
      <c r="P19" s="294"/>
      <c r="Q19" s="294"/>
    </row>
    <row r="20" spans="1:18" x14ac:dyDescent="0.2">
      <c r="A20" s="43">
        <v>1</v>
      </c>
      <c r="B20" s="7" t="s">
        <v>539</v>
      </c>
      <c r="C20" s="7" t="s">
        <v>540</v>
      </c>
      <c r="D20" s="7" t="s">
        <v>541</v>
      </c>
      <c r="E20" s="7" t="str">
        <f>"1,6980"</f>
        <v>1,6980</v>
      </c>
      <c r="F20" s="7" t="s">
        <v>4020</v>
      </c>
      <c r="G20" s="7" t="s">
        <v>871</v>
      </c>
      <c r="H20" s="34" t="s">
        <v>67</v>
      </c>
      <c r="I20" s="34" t="s">
        <v>68</v>
      </c>
      <c r="J20" s="34" t="s">
        <v>51</v>
      </c>
      <c r="K20" s="20"/>
      <c r="L20" s="41" t="s">
        <v>112</v>
      </c>
      <c r="M20" s="34" t="s">
        <v>112</v>
      </c>
      <c r="N20" s="34" t="s">
        <v>165</v>
      </c>
      <c r="O20" s="20"/>
      <c r="P20" s="28">
        <v>202.5</v>
      </c>
      <c r="Q20" s="19" t="str">
        <f>"343,8450"</f>
        <v>343,8450</v>
      </c>
      <c r="R20" s="7" t="s">
        <v>749</v>
      </c>
    </row>
    <row r="22" spans="1:18" ht="15" x14ac:dyDescent="0.2">
      <c r="B22" s="294" t="s">
        <v>4007</v>
      </c>
      <c r="C22" s="294"/>
      <c r="D22" s="294"/>
      <c r="E22" s="294"/>
      <c r="F22" s="294"/>
      <c r="G22" s="294"/>
      <c r="H22" s="294"/>
      <c r="I22" s="294"/>
      <c r="J22" s="294"/>
      <c r="K22" s="294"/>
      <c r="L22" s="294"/>
      <c r="M22" s="294"/>
      <c r="N22" s="294"/>
      <c r="O22" s="294"/>
      <c r="P22" s="294"/>
      <c r="Q22" s="294"/>
    </row>
    <row r="23" spans="1:18" x14ac:dyDescent="0.2">
      <c r="A23" s="43">
        <v>1</v>
      </c>
      <c r="B23" s="7" t="s">
        <v>383</v>
      </c>
      <c r="C23" s="7" t="s">
        <v>384</v>
      </c>
      <c r="D23" s="7" t="s">
        <v>542</v>
      </c>
      <c r="E23" s="7" t="str">
        <f>"1,2400"</f>
        <v>1,2400</v>
      </c>
      <c r="F23" s="7" t="s">
        <v>4020</v>
      </c>
      <c r="G23" s="7" t="s">
        <v>796</v>
      </c>
      <c r="H23" s="34" t="s">
        <v>76</v>
      </c>
      <c r="I23" s="34" t="s">
        <v>97</v>
      </c>
      <c r="J23" s="41" t="s">
        <v>66</v>
      </c>
      <c r="K23" s="20"/>
      <c r="L23" s="34" t="s">
        <v>127</v>
      </c>
      <c r="M23" s="34" t="s">
        <v>142</v>
      </c>
      <c r="N23" s="34" t="s">
        <v>11</v>
      </c>
      <c r="O23" s="20"/>
      <c r="P23" s="28">
        <v>285</v>
      </c>
      <c r="Q23" s="19" t="str">
        <f>"519,4980"</f>
        <v>519,4980</v>
      </c>
      <c r="R23" s="7" t="s">
        <v>747</v>
      </c>
    </row>
    <row r="25" spans="1:18" ht="15" x14ac:dyDescent="0.2">
      <c r="B25" s="294" t="s">
        <v>4008</v>
      </c>
      <c r="C25" s="294"/>
      <c r="D25" s="294"/>
      <c r="E25" s="294"/>
      <c r="F25" s="294"/>
      <c r="G25" s="294"/>
      <c r="H25" s="294"/>
      <c r="I25" s="294"/>
      <c r="J25" s="294"/>
      <c r="K25" s="294"/>
      <c r="L25" s="294"/>
      <c r="M25" s="294"/>
      <c r="N25" s="294"/>
      <c r="O25" s="294"/>
      <c r="P25" s="294"/>
      <c r="Q25" s="294"/>
    </row>
    <row r="26" spans="1:18" x14ac:dyDescent="0.2">
      <c r="A26" s="43">
        <v>1</v>
      </c>
      <c r="B26" s="15" t="s">
        <v>391</v>
      </c>
      <c r="C26" s="15" t="s">
        <v>392</v>
      </c>
      <c r="D26" s="15" t="s">
        <v>393</v>
      </c>
      <c r="E26" s="15" t="str">
        <f>"1,1470"</f>
        <v>1,1470</v>
      </c>
      <c r="F26" s="15" t="s">
        <v>857</v>
      </c>
      <c r="G26" s="15" t="s">
        <v>796</v>
      </c>
      <c r="H26" s="35" t="s">
        <v>46</v>
      </c>
      <c r="I26" s="38" t="s">
        <v>91</v>
      </c>
      <c r="J26" s="35" t="s">
        <v>91</v>
      </c>
      <c r="K26" s="22"/>
      <c r="L26" s="35" t="s">
        <v>36</v>
      </c>
      <c r="M26" s="35" t="s">
        <v>127</v>
      </c>
      <c r="N26" s="38" t="s">
        <v>142</v>
      </c>
      <c r="O26" s="22"/>
      <c r="P26" s="29">
        <v>252.5</v>
      </c>
      <c r="Q26" s="21" t="str">
        <f>"289,6175"</f>
        <v>289,6175</v>
      </c>
      <c r="R26" s="15" t="s">
        <v>748</v>
      </c>
    </row>
    <row r="27" spans="1:18" x14ac:dyDescent="0.2">
      <c r="A27" s="43">
        <v>1</v>
      </c>
      <c r="B27" s="16" t="s">
        <v>394</v>
      </c>
      <c r="C27" s="16" t="s">
        <v>395</v>
      </c>
      <c r="D27" s="16" t="s">
        <v>396</v>
      </c>
      <c r="E27" s="16" t="str">
        <f>"1,1748"</f>
        <v>1,1748</v>
      </c>
      <c r="F27" s="16" t="s">
        <v>492</v>
      </c>
      <c r="G27" s="16" t="s">
        <v>818</v>
      </c>
      <c r="H27" s="36" t="s">
        <v>81</v>
      </c>
      <c r="I27" s="36" t="s">
        <v>91</v>
      </c>
      <c r="J27" s="40" t="s">
        <v>61</v>
      </c>
      <c r="K27" s="24"/>
      <c r="L27" s="36" t="s">
        <v>126</v>
      </c>
      <c r="M27" s="40" t="s">
        <v>25</v>
      </c>
      <c r="N27" s="40" t="s">
        <v>25</v>
      </c>
      <c r="O27" s="24"/>
      <c r="P27" s="30">
        <v>237.5</v>
      </c>
      <c r="Q27" s="23" t="str">
        <f>"279,0150"</f>
        <v>279,0150</v>
      </c>
      <c r="R27" s="16" t="s">
        <v>3391</v>
      </c>
    </row>
    <row r="28" spans="1:18" x14ac:dyDescent="0.2">
      <c r="A28" s="43">
        <v>1</v>
      </c>
      <c r="B28" s="17" t="s">
        <v>413</v>
      </c>
      <c r="C28" s="17" t="s">
        <v>414</v>
      </c>
      <c r="D28" s="17" t="s">
        <v>399</v>
      </c>
      <c r="E28" s="17" t="str">
        <f>"1,1518"</f>
        <v>1,1518</v>
      </c>
      <c r="F28" s="17" t="s">
        <v>827</v>
      </c>
      <c r="G28" s="17" t="s">
        <v>875</v>
      </c>
      <c r="H28" s="37" t="s">
        <v>76</v>
      </c>
      <c r="I28" s="39" t="s">
        <v>97</v>
      </c>
      <c r="J28" s="26"/>
      <c r="K28" s="26"/>
      <c r="L28" s="37" t="s">
        <v>140</v>
      </c>
      <c r="M28" s="37" t="s">
        <v>24</v>
      </c>
      <c r="N28" s="37" t="s">
        <v>144</v>
      </c>
      <c r="O28" s="26"/>
      <c r="P28" s="31">
        <v>330</v>
      </c>
      <c r="Q28" s="25" t="str">
        <f>"492,9819"</f>
        <v>492,9819</v>
      </c>
      <c r="R28" s="17" t="s">
        <v>736</v>
      </c>
    </row>
    <row r="30" spans="1:18" ht="15" x14ac:dyDescent="0.2">
      <c r="B30" s="294" t="s">
        <v>4009</v>
      </c>
      <c r="C30" s="294"/>
      <c r="D30" s="294"/>
      <c r="E30" s="294"/>
      <c r="F30" s="294"/>
      <c r="G30" s="294"/>
      <c r="H30" s="294"/>
      <c r="I30" s="294"/>
      <c r="J30" s="294"/>
      <c r="K30" s="294"/>
      <c r="L30" s="294"/>
      <c r="M30" s="294"/>
      <c r="N30" s="294"/>
      <c r="O30" s="294"/>
      <c r="P30" s="294"/>
      <c r="Q30" s="294"/>
    </row>
    <row r="31" spans="1:18" x14ac:dyDescent="0.2">
      <c r="A31" s="43">
        <v>1</v>
      </c>
      <c r="B31" s="15" t="s">
        <v>543</v>
      </c>
      <c r="C31" s="15" t="s">
        <v>544</v>
      </c>
      <c r="D31" s="15" t="s">
        <v>545</v>
      </c>
      <c r="E31" s="15" t="str">
        <f>"1,0328"</f>
        <v>1,0328</v>
      </c>
      <c r="F31" s="15" t="s">
        <v>4020</v>
      </c>
      <c r="G31" s="15" t="s">
        <v>846</v>
      </c>
      <c r="H31" s="35" t="s">
        <v>69</v>
      </c>
      <c r="I31" s="35" t="s">
        <v>71</v>
      </c>
      <c r="J31" s="38" t="s">
        <v>112</v>
      </c>
      <c r="K31" s="22"/>
      <c r="L31" s="35" t="s">
        <v>140</v>
      </c>
      <c r="M31" s="35" t="s">
        <v>143</v>
      </c>
      <c r="N31" s="38" t="s">
        <v>187</v>
      </c>
      <c r="O31" s="22"/>
      <c r="P31" s="29">
        <v>330</v>
      </c>
      <c r="Q31" s="21" t="str">
        <f>"340,8240"</f>
        <v>340,8240</v>
      </c>
      <c r="R31" s="15" t="s">
        <v>546</v>
      </c>
    </row>
    <row r="32" spans="1:18" x14ac:dyDescent="0.2">
      <c r="A32" s="43">
        <v>1</v>
      </c>
      <c r="B32" s="17" t="s">
        <v>199</v>
      </c>
      <c r="C32" s="17" t="s">
        <v>547</v>
      </c>
      <c r="D32" s="17" t="s">
        <v>201</v>
      </c>
      <c r="E32" s="17" t="str">
        <f>"1,0298"</f>
        <v>1,0298</v>
      </c>
      <c r="F32" s="17" t="s">
        <v>863</v>
      </c>
      <c r="G32" s="17" t="s">
        <v>834</v>
      </c>
      <c r="H32" s="37" t="s">
        <v>169</v>
      </c>
      <c r="I32" s="37" t="s">
        <v>157</v>
      </c>
      <c r="J32" s="37" t="s">
        <v>158</v>
      </c>
      <c r="K32" s="26"/>
      <c r="L32" s="37" t="s">
        <v>24</v>
      </c>
      <c r="M32" s="37" t="s">
        <v>144</v>
      </c>
      <c r="N32" s="37" t="s">
        <v>202</v>
      </c>
      <c r="O32" s="26"/>
      <c r="P32" s="31">
        <v>370</v>
      </c>
      <c r="Q32" s="25" t="str">
        <f>"381,0260"</f>
        <v>381,0260</v>
      </c>
      <c r="R32" s="17" t="s">
        <v>3391</v>
      </c>
    </row>
    <row r="34" spans="1:18" ht="15" x14ac:dyDescent="0.2">
      <c r="B34" s="294" t="s">
        <v>4010</v>
      </c>
      <c r="C34" s="294"/>
      <c r="D34" s="294"/>
      <c r="E34" s="294"/>
      <c r="F34" s="294"/>
      <c r="G34" s="294"/>
      <c r="H34" s="294"/>
      <c r="I34" s="294"/>
      <c r="J34" s="294"/>
      <c r="K34" s="294"/>
      <c r="L34" s="294"/>
      <c r="M34" s="294"/>
      <c r="N34" s="294"/>
      <c r="O34" s="294"/>
      <c r="P34" s="294"/>
      <c r="Q34" s="294"/>
    </row>
    <row r="35" spans="1:18" x14ac:dyDescent="0.2">
      <c r="A35" s="43">
        <v>1</v>
      </c>
      <c r="B35" s="15" t="s">
        <v>443</v>
      </c>
      <c r="C35" s="15" t="s">
        <v>444</v>
      </c>
      <c r="D35" s="15" t="s">
        <v>445</v>
      </c>
      <c r="E35" s="15" t="str">
        <f>"0,9924"</f>
        <v>0,9924</v>
      </c>
      <c r="F35" s="15" t="s">
        <v>4020</v>
      </c>
      <c r="G35" s="15" t="s">
        <v>872</v>
      </c>
      <c r="H35" s="38" t="s">
        <v>107</v>
      </c>
      <c r="I35" s="35" t="s">
        <v>107</v>
      </c>
      <c r="J35" s="38" t="s">
        <v>140</v>
      </c>
      <c r="K35" s="22"/>
      <c r="L35" s="35" t="s">
        <v>35</v>
      </c>
      <c r="M35" s="35" t="s">
        <v>287</v>
      </c>
      <c r="N35" s="38" t="s">
        <v>274</v>
      </c>
      <c r="O35" s="22"/>
      <c r="P35" s="29">
        <v>480</v>
      </c>
      <c r="Q35" s="21" t="str">
        <f>"476,3520"</f>
        <v>476,3520</v>
      </c>
      <c r="R35" s="15" t="s">
        <v>3391</v>
      </c>
    </row>
    <row r="36" spans="1:18" x14ac:dyDescent="0.2">
      <c r="A36" s="43">
        <v>2</v>
      </c>
      <c r="B36" s="16" t="s">
        <v>27</v>
      </c>
      <c r="C36" s="16" t="s">
        <v>28</v>
      </c>
      <c r="D36" s="16" t="s">
        <v>29</v>
      </c>
      <c r="E36" s="16" t="str">
        <f>"0,9720"</f>
        <v>0,9720</v>
      </c>
      <c r="F36" s="16" t="s">
        <v>3181</v>
      </c>
      <c r="G36" s="16" t="s">
        <v>3308</v>
      </c>
      <c r="H36" s="36" t="s">
        <v>127</v>
      </c>
      <c r="I36" s="40" t="s">
        <v>30</v>
      </c>
      <c r="J36" s="36" t="s">
        <v>30</v>
      </c>
      <c r="K36" s="24"/>
      <c r="L36" s="36" t="s">
        <v>37</v>
      </c>
      <c r="M36" s="36" t="s">
        <v>15</v>
      </c>
      <c r="N36" s="36" t="s">
        <v>16</v>
      </c>
      <c r="O36" s="24"/>
      <c r="P36" s="30">
        <v>442.5</v>
      </c>
      <c r="Q36" s="23" t="str">
        <f>"430,1100"</f>
        <v>430,1100</v>
      </c>
      <c r="R36" s="16" t="s">
        <v>31</v>
      </c>
    </row>
    <row r="37" spans="1:18" x14ac:dyDescent="0.2">
      <c r="A37" s="43">
        <v>3</v>
      </c>
      <c r="B37" s="17" t="s">
        <v>548</v>
      </c>
      <c r="C37" s="17" t="s">
        <v>549</v>
      </c>
      <c r="D37" s="17" t="s">
        <v>550</v>
      </c>
      <c r="E37" s="17" t="str">
        <f>"1,0052"</f>
        <v>1,0052</v>
      </c>
      <c r="F37" s="17" t="s">
        <v>868</v>
      </c>
      <c r="G37" s="17" t="s">
        <v>796</v>
      </c>
      <c r="H37" s="37" t="s">
        <v>69</v>
      </c>
      <c r="I37" s="37" t="s">
        <v>70</v>
      </c>
      <c r="J37" s="37" t="s">
        <v>71</v>
      </c>
      <c r="K37" s="26"/>
      <c r="L37" s="37" t="s">
        <v>36</v>
      </c>
      <c r="M37" s="37" t="s">
        <v>141</v>
      </c>
      <c r="N37" s="39" t="s">
        <v>156</v>
      </c>
      <c r="O37" s="26"/>
      <c r="P37" s="31">
        <v>285</v>
      </c>
      <c r="Q37" s="25" t="str">
        <f>"286,4820"</f>
        <v>286,4820</v>
      </c>
      <c r="R37" s="17" t="s">
        <v>746</v>
      </c>
    </row>
    <row r="39" spans="1:18" ht="15" x14ac:dyDescent="0.2">
      <c r="B39" s="294" t="s">
        <v>4011</v>
      </c>
      <c r="C39" s="294"/>
      <c r="D39" s="294"/>
      <c r="E39" s="294"/>
      <c r="F39" s="294"/>
      <c r="G39" s="294"/>
      <c r="H39" s="294"/>
      <c r="I39" s="294"/>
      <c r="J39" s="294"/>
      <c r="K39" s="294"/>
      <c r="L39" s="294"/>
      <c r="M39" s="294"/>
      <c r="N39" s="294"/>
      <c r="O39" s="294"/>
      <c r="P39" s="294"/>
      <c r="Q39" s="294"/>
    </row>
    <row r="40" spans="1:18" x14ac:dyDescent="0.2">
      <c r="A40" s="43">
        <v>1</v>
      </c>
      <c r="B40" s="114" t="s">
        <v>468</v>
      </c>
      <c r="C40" s="15" t="s">
        <v>469</v>
      </c>
      <c r="D40" s="150" t="s">
        <v>470</v>
      </c>
      <c r="E40" s="15" t="str">
        <f>"0,9182"</f>
        <v>0,9182</v>
      </c>
      <c r="F40" s="150" t="s">
        <v>492</v>
      </c>
      <c r="G40" s="114" t="s">
        <v>873</v>
      </c>
      <c r="H40" s="120" t="s">
        <v>127</v>
      </c>
      <c r="I40" s="38" t="s">
        <v>141</v>
      </c>
      <c r="J40" s="121" t="s">
        <v>141</v>
      </c>
      <c r="K40" s="22"/>
      <c r="L40" s="131" t="s">
        <v>644</v>
      </c>
      <c r="M40" s="38" t="s">
        <v>275</v>
      </c>
      <c r="N40" s="131" t="s">
        <v>275</v>
      </c>
      <c r="O40" s="289"/>
      <c r="P40" s="291">
        <v>475</v>
      </c>
      <c r="Q40" s="21" t="str">
        <f>"436,1450"</f>
        <v>436,1450</v>
      </c>
      <c r="R40" s="146" t="s">
        <v>3391</v>
      </c>
    </row>
    <row r="41" spans="1:18" x14ac:dyDescent="0.2">
      <c r="A41" s="43">
        <v>2</v>
      </c>
      <c r="B41" s="115" t="s">
        <v>480</v>
      </c>
      <c r="C41" s="16" t="s">
        <v>481</v>
      </c>
      <c r="D41" s="142" t="s">
        <v>482</v>
      </c>
      <c r="E41" s="16" t="str">
        <f>"0,9230"</f>
        <v>0,9230</v>
      </c>
      <c r="F41" s="142" t="s">
        <v>855</v>
      </c>
      <c r="G41" s="115" t="s">
        <v>796</v>
      </c>
      <c r="H41" s="123" t="s">
        <v>126</v>
      </c>
      <c r="I41" s="36" t="s">
        <v>36</v>
      </c>
      <c r="J41" s="137" t="s">
        <v>25</v>
      </c>
      <c r="K41" s="24"/>
      <c r="L41" s="136" t="s">
        <v>208</v>
      </c>
      <c r="M41" s="36" t="s">
        <v>261</v>
      </c>
      <c r="N41" s="136" t="s">
        <v>15</v>
      </c>
      <c r="O41" s="290"/>
      <c r="P41" s="292">
        <v>415</v>
      </c>
      <c r="Q41" s="23" t="str">
        <f>"383,0450"</f>
        <v>383,0450</v>
      </c>
      <c r="R41" s="140" t="s">
        <v>3391</v>
      </c>
    </row>
    <row r="42" spans="1:18" x14ac:dyDescent="0.2">
      <c r="A42" s="43">
        <v>3</v>
      </c>
      <c r="B42" s="115" t="s">
        <v>474</v>
      </c>
      <c r="C42" s="16" t="s">
        <v>493</v>
      </c>
      <c r="D42" s="142" t="s">
        <v>476</v>
      </c>
      <c r="E42" s="16" t="str">
        <f>"0,9174"</f>
        <v>0,9174</v>
      </c>
      <c r="F42" s="142" t="s">
        <v>111</v>
      </c>
      <c r="G42" s="115" t="s">
        <v>3249</v>
      </c>
      <c r="H42" s="123" t="s">
        <v>126</v>
      </c>
      <c r="I42" s="36" t="s">
        <v>36</v>
      </c>
      <c r="J42" s="137" t="s">
        <v>25</v>
      </c>
      <c r="K42" s="24"/>
      <c r="L42" s="286" t="s">
        <v>253</v>
      </c>
      <c r="M42" s="36" t="s">
        <v>253</v>
      </c>
      <c r="N42" s="136" t="s">
        <v>37</v>
      </c>
      <c r="O42" s="123" t="s">
        <v>261</v>
      </c>
      <c r="P42" s="292">
        <v>400</v>
      </c>
      <c r="Q42" s="23" t="str">
        <f>"388,9776"</f>
        <v>388,9776</v>
      </c>
      <c r="R42" s="140" t="s">
        <v>3391</v>
      </c>
    </row>
    <row r="43" spans="1:18" x14ac:dyDescent="0.2">
      <c r="A43" s="43">
        <v>1</v>
      </c>
      <c r="B43" s="116" t="s">
        <v>474</v>
      </c>
      <c r="C43" s="17" t="s">
        <v>493</v>
      </c>
      <c r="D43" s="50" t="s">
        <v>476</v>
      </c>
      <c r="E43" s="17" t="str">
        <f>"0,9174"</f>
        <v>0,9174</v>
      </c>
      <c r="F43" s="50" t="s">
        <v>111</v>
      </c>
      <c r="G43" s="116" t="s">
        <v>3249</v>
      </c>
      <c r="H43" s="127" t="s">
        <v>126</v>
      </c>
      <c r="I43" s="37" t="s">
        <v>36</v>
      </c>
      <c r="J43" s="287" t="s">
        <v>25</v>
      </c>
      <c r="K43" s="26"/>
      <c r="L43" s="288" t="s">
        <v>253</v>
      </c>
      <c r="M43" s="37" t="s">
        <v>253</v>
      </c>
      <c r="N43" s="138" t="s">
        <v>37</v>
      </c>
      <c r="O43" s="127" t="s">
        <v>261</v>
      </c>
      <c r="P43" s="293">
        <v>400</v>
      </c>
      <c r="Q43" s="25" t="str">
        <f>"388,9776"</f>
        <v>388,9776</v>
      </c>
      <c r="R43" s="141" t="s">
        <v>3391</v>
      </c>
    </row>
    <row r="45" spans="1:18" ht="15" x14ac:dyDescent="0.2">
      <c r="B45" s="294" t="s">
        <v>4012</v>
      </c>
      <c r="C45" s="294"/>
      <c r="D45" s="294"/>
      <c r="E45" s="294"/>
      <c r="F45" s="294"/>
      <c r="G45" s="294"/>
      <c r="H45" s="294"/>
      <c r="I45" s="294"/>
      <c r="J45" s="294"/>
      <c r="K45" s="294"/>
      <c r="L45" s="294"/>
      <c r="M45" s="294"/>
      <c r="N45" s="294"/>
      <c r="O45" s="294"/>
      <c r="P45" s="294"/>
      <c r="Q45" s="294"/>
    </row>
    <row r="46" spans="1:18" x14ac:dyDescent="0.2">
      <c r="A46" s="43">
        <v>1</v>
      </c>
      <c r="B46" s="15" t="s">
        <v>267</v>
      </c>
      <c r="C46" s="15" t="s">
        <v>268</v>
      </c>
      <c r="D46" s="15" t="s">
        <v>269</v>
      </c>
      <c r="E46" s="15" t="str">
        <f>"0,9090"</f>
        <v>0,9090</v>
      </c>
      <c r="F46" s="15" t="s">
        <v>863</v>
      </c>
      <c r="G46" s="114" t="s">
        <v>834</v>
      </c>
      <c r="H46" s="120" t="s">
        <v>25</v>
      </c>
      <c r="I46" s="35" t="s">
        <v>127</v>
      </c>
      <c r="J46" s="121" t="s">
        <v>155</v>
      </c>
      <c r="K46" s="22"/>
      <c r="L46" s="131" t="s">
        <v>140</v>
      </c>
      <c r="M46" s="35" t="s">
        <v>24</v>
      </c>
      <c r="N46" s="132" t="s">
        <v>188</v>
      </c>
      <c r="O46" s="117"/>
      <c r="P46" s="29">
        <v>392.5</v>
      </c>
      <c r="Q46" s="21" t="str">
        <f>"356,7825"</f>
        <v>356,7825</v>
      </c>
      <c r="R46" s="15" t="s">
        <v>3391</v>
      </c>
    </row>
    <row r="47" spans="1:18" x14ac:dyDescent="0.2">
      <c r="A47" s="43">
        <v>2</v>
      </c>
      <c r="B47" s="16" t="s">
        <v>551</v>
      </c>
      <c r="C47" s="16" t="s">
        <v>552</v>
      </c>
      <c r="D47" s="16" t="s">
        <v>553</v>
      </c>
      <c r="E47" s="16" t="str">
        <f>"0,8980"</f>
        <v>0,8980</v>
      </c>
      <c r="F47" s="16" t="s">
        <v>857</v>
      </c>
      <c r="G47" s="16" t="s">
        <v>796</v>
      </c>
      <c r="H47" s="36" t="s">
        <v>51</v>
      </c>
      <c r="I47" s="40" t="s">
        <v>41</v>
      </c>
      <c r="J47" s="40" t="s">
        <v>41</v>
      </c>
      <c r="K47" s="24"/>
      <c r="L47" s="36" t="s">
        <v>23</v>
      </c>
      <c r="M47" s="36" t="s">
        <v>126</v>
      </c>
      <c r="N47" s="36" t="s">
        <v>148</v>
      </c>
      <c r="O47" s="24"/>
      <c r="P47" s="30">
        <v>227.5</v>
      </c>
      <c r="Q47" s="23" t="str">
        <f>"204,2950"</f>
        <v>204,2950</v>
      </c>
      <c r="R47" s="16" t="s">
        <v>724</v>
      </c>
    </row>
    <row r="48" spans="1:18" x14ac:dyDescent="0.2">
      <c r="A48" s="43">
        <v>1</v>
      </c>
      <c r="B48" s="17" t="s">
        <v>494</v>
      </c>
      <c r="C48" s="17" t="s">
        <v>495</v>
      </c>
      <c r="D48" s="17" t="s">
        <v>496</v>
      </c>
      <c r="E48" s="17" t="str">
        <f>"0,9090"</f>
        <v>0,9090</v>
      </c>
      <c r="F48" s="17" t="s">
        <v>869</v>
      </c>
      <c r="G48" s="17" t="s">
        <v>796</v>
      </c>
      <c r="H48" s="37" t="s">
        <v>116</v>
      </c>
      <c r="I48" s="37" t="s">
        <v>36</v>
      </c>
      <c r="J48" s="39" t="s">
        <v>127</v>
      </c>
      <c r="K48" s="26"/>
      <c r="L48" s="37" t="s">
        <v>24</v>
      </c>
      <c r="M48" s="37" t="s">
        <v>253</v>
      </c>
      <c r="N48" s="37" t="s">
        <v>37</v>
      </c>
      <c r="O48" s="26"/>
      <c r="P48" s="31">
        <v>400</v>
      </c>
      <c r="Q48" s="25" t="str">
        <f>"368,6904"</f>
        <v>368,6904</v>
      </c>
      <c r="R48" s="17" t="s">
        <v>3391</v>
      </c>
    </row>
    <row r="50" spans="1:18" ht="15" x14ac:dyDescent="0.2">
      <c r="B50" s="311" t="s">
        <v>4013</v>
      </c>
      <c r="C50" s="311"/>
      <c r="D50" s="311"/>
      <c r="E50" s="311"/>
      <c r="F50" s="311"/>
      <c r="G50" s="311"/>
      <c r="H50" s="311"/>
      <c r="I50" s="311"/>
      <c r="J50" s="311"/>
      <c r="K50" s="311"/>
      <c r="L50" s="311"/>
      <c r="M50" s="311"/>
      <c r="N50" s="311"/>
      <c r="O50" s="311"/>
      <c r="P50" s="311"/>
      <c r="Q50" s="311"/>
      <c r="R50" s="50"/>
    </row>
    <row r="51" spans="1:18" x14ac:dyDescent="0.2">
      <c r="A51" s="43">
        <v>1</v>
      </c>
      <c r="B51" s="17" t="s">
        <v>280</v>
      </c>
      <c r="C51" s="17" t="s">
        <v>281</v>
      </c>
      <c r="D51" s="17" t="s">
        <v>282</v>
      </c>
      <c r="E51" s="17" t="str">
        <f>"0,8820"</f>
        <v>0,8820</v>
      </c>
      <c r="F51" s="17" t="s">
        <v>853</v>
      </c>
      <c r="G51" s="17" t="s">
        <v>838</v>
      </c>
      <c r="H51" s="37" t="s">
        <v>97</v>
      </c>
      <c r="I51" s="37" t="s">
        <v>112</v>
      </c>
      <c r="J51" s="37" t="s">
        <v>165</v>
      </c>
      <c r="K51" s="26"/>
      <c r="L51" s="37" t="s">
        <v>135</v>
      </c>
      <c r="M51" s="37" t="s">
        <v>208</v>
      </c>
      <c r="N51" s="37" t="s">
        <v>15</v>
      </c>
      <c r="O51" s="39" t="s">
        <v>35</v>
      </c>
      <c r="P51" s="31">
        <v>397.5</v>
      </c>
      <c r="Q51" s="25" t="str">
        <f>"430,5307"</f>
        <v>430,5307</v>
      </c>
      <c r="R51" s="17" t="s">
        <v>722</v>
      </c>
    </row>
    <row r="53" spans="1:18" ht="15" x14ac:dyDescent="0.2">
      <c r="B53" s="294" t="s">
        <v>4017</v>
      </c>
      <c r="C53" s="294"/>
      <c r="D53" s="294"/>
      <c r="E53" s="294"/>
      <c r="F53" s="294"/>
      <c r="G53" s="294"/>
      <c r="H53" s="294"/>
      <c r="I53" s="294"/>
      <c r="J53" s="294"/>
      <c r="K53" s="294"/>
      <c r="L53" s="294"/>
      <c r="M53" s="294"/>
      <c r="N53" s="294"/>
      <c r="O53" s="294"/>
      <c r="P53" s="294"/>
      <c r="Q53" s="294"/>
    </row>
    <row r="54" spans="1:18" x14ac:dyDescent="0.2">
      <c r="A54" s="43">
        <v>1</v>
      </c>
      <c r="B54" s="7" t="s">
        <v>508</v>
      </c>
      <c r="C54" s="7" t="s">
        <v>509</v>
      </c>
      <c r="D54" s="7" t="s">
        <v>510</v>
      </c>
      <c r="E54" s="7" t="str">
        <f>"0,8380"</f>
        <v>0,8380</v>
      </c>
      <c r="F54" s="7" t="s">
        <v>492</v>
      </c>
      <c r="G54" s="7" t="s">
        <v>821</v>
      </c>
      <c r="H54" s="34" t="s">
        <v>71</v>
      </c>
      <c r="I54" s="41" t="s">
        <v>104</v>
      </c>
      <c r="J54" s="41" t="s">
        <v>104</v>
      </c>
      <c r="K54" s="20"/>
      <c r="L54" s="34" t="s">
        <v>261</v>
      </c>
      <c r="M54" s="34" t="s">
        <v>511</v>
      </c>
      <c r="N54" s="41" t="s">
        <v>16</v>
      </c>
      <c r="O54" s="20"/>
      <c r="P54" s="28">
        <v>392.5</v>
      </c>
      <c r="Q54" s="19" t="str">
        <f>"328,9150"</f>
        <v>328,9150</v>
      </c>
      <c r="R54" s="7" t="s">
        <v>3391</v>
      </c>
    </row>
    <row r="56" spans="1:18" ht="18" x14ac:dyDescent="0.25">
      <c r="B56" s="8" t="s">
        <v>4022</v>
      </c>
      <c r="C56" s="8"/>
    </row>
    <row r="57" spans="1:18" ht="18.75" x14ac:dyDescent="0.3">
      <c r="B57" s="242" t="s">
        <v>3499</v>
      </c>
      <c r="C57" s="8"/>
    </row>
    <row r="58" spans="1:18" ht="14.25" x14ac:dyDescent="0.2">
      <c r="B58" s="11"/>
      <c r="C58" s="12" t="s">
        <v>18</v>
      </c>
    </row>
    <row r="59" spans="1:18" ht="15" x14ac:dyDescent="0.2">
      <c r="B59" s="13" t="s">
        <v>0</v>
      </c>
      <c r="C59" s="13" t="s">
        <v>19</v>
      </c>
      <c r="D59" s="13" t="s">
        <v>20</v>
      </c>
      <c r="E59" s="13" t="s">
        <v>3593</v>
      </c>
      <c r="F59" s="13" t="s">
        <v>9</v>
      </c>
    </row>
    <row r="60" spans="1:18" x14ac:dyDescent="0.2">
      <c r="A60" s="43">
        <v>1</v>
      </c>
      <c r="B60" s="10" t="s">
        <v>443</v>
      </c>
      <c r="C60" s="18" t="s">
        <v>18</v>
      </c>
      <c r="D60" s="27" t="s">
        <v>46</v>
      </c>
      <c r="E60" s="27" t="s">
        <v>554</v>
      </c>
      <c r="F60" s="27" t="s">
        <v>555</v>
      </c>
    </row>
    <row r="61" spans="1:18" x14ac:dyDescent="0.2">
      <c r="A61" s="43">
        <v>2</v>
      </c>
      <c r="B61" s="10" t="s">
        <v>468</v>
      </c>
      <c r="C61" s="18" t="s">
        <v>18</v>
      </c>
      <c r="D61" s="27" t="s">
        <v>76</v>
      </c>
      <c r="E61" s="27" t="s">
        <v>309</v>
      </c>
      <c r="F61" s="27" t="s">
        <v>556</v>
      </c>
    </row>
    <row r="62" spans="1:18" x14ac:dyDescent="0.2">
      <c r="A62" s="43">
        <v>3</v>
      </c>
      <c r="B62" s="10" t="s">
        <v>27</v>
      </c>
      <c r="C62" s="18" t="s">
        <v>18</v>
      </c>
      <c r="D62" s="27" t="s">
        <v>46</v>
      </c>
      <c r="E62" s="27" t="s">
        <v>33</v>
      </c>
      <c r="F62" s="27" t="s">
        <v>34</v>
      </c>
    </row>
    <row r="63" spans="1:18" x14ac:dyDescent="0.2">
      <c r="C63" s="18"/>
      <c r="D63" s="18"/>
      <c r="E63" s="18"/>
      <c r="F63" s="18"/>
    </row>
  </sheetData>
  <mergeCells count="27">
    <mergeCell ref="A1:R1"/>
    <mergeCell ref="A2:R2"/>
    <mergeCell ref="A3:R3"/>
    <mergeCell ref="B4:B5"/>
    <mergeCell ref="C4:C5"/>
    <mergeCell ref="D4:D5"/>
    <mergeCell ref="E4:E5"/>
    <mergeCell ref="F4:F5"/>
    <mergeCell ref="G4:G5"/>
    <mergeCell ref="H4:K4"/>
    <mergeCell ref="L4:O4"/>
    <mergeCell ref="P4:P5"/>
    <mergeCell ref="Q4:Q5"/>
    <mergeCell ref="R4:R5"/>
    <mergeCell ref="A4:A5"/>
    <mergeCell ref="B53:Q53"/>
    <mergeCell ref="B19:Q19"/>
    <mergeCell ref="B22:Q22"/>
    <mergeCell ref="B25:Q25"/>
    <mergeCell ref="B30:Q30"/>
    <mergeCell ref="B34:Q34"/>
    <mergeCell ref="B39:Q39"/>
    <mergeCell ref="B13:Q13"/>
    <mergeCell ref="B6:Q6"/>
    <mergeCell ref="B9:Q9"/>
    <mergeCell ref="B45:Q45"/>
    <mergeCell ref="B50:Q50"/>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topLeftCell="B24" workbookViewId="0">
      <selection activeCell="F66" sqref="F66"/>
    </sheetView>
  </sheetViews>
  <sheetFormatPr defaultColWidth="8.7109375" defaultRowHeight="12.75" x14ac:dyDescent="0.2"/>
  <cols>
    <col min="1" max="1" width="6.85546875" style="64" bestFit="1" customWidth="1"/>
    <col min="2" max="2" width="27" style="6" bestFit="1" customWidth="1"/>
    <col min="3" max="3" width="30.85546875" style="6" bestFit="1" customWidth="1"/>
    <col min="4" max="4" width="9.140625" style="6" customWidth="1"/>
    <col min="5" max="5" width="7.5703125" style="6" customWidth="1"/>
    <col min="6" max="6" width="21.42578125" style="6" customWidth="1"/>
    <col min="7" max="7" width="42.42578125" style="6" customWidth="1"/>
    <col min="8" max="15" width="5.5703125" style="27" bestFit="1" customWidth="1"/>
    <col min="16" max="16" width="7" style="32" bestFit="1" customWidth="1"/>
    <col min="17" max="17" width="9.85546875" style="27" bestFit="1" customWidth="1"/>
    <col min="18" max="18" width="25.85546875" style="6" bestFit="1" customWidth="1"/>
    <col min="258" max="258" width="27" bestFit="1" customWidth="1"/>
    <col min="259" max="259" width="30.85546875" bestFit="1" customWidth="1"/>
    <col min="260" max="260" width="7.7109375" bestFit="1" customWidth="1"/>
    <col min="261" max="261" width="6.7109375" bestFit="1" customWidth="1"/>
    <col min="262" max="262" width="17.28515625" bestFit="1" customWidth="1"/>
    <col min="263" max="263" width="36.5703125" bestFit="1" customWidth="1"/>
    <col min="264" max="271" width="5.5703125" bestFit="1" customWidth="1"/>
    <col min="272" max="272" width="6.7109375" bestFit="1" customWidth="1"/>
    <col min="273" max="273" width="8.5703125" bestFit="1" customWidth="1"/>
    <col min="274" max="274" width="30.85546875" bestFit="1" customWidth="1"/>
    <col min="514" max="514" width="27" bestFit="1" customWidth="1"/>
    <col min="515" max="515" width="30.85546875" bestFit="1" customWidth="1"/>
    <col min="516" max="516" width="7.7109375" bestFit="1" customWidth="1"/>
    <col min="517" max="517" width="6.7109375" bestFit="1" customWidth="1"/>
    <col min="518" max="518" width="17.28515625" bestFit="1" customWidth="1"/>
    <col min="519" max="519" width="36.5703125" bestFit="1" customWidth="1"/>
    <col min="520" max="527" width="5.5703125" bestFit="1" customWidth="1"/>
    <col min="528" max="528" width="6.7109375" bestFit="1" customWidth="1"/>
    <col min="529" max="529" width="8.5703125" bestFit="1" customWidth="1"/>
    <col min="530" max="530" width="30.85546875" bestFit="1" customWidth="1"/>
    <col min="770" max="770" width="27" bestFit="1" customWidth="1"/>
    <col min="771" max="771" width="30.85546875" bestFit="1" customWidth="1"/>
    <col min="772" max="772" width="7.7109375" bestFit="1" customWidth="1"/>
    <col min="773" max="773" width="6.7109375" bestFit="1" customWidth="1"/>
    <col min="774" max="774" width="17.28515625" bestFit="1" customWidth="1"/>
    <col min="775" max="775" width="36.5703125" bestFit="1" customWidth="1"/>
    <col min="776" max="783" width="5.5703125" bestFit="1" customWidth="1"/>
    <col min="784" max="784" width="6.7109375" bestFit="1" customWidth="1"/>
    <col min="785" max="785" width="8.5703125" bestFit="1" customWidth="1"/>
    <col min="786" max="786" width="30.85546875" bestFit="1" customWidth="1"/>
    <col min="1026" max="1026" width="27" bestFit="1" customWidth="1"/>
    <col min="1027" max="1027" width="30.85546875" bestFit="1" customWidth="1"/>
    <col min="1028" max="1028" width="7.7109375" bestFit="1" customWidth="1"/>
    <col min="1029" max="1029" width="6.7109375" bestFit="1" customWidth="1"/>
    <col min="1030" max="1030" width="17.28515625" bestFit="1" customWidth="1"/>
    <col min="1031" max="1031" width="36.5703125" bestFit="1" customWidth="1"/>
    <col min="1032" max="1039" width="5.5703125" bestFit="1" customWidth="1"/>
    <col min="1040" max="1040" width="6.7109375" bestFit="1" customWidth="1"/>
    <col min="1041" max="1041" width="8.5703125" bestFit="1" customWidth="1"/>
    <col min="1042" max="1042" width="30.85546875" bestFit="1" customWidth="1"/>
    <col min="1282" max="1282" width="27" bestFit="1" customWidth="1"/>
    <col min="1283" max="1283" width="30.85546875" bestFit="1" customWidth="1"/>
    <col min="1284" max="1284" width="7.7109375" bestFit="1" customWidth="1"/>
    <col min="1285" max="1285" width="6.7109375" bestFit="1" customWidth="1"/>
    <col min="1286" max="1286" width="17.28515625" bestFit="1" customWidth="1"/>
    <col min="1287" max="1287" width="36.5703125" bestFit="1" customWidth="1"/>
    <col min="1288" max="1295" width="5.5703125" bestFit="1" customWidth="1"/>
    <col min="1296" max="1296" width="6.7109375" bestFit="1" customWidth="1"/>
    <col min="1297" max="1297" width="8.5703125" bestFit="1" customWidth="1"/>
    <col min="1298" max="1298" width="30.85546875" bestFit="1" customWidth="1"/>
    <col min="1538" max="1538" width="27" bestFit="1" customWidth="1"/>
    <col min="1539" max="1539" width="30.85546875" bestFit="1" customWidth="1"/>
    <col min="1540" max="1540" width="7.7109375" bestFit="1" customWidth="1"/>
    <col min="1541" max="1541" width="6.7109375" bestFit="1" customWidth="1"/>
    <col min="1542" max="1542" width="17.28515625" bestFit="1" customWidth="1"/>
    <col min="1543" max="1543" width="36.5703125" bestFit="1" customWidth="1"/>
    <col min="1544" max="1551" width="5.5703125" bestFit="1" customWidth="1"/>
    <col min="1552" max="1552" width="6.7109375" bestFit="1" customWidth="1"/>
    <col min="1553" max="1553" width="8.5703125" bestFit="1" customWidth="1"/>
    <col min="1554" max="1554" width="30.85546875" bestFit="1" customWidth="1"/>
    <col min="1794" max="1794" width="27" bestFit="1" customWidth="1"/>
    <col min="1795" max="1795" width="30.85546875" bestFit="1" customWidth="1"/>
    <col min="1796" max="1796" width="7.7109375" bestFit="1" customWidth="1"/>
    <col min="1797" max="1797" width="6.7109375" bestFit="1" customWidth="1"/>
    <col min="1798" max="1798" width="17.28515625" bestFit="1" customWidth="1"/>
    <col min="1799" max="1799" width="36.5703125" bestFit="1" customWidth="1"/>
    <col min="1800" max="1807" width="5.5703125" bestFit="1" customWidth="1"/>
    <col min="1808" max="1808" width="6.7109375" bestFit="1" customWidth="1"/>
    <col min="1809" max="1809" width="8.5703125" bestFit="1" customWidth="1"/>
    <col min="1810" max="1810" width="30.85546875" bestFit="1" customWidth="1"/>
    <col min="2050" max="2050" width="27" bestFit="1" customWidth="1"/>
    <col min="2051" max="2051" width="30.85546875" bestFit="1" customWidth="1"/>
    <col min="2052" max="2052" width="7.7109375" bestFit="1" customWidth="1"/>
    <col min="2053" max="2053" width="6.7109375" bestFit="1" customWidth="1"/>
    <col min="2054" max="2054" width="17.28515625" bestFit="1" customWidth="1"/>
    <col min="2055" max="2055" width="36.5703125" bestFit="1" customWidth="1"/>
    <col min="2056" max="2063" width="5.5703125" bestFit="1" customWidth="1"/>
    <col min="2064" max="2064" width="6.7109375" bestFit="1" customWidth="1"/>
    <col min="2065" max="2065" width="8.5703125" bestFit="1" customWidth="1"/>
    <col min="2066" max="2066" width="30.85546875" bestFit="1" customWidth="1"/>
    <col min="2306" max="2306" width="27" bestFit="1" customWidth="1"/>
    <col min="2307" max="2307" width="30.85546875" bestFit="1" customWidth="1"/>
    <col min="2308" max="2308" width="7.7109375" bestFit="1" customWidth="1"/>
    <col min="2309" max="2309" width="6.7109375" bestFit="1" customWidth="1"/>
    <col min="2310" max="2310" width="17.28515625" bestFit="1" customWidth="1"/>
    <col min="2311" max="2311" width="36.5703125" bestFit="1" customWidth="1"/>
    <col min="2312" max="2319" width="5.5703125" bestFit="1" customWidth="1"/>
    <col min="2320" max="2320" width="6.7109375" bestFit="1" customWidth="1"/>
    <col min="2321" max="2321" width="8.5703125" bestFit="1" customWidth="1"/>
    <col min="2322" max="2322" width="30.85546875" bestFit="1" customWidth="1"/>
    <col min="2562" max="2562" width="27" bestFit="1" customWidth="1"/>
    <col min="2563" max="2563" width="30.85546875" bestFit="1" customWidth="1"/>
    <col min="2564" max="2564" width="7.7109375" bestFit="1" customWidth="1"/>
    <col min="2565" max="2565" width="6.7109375" bestFit="1" customWidth="1"/>
    <col min="2566" max="2566" width="17.28515625" bestFit="1" customWidth="1"/>
    <col min="2567" max="2567" width="36.5703125" bestFit="1" customWidth="1"/>
    <col min="2568" max="2575" width="5.5703125" bestFit="1" customWidth="1"/>
    <col min="2576" max="2576" width="6.7109375" bestFit="1" customWidth="1"/>
    <col min="2577" max="2577" width="8.5703125" bestFit="1" customWidth="1"/>
    <col min="2578" max="2578" width="30.85546875" bestFit="1" customWidth="1"/>
    <col min="2818" max="2818" width="27" bestFit="1" customWidth="1"/>
    <col min="2819" max="2819" width="30.85546875" bestFit="1" customWidth="1"/>
    <col min="2820" max="2820" width="7.7109375" bestFit="1" customWidth="1"/>
    <col min="2821" max="2821" width="6.7109375" bestFit="1" customWidth="1"/>
    <col min="2822" max="2822" width="17.28515625" bestFit="1" customWidth="1"/>
    <col min="2823" max="2823" width="36.5703125" bestFit="1" customWidth="1"/>
    <col min="2824" max="2831" width="5.5703125" bestFit="1" customWidth="1"/>
    <col min="2832" max="2832" width="6.7109375" bestFit="1" customWidth="1"/>
    <col min="2833" max="2833" width="8.5703125" bestFit="1" customWidth="1"/>
    <col min="2834" max="2834" width="30.85546875" bestFit="1" customWidth="1"/>
    <col min="3074" max="3074" width="27" bestFit="1" customWidth="1"/>
    <col min="3075" max="3075" width="30.85546875" bestFit="1" customWidth="1"/>
    <col min="3076" max="3076" width="7.7109375" bestFit="1" customWidth="1"/>
    <col min="3077" max="3077" width="6.7109375" bestFit="1" customWidth="1"/>
    <col min="3078" max="3078" width="17.28515625" bestFit="1" customWidth="1"/>
    <col min="3079" max="3079" width="36.5703125" bestFit="1" customWidth="1"/>
    <col min="3080" max="3087" width="5.5703125" bestFit="1" customWidth="1"/>
    <col min="3088" max="3088" width="6.7109375" bestFit="1" customWidth="1"/>
    <col min="3089" max="3089" width="8.5703125" bestFit="1" customWidth="1"/>
    <col min="3090" max="3090" width="30.85546875" bestFit="1" customWidth="1"/>
    <col min="3330" max="3330" width="27" bestFit="1" customWidth="1"/>
    <col min="3331" max="3331" width="30.85546875" bestFit="1" customWidth="1"/>
    <col min="3332" max="3332" width="7.7109375" bestFit="1" customWidth="1"/>
    <col min="3333" max="3333" width="6.7109375" bestFit="1" customWidth="1"/>
    <col min="3334" max="3334" width="17.28515625" bestFit="1" customWidth="1"/>
    <col min="3335" max="3335" width="36.5703125" bestFit="1" customWidth="1"/>
    <col min="3336" max="3343" width="5.5703125" bestFit="1" customWidth="1"/>
    <col min="3344" max="3344" width="6.7109375" bestFit="1" customWidth="1"/>
    <col min="3345" max="3345" width="8.5703125" bestFit="1" customWidth="1"/>
    <col min="3346" max="3346" width="30.85546875" bestFit="1" customWidth="1"/>
    <col min="3586" max="3586" width="27" bestFit="1" customWidth="1"/>
    <col min="3587" max="3587" width="30.85546875" bestFit="1" customWidth="1"/>
    <col min="3588" max="3588" width="7.7109375" bestFit="1" customWidth="1"/>
    <col min="3589" max="3589" width="6.7109375" bestFit="1" customWidth="1"/>
    <col min="3590" max="3590" width="17.28515625" bestFit="1" customWidth="1"/>
    <col min="3591" max="3591" width="36.5703125" bestFit="1" customWidth="1"/>
    <col min="3592" max="3599" width="5.5703125" bestFit="1" customWidth="1"/>
    <col min="3600" max="3600" width="6.7109375" bestFit="1" customWidth="1"/>
    <col min="3601" max="3601" width="8.5703125" bestFit="1" customWidth="1"/>
    <col min="3602" max="3602" width="30.85546875" bestFit="1" customWidth="1"/>
    <col min="3842" max="3842" width="27" bestFit="1" customWidth="1"/>
    <col min="3843" max="3843" width="30.85546875" bestFit="1" customWidth="1"/>
    <col min="3844" max="3844" width="7.7109375" bestFit="1" customWidth="1"/>
    <col min="3845" max="3845" width="6.7109375" bestFit="1" customWidth="1"/>
    <col min="3846" max="3846" width="17.28515625" bestFit="1" customWidth="1"/>
    <col min="3847" max="3847" width="36.5703125" bestFit="1" customWidth="1"/>
    <col min="3848" max="3855" width="5.5703125" bestFit="1" customWidth="1"/>
    <col min="3856" max="3856" width="6.7109375" bestFit="1" customWidth="1"/>
    <col min="3857" max="3857" width="8.5703125" bestFit="1" customWidth="1"/>
    <col min="3858" max="3858" width="30.85546875" bestFit="1" customWidth="1"/>
    <col min="4098" max="4098" width="27" bestFit="1" customWidth="1"/>
    <col min="4099" max="4099" width="30.85546875" bestFit="1" customWidth="1"/>
    <col min="4100" max="4100" width="7.7109375" bestFit="1" customWidth="1"/>
    <col min="4101" max="4101" width="6.7109375" bestFit="1" customWidth="1"/>
    <col min="4102" max="4102" width="17.28515625" bestFit="1" customWidth="1"/>
    <col min="4103" max="4103" width="36.5703125" bestFit="1" customWidth="1"/>
    <col min="4104" max="4111" width="5.5703125" bestFit="1" customWidth="1"/>
    <col min="4112" max="4112" width="6.7109375" bestFit="1" customWidth="1"/>
    <col min="4113" max="4113" width="8.5703125" bestFit="1" customWidth="1"/>
    <col min="4114" max="4114" width="30.85546875" bestFit="1" customWidth="1"/>
    <col min="4354" max="4354" width="27" bestFit="1" customWidth="1"/>
    <col min="4355" max="4355" width="30.85546875" bestFit="1" customWidth="1"/>
    <col min="4356" max="4356" width="7.7109375" bestFit="1" customWidth="1"/>
    <col min="4357" max="4357" width="6.7109375" bestFit="1" customWidth="1"/>
    <col min="4358" max="4358" width="17.28515625" bestFit="1" customWidth="1"/>
    <col min="4359" max="4359" width="36.5703125" bestFit="1" customWidth="1"/>
    <col min="4360" max="4367" width="5.5703125" bestFit="1" customWidth="1"/>
    <col min="4368" max="4368" width="6.7109375" bestFit="1" customWidth="1"/>
    <col min="4369" max="4369" width="8.5703125" bestFit="1" customWidth="1"/>
    <col min="4370" max="4370" width="30.85546875" bestFit="1" customWidth="1"/>
    <col min="4610" max="4610" width="27" bestFit="1" customWidth="1"/>
    <col min="4611" max="4611" width="30.85546875" bestFit="1" customWidth="1"/>
    <col min="4612" max="4612" width="7.7109375" bestFit="1" customWidth="1"/>
    <col min="4613" max="4613" width="6.7109375" bestFit="1" customWidth="1"/>
    <col min="4614" max="4614" width="17.28515625" bestFit="1" customWidth="1"/>
    <col min="4615" max="4615" width="36.5703125" bestFit="1" customWidth="1"/>
    <col min="4616" max="4623" width="5.5703125" bestFit="1" customWidth="1"/>
    <col min="4624" max="4624" width="6.7109375" bestFit="1" customWidth="1"/>
    <col min="4625" max="4625" width="8.5703125" bestFit="1" customWidth="1"/>
    <col min="4626" max="4626" width="30.85546875" bestFit="1" customWidth="1"/>
    <col min="4866" max="4866" width="27" bestFit="1" customWidth="1"/>
    <col min="4867" max="4867" width="30.85546875" bestFit="1" customWidth="1"/>
    <col min="4868" max="4868" width="7.7109375" bestFit="1" customWidth="1"/>
    <col min="4869" max="4869" width="6.7109375" bestFit="1" customWidth="1"/>
    <col min="4870" max="4870" width="17.28515625" bestFit="1" customWidth="1"/>
    <col min="4871" max="4871" width="36.5703125" bestFit="1" customWidth="1"/>
    <col min="4872" max="4879" width="5.5703125" bestFit="1" customWidth="1"/>
    <col min="4880" max="4880" width="6.7109375" bestFit="1" customWidth="1"/>
    <col min="4881" max="4881" width="8.5703125" bestFit="1" customWidth="1"/>
    <col min="4882" max="4882" width="30.85546875" bestFit="1" customWidth="1"/>
    <col min="5122" max="5122" width="27" bestFit="1" customWidth="1"/>
    <col min="5123" max="5123" width="30.85546875" bestFit="1" customWidth="1"/>
    <col min="5124" max="5124" width="7.7109375" bestFit="1" customWidth="1"/>
    <col min="5125" max="5125" width="6.7109375" bestFit="1" customWidth="1"/>
    <col min="5126" max="5126" width="17.28515625" bestFit="1" customWidth="1"/>
    <col min="5127" max="5127" width="36.5703125" bestFit="1" customWidth="1"/>
    <col min="5128" max="5135" width="5.5703125" bestFit="1" customWidth="1"/>
    <col min="5136" max="5136" width="6.7109375" bestFit="1" customWidth="1"/>
    <col min="5137" max="5137" width="8.5703125" bestFit="1" customWidth="1"/>
    <col min="5138" max="5138" width="30.85546875" bestFit="1" customWidth="1"/>
    <col min="5378" max="5378" width="27" bestFit="1" customWidth="1"/>
    <col min="5379" max="5379" width="30.85546875" bestFit="1" customWidth="1"/>
    <col min="5380" max="5380" width="7.7109375" bestFit="1" customWidth="1"/>
    <col min="5381" max="5381" width="6.7109375" bestFit="1" customWidth="1"/>
    <col min="5382" max="5382" width="17.28515625" bestFit="1" customWidth="1"/>
    <col min="5383" max="5383" width="36.5703125" bestFit="1" customWidth="1"/>
    <col min="5384" max="5391" width="5.5703125" bestFit="1" customWidth="1"/>
    <col min="5392" max="5392" width="6.7109375" bestFit="1" customWidth="1"/>
    <col min="5393" max="5393" width="8.5703125" bestFit="1" customWidth="1"/>
    <col min="5394" max="5394" width="30.85546875" bestFit="1" customWidth="1"/>
    <col min="5634" max="5634" width="27" bestFit="1" customWidth="1"/>
    <col min="5635" max="5635" width="30.85546875" bestFit="1" customWidth="1"/>
    <col min="5636" max="5636" width="7.7109375" bestFit="1" customWidth="1"/>
    <col min="5637" max="5637" width="6.7109375" bestFit="1" customWidth="1"/>
    <col min="5638" max="5638" width="17.28515625" bestFit="1" customWidth="1"/>
    <col min="5639" max="5639" width="36.5703125" bestFit="1" customWidth="1"/>
    <col min="5640" max="5647" width="5.5703125" bestFit="1" customWidth="1"/>
    <col min="5648" max="5648" width="6.7109375" bestFit="1" customWidth="1"/>
    <col min="5649" max="5649" width="8.5703125" bestFit="1" customWidth="1"/>
    <col min="5650" max="5650" width="30.85546875" bestFit="1" customWidth="1"/>
    <col min="5890" max="5890" width="27" bestFit="1" customWidth="1"/>
    <col min="5891" max="5891" width="30.85546875" bestFit="1" customWidth="1"/>
    <col min="5892" max="5892" width="7.7109375" bestFit="1" customWidth="1"/>
    <col min="5893" max="5893" width="6.7109375" bestFit="1" customWidth="1"/>
    <col min="5894" max="5894" width="17.28515625" bestFit="1" customWidth="1"/>
    <col min="5895" max="5895" width="36.5703125" bestFit="1" customWidth="1"/>
    <col min="5896" max="5903" width="5.5703125" bestFit="1" customWidth="1"/>
    <col min="5904" max="5904" width="6.7109375" bestFit="1" customWidth="1"/>
    <col min="5905" max="5905" width="8.5703125" bestFit="1" customWidth="1"/>
    <col min="5906" max="5906" width="30.85546875" bestFit="1" customWidth="1"/>
    <col min="6146" max="6146" width="27" bestFit="1" customWidth="1"/>
    <col min="6147" max="6147" width="30.85546875" bestFit="1" customWidth="1"/>
    <col min="6148" max="6148" width="7.7109375" bestFit="1" customWidth="1"/>
    <col min="6149" max="6149" width="6.7109375" bestFit="1" customWidth="1"/>
    <col min="6150" max="6150" width="17.28515625" bestFit="1" customWidth="1"/>
    <col min="6151" max="6151" width="36.5703125" bestFit="1" customWidth="1"/>
    <col min="6152" max="6159" width="5.5703125" bestFit="1" customWidth="1"/>
    <col min="6160" max="6160" width="6.7109375" bestFit="1" customWidth="1"/>
    <col min="6161" max="6161" width="8.5703125" bestFit="1" customWidth="1"/>
    <col min="6162" max="6162" width="30.85546875" bestFit="1" customWidth="1"/>
    <col min="6402" max="6402" width="27" bestFit="1" customWidth="1"/>
    <col min="6403" max="6403" width="30.85546875" bestFit="1" customWidth="1"/>
    <col min="6404" max="6404" width="7.7109375" bestFit="1" customWidth="1"/>
    <col min="6405" max="6405" width="6.7109375" bestFit="1" customWidth="1"/>
    <col min="6406" max="6406" width="17.28515625" bestFit="1" customWidth="1"/>
    <col min="6407" max="6407" width="36.5703125" bestFit="1" customWidth="1"/>
    <col min="6408" max="6415" width="5.5703125" bestFit="1" customWidth="1"/>
    <col min="6416" max="6416" width="6.7109375" bestFit="1" customWidth="1"/>
    <col min="6417" max="6417" width="8.5703125" bestFit="1" customWidth="1"/>
    <col min="6418" max="6418" width="30.85546875" bestFit="1" customWidth="1"/>
    <col min="6658" max="6658" width="27" bestFit="1" customWidth="1"/>
    <col min="6659" max="6659" width="30.85546875" bestFit="1" customWidth="1"/>
    <col min="6660" max="6660" width="7.7109375" bestFit="1" customWidth="1"/>
    <col min="6661" max="6661" width="6.7109375" bestFit="1" customWidth="1"/>
    <col min="6662" max="6662" width="17.28515625" bestFit="1" customWidth="1"/>
    <col min="6663" max="6663" width="36.5703125" bestFit="1" customWidth="1"/>
    <col min="6664" max="6671" width="5.5703125" bestFit="1" customWidth="1"/>
    <col min="6672" max="6672" width="6.7109375" bestFit="1" customWidth="1"/>
    <col min="6673" max="6673" width="8.5703125" bestFit="1" customWidth="1"/>
    <col min="6674" max="6674" width="30.85546875" bestFit="1" customWidth="1"/>
    <col min="6914" max="6914" width="27" bestFit="1" customWidth="1"/>
    <col min="6915" max="6915" width="30.85546875" bestFit="1" customWidth="1"/>
    <col min="6916" max="6916" width="7.7109375" bestFit="1" customWidth="1"/>
    <col min="6917" max="6917" width="6.7109375" bestFit="1" customWidth="1"/>
    <col min="6918" max="6918" width="17.28515625" bestFit="1" customWidth="1"/>
    <col min="6919" max="6919" width="36.5703125" bestFit="1" customWidth="1"/>
    <col min="6920" max="6927" width="5.5703125" bestFit="1" customWidth="1"/>
    <col min="6928" max="6928" width="6.7109375" bestFit="1" customWidth="1"/>
    <col min="6929" max="6929" width="8.5703125" bestFit="1" customWidth="1"/>
    <col min="6930" max="6930" width="30.85546875" bestFit="1" customWidth="1"/>
    <col min="7170" max="7170" width="27" bestFit="1" customWidth="1"/>
    <col min="7171" max="7171" width="30.85546875" bestFit="1" customWidth="1"/>
    <col min="7172" max="7172" width="7.7109375" bestFit="1" customWidth="1"/>
    <col min="7173" max="7173" width="6.7109375" bestFit="1" customWidth="1"/>
    <col min="7174" max="7174" width="17.28515625" bestFit="1" customWidth="1"/>
    <col min="7175" max="7175" width="36.5703125" bestFit="1" customWidth="1"/>
    <col min="7176" max="7183" width="5.5703125" bestFit="1" customWidth="1"/>
    <col min="7184" max="7184" width="6.7109375" bestFit="1" customWidth="1"/>
    <col min="7185" max="7185" width="8.5703125" bestFit="1" customWidth="1"/>
    <col min="7186" max="7186" width="30.85546875" bestFit="1" customWidth="1"/>
    <col min="7426" max="7426" width="27" bestFit="1" customWidth="1"/>
    <col min="7427" max="7427" width="30.85546875" bestFit="1" customWidth="1"/>
    <col min="7428" max="7428" width="7.7109375" bestFit="1" customWidth="1"/>
    <col min="7429" max="7429" width="6.7109375" bestFit="1" customWidth="1"/>
    <col min="7430" max="7430" width="17.28515625" bestFit="1" customWidth="1"/>
    <col min="7431" max="7431" width="36.5703125" bestFit="1" customWidth="1"/>
    <col min="7432" max="7439" width="5.5703125" bestFit="1" customWidth="1"/>
    <col min="7440" max="7440" width="6.7109375" bestFit="1" customWidth="1"/>
    <col min="7441" max="7441" width="8.5703125" bestFit="1" customWidth="1"/>
    <col min="7442" max="7442" width="30.85546875" bestFit="1" customWidth="1"/>
    <col min="7682" max="7682" width="27" bestFit="1" customWidth="1"/>
    <col min="7683" max="7683" width="30.85546875" bestFit="1" customWidth="1"/>
    <col min="7684" max="7684" width="7.7109375" bestFit="1" customWidth="1"/>
    <col min="7685" max="7685" width="6.7109375" bestFit="1" customWidth="1"/>
    <col min="7686" max="7686" width="17.28515625" bestFit="1" customWidth="1"/>
    <col min="7687" max="7687" width="36.5703125" bestFit="1" customWidth="1"/>
    <col min="7688" max="7695" width="5.5703125" bestFit="1" customWidth="1"/>
    <col min="7696" max="7696" width="6.7109375" bestFit="1" customWidth="1"/>
    <col min="7697" max="7697" width="8.5703125" bestFit="1" customWidth="1"/>
    <col min="7698" max="7698" width="30.85546875" bestFit="1" customWidth="1"/>
    <col min="7938" max="7938" width="27" bestFit="1" customWidth="1"/>
    <col min="7939" max="7939" width="30.85546875" bestFit="1" customWidth="1"/>
    <col min="7940" max="7940" width="7.7109375" bestFit="1" customWidth="1"/>
    <col min="7941" max="7941" width="6.7109375" bestFit="1" customWidth="1"/>
    <col min="7942" max="7942" width="17.28515625" bestFit="1" customWidth="1"/>
    <col min="7943" max="7943" width="36.5703125" bestFit="1" customWidth="1"/>
    <col min="7944" max="7951" width="5.5703125" bestFit="1" customWidth="1"/>
    <col min="7952" max="7952" width="6.7109375" bestFit="1" customWidth="1"/>
    <col min="7953" max="7953" width="8.5703125" bestFit="1" customWidth="1"/>
    <col min="7954" max="7954" width="30.85546875" bestFit="1" customWidth="1"/>
    <col min="8194" max="8194" width="27" bestFit="1" customWidth="1"/>
    <col min="8195" max="8195" width="30.85546875" bestFit="1" customWidth="1"/>
    <col min="8196" max="8196" width="7.7109375" bestFit="1" customWidth="1"/>
    <col min="8197" max="8197" width="6.7109375" bestFit="1" customWidth="1"/>
    <col min="8198" max="8198" width="17.28515625" bestFit="1" customWidth="1"/>
    <col min="8199" max="8199" width="36.5703125" bestFit="1" customWidth="1"/>
    <col min="8200" max="8207" width="5.5703125" bestFit="1" customWidth="1"/>
    <col min="8208" max="8208" width="6.7109375" bestFit="1" customWidth="1"/>
    <col min="8209" max="8209" width="8.5703125" bestFit="1" customWidth="1"/>
    <col min="8210" max="8210" width="30.85546875" bestFit="1" customWidth="1"/>
    <col min="8450" max="8450" width="27" bestFit="1" customWidth="1"/>
    <col min="8451" max="8451" width="30.85546875" bestFit="1" customWidth="1"/>
    <col min="8452" max="8452" width="7.7109375" bestFit="1" customWidth="1"/>
    <col min="8453" max="8453" width="6.7109375" bestFit="1" customWidth="1"/>
    <col min="8454" max="8454" width="17.28515625" bestFit="1" customWidth="1"/>
    <col min="8455" max="8455" width="36.5703125" bestFit="1" customWidth="1"/>
    <col min="8456" max="8463" width="5.5703125" bestFit="1" customWidth="1"/>
    <col min="8464" max="8464" width="6.7109375" bestFit="1" customWidth="1"/>
    <col min="8465" max="8465" width="8.5703125" bestFit="1" customWidth="1"/>
    <col min="8466" max="8466" width="30.85546875" bestFit="1" customWidth="1"/>
    <col min="8706" max="8706" width="27" bestFit="1" customWidth="1"/>
    <col min="8707" max="8707" width="30.85546875" bestFit="1" customWidth="1"/>
    <col min="8708" max="8708" width="7.7109375" bestFit="1" customWidth="1"/>
    <col min="8709" max="8709" width="6.7109375" bestFit="1" customWidth="1"/>
    <col min="8710" max="8710" width="17.28515625" bestFit="1" customWidth="1"/>
    <col min="8711" max="8711" width="36.5703125" bestFit="1" customWidth="1"/>
    <col min="8712" max="8719" width="5.5703125" bestFit="1" customWidth="1"/>
    <col min="8720" max="8720" width="6.7109375" bestFit="1" customWidth="1"/>
    <col min="8721" max="8721" width="8.5703125" bestFit="1" customWidth="1"/>
    <col min="8722" max="8722" width="30.85546875" bestFit="1" customWidth="1"/>
    <col min="8962" max="8962" width="27" bestFit="1" customWidth="1"/>
    <col min="8963" max="8963" width="30.85546875" bestFit="1" customWidth="1"/>
    <col min="8964" max="8964" width="7.7109375" bestFit="1" customWidth="1"/>
    <col min="8965" max="8965" width="6.7109375" bestFit="1" customWidth="1"/>
    <col min="8966" max="8966" width="17.28515625" bestFit="1" customWidth="1"/>
    <col min="8967" max="8967" width="36.5703125" bestFit="1" customWidth="1"/>
    <col min="8968" max="8975" width="5.5703125" bestFit="1" customWidth="1"/>
    <col min="8976" max="8976" width="6.7109375" bestFit="1" customWidth="1"/>
    <col min="8977" max="8977" width="8.5703125" bestFit="1" customWidth="1"/>
    <col min="8978" max="8978" width="30.85546875" bestFit="1" customWidth="1"/>
    <col min="9218" max="9218" width="27" bestFit="1" customWidth="1"/>
    <col min="9219" max="9219" width="30.85546875" bestFit="1" customWidth="1"/>
    <col min="9220" max="9220" width="7.7109375" bestFit="1" customWidth="1"/>
    <col min="9221" max="9221" width="6.7109375" bestFit="1" customWidth="1"/>
    <col min="9222" max="9222" width="17.28515625" bestFit="1" customWidth="1"/>
    <col min="9223" max="9223" width="36.5703125" bestFit="1" customWidth="1"/>
    <col min="9224" max="9231" width="5.5703125" bestFit="1" customWidth="1"/>
    <col min="9232" max="9232" width="6.7109375" bestFit="1" customWidth="1"/>
    <col min="9233" max="9233" width="8.5703125" bestFit="1" customWidth="1"/>
    <col min="9234" max="9234" width="30.85546875" bestFit="1" customWidth="1"/>
    <col min="9474" max="9474" width="27" bestFit="1" customWidth="1"/>
    <col min="9475" max="9475" width="30.85546875" bestFit="1" customWidth="1"/>
    <col min="9476" max="9476" width="7.7109375" bestFit="1" customWidth="1"/>
    <col min="9477" max="9477" width="6.7109375" bestFit="1" customWidth="1"/>
    <col min="9478" max="9478" width="17.28515625" bestFit="1" customWidth="1"/>
    <col min="9479" max="9479" width="36.5703125" bestFit="1" customWidth="1"/>
    <col min="9480" max="9487" width="5.5703125" bestFit="1" customWidth="1"/>
    <col min="9488" max="9488" width="6.7109375" bestFit="1" customWidth="1"/>
    <col min="9489" max="9489" width="8.5703125" bestFit="1" customWidth="1"/>
    <col min="9490" max="9490" width="30.85546875" bestFit="1" customWidth="1"/>
    <col min="9730" max="9730" width="27" bestFit="1" customWidth="1"/>
    <col min="9731" max="9731" width="30.85546875" bestFit="1" customWidth="1"/>
    <col min="9732" max="9732" width="7.7109375" bestFit="1" customWidth="1"/>
    <col min="9733" max="9733" width="6.7109375" bestFit="1" customWidth="1"/>
    <col min="9734" max="9734" width="17.28515625" bestFit="1" customWidth="1"/>
    <col min="9735" max="9735" width="36.5703125" bestFit="1" customWidth="1"/>
    <col min="9736" max="9743" width="5.5703125" bestFit="1" customWidth="1"/>
    <col min="9744" max="9744" width="6.7109375" bestFit="1" customWidth="1"/>
    <col min="9745" max="9745" width="8.5703125" bestFit="1" customWidth="1"/>
    <col min="9746" max="9746" width="30.85546875" bestFit="1" customWidth="1"/>
    <col min="9986" max="9986" width="27" bestFit="1" customWidth="1"/>
    <col min="9987" max="9987" width="30.85546875" bestFit="1" customWidth="1"/>
    <col min="9988" max="9988" width="7.7109375" bestFit="1" customWidth="1"/>
    <col min="9989" max="9989" width="6.7109375" bestFit="1" customWidth="1"/>
    <col min="9990" max="9990" width="17.28515625" bestFit="1" customWidth="1"/>
    <col min="9991" max="9991" width="36.5703125" bestFit="1" customWidth="1"/>
    <col min="9992" max="9999" width="5.5703125" bestFit="1" customWidth="1"/>
    <col min="10000" max="10000" width="6.7109375" bestFit="1" customWidth="1"/>
    <col min="10001" max="10001" width="8.5703125" bestFit="1" customWidth="1"/>
    <col min="10002" max="10002" width="30.85546875" bestFit="1" customWidth="1"/>
    <col min="10242" max="10242" width="27" bestFit="1" customWidth="1"/>
    <col min="10243" max="10243" width="30.85546875" bestFit="1" customWidth="1"/>
    <col min="10244" max="10244" width="7.7109375" bestFit="1" customWidth="1"/>
    <col min="10245" max="10245" width="6.7109375" bestFit="1" customWidth="1"/>
    <col min="10246" max="10246" width="17.28515625" bestFit="1" customWidth="1"/>
    <col min="10247" max="10247" width="36.5703125" bestFit="1" customWidth="1"/>
    <col min="10248" max="10255" width="5.5703125" bestFit="1" customWidth="1"/>
    <col min="10256" max="10256" width="6.7109375" bestFit="1" customWidth="1"/>
    <col min="10257" max="10257" width="8.5703125" bestFit="1" customWidth="1"/>
    <col min="10258" max="10258" width="30.85546875" bestFit="1" customWidth="1"/>
    <col min="10498" max="10498" width="27" bestFit="1" customWidth="1"/>
    <col min="10499" max="10499" width="30.85546875" bestFit="1" customWidth="1"/>
    <col min="10500" max="10500" width="7.7109375" bestFit="1" customWidth="1"/>
    <col min="10501" max="10501" width="6.7109375" bestFit="1" customWidth="1"/>
    <col min="10502" max="10502" width="17.28515625" bestFit="1" customWidth="1"/>
    <col min="10503" max="10503" width="36.5703125" bestFit="1" customWidth="1"/>
    <col min="10504" max="10511" width="5.5703125" bestFit="1" customWidth="1"/>
    <col min="10512" max="10512" width="6.7109375" bestFit="1" customWidth="1"/>
    <col min="10513" max="10513" width="8.5703125" bestFit="1" customWidth="1"/>
    <col min="10514" max="10514" width="30.85546875" bestFit="1" customWidth="1"/>
    <col min="10754" max="10754" width="27" bestFit="1" customWidth="1"/>
    <col min="10755" max="10755" width="30.85546875" bestFit="1" customWidth="1"/>
    <col min="10756" max="10756" width="7.7109375" bestFit="1" customWidth="1"/>
    <col min="10757" max="10757" width="6.7109375" bestFit="1" customWidth="1"/>
    <col min="10758" max="10758" width="17.28515625" bestFit="1" customWidth="1"/>
    <col min="10759" max="10759" width="36.5703125" bestFit="1" customWidth="1"/>
    <col min="10760" max="10767" width="5.5703125" bestFit="1" customWidth="1"/>
    <col min="10768" max="10768" width="6.7109375" bestFit="1" customWidth="1"/>
    <col min="10769" max="10769" width="8.5703125" bestFit="1" customWidth="1"/>
    <col min="10770" max="10770" width="30.85546875" bestFit="1" customWidth="1"/>
    <col min="11010" max="11010" width="27" bestFit="1" customWidth="1"/>
    <col min="11011" max="11011" width="30.85546875" bestFit="1" customWidth="1"/>
    <col min="11012" max="11012" width="7.7109375" bestFit="1" customWidth="1"/>
    <col min="11013" max="11013" width="6.7109375" bestFit="1" customWidth="1"/>
    <col min="11014" max="11014" width="17.28515625" bestFit="1" customWidth="1"/>
    <col min="11015" max="11015" width="36.5703125" bestFit="1" customWidth="1"/>
    <col min="11016" max="11023" width="5.5703125" bestFit="1" customWidth="1"/>
    <col min="11024" max="11024" width="6.7109375" bestFit="1" customWidth="1"/>
    <col min="11025" max="11025" width="8.5703125" bestFit="1" customWidth="1"/>
    <col min="11026" max="11026" width="30.85546875" bestFit="1" customWidth="1"/>
    <col min="11266" max="11266" width="27" bestFit="1" customWidth="1"/>
    <col min="11267" max="11267" width="30.85546875" bestFit="1" customWidth="1"/>
    <col min="11268" max="11268" width="7.7109375" bestFit="1" customWidth="1"/>
    <col min="11269" max="11269" width="6.7109375" bestFit="1" customWidth="1"/>
    <col min="11270" max="11270" width="17.28515625" bestFit="1" customWidth="1"/>
    <col min="11271" max="11271" width="36.5703125" bestFit="1" customWidth="1"/>
    <col min="11272" max="11279" width="5.5703125" bestFit="1" customWidth="1"/>
    <col min="11280" max="11280" width="6.7109375" bestFit="1" customWidth="1"/>
    <col min="11281" max="11281" width="8.5703125" bestFit="1" customWidth="1"/>
    <col min="11282" max="11282" width="30.85546875" bestFit="1" customWidth="1"/>
    <col min="11522" max="11522" width="27" bestFit="1" customWidth="1"/>
    <col min="11523" max="11523" width="30.85546875" bestFit="1" customWidth="1"/>
    <col min="11524" max="11524" width="7.7109375" bestFit="1" customWidth="1"/>
    <col min="11525" max="11525" width="6.7109375" bestFit="1" customWidth="1"/>
    <col min="11526" max="11526" width="17.28515625" bestFit="1" customWidth="1"/>
    <col min="11527" max="11527" width="36.5703125" bestFit="1" customWidth="1"/>
    <col min="11528" max="11535" width="5.5703125" bestFit="1" customWidth="1"/>
    <col min="11536" max="11536" width="6.7109375" bestFit="1" customWidth="1"/>
    <col min="11537" max="11537" width="8.5703125" bestFit="1" customWidth="1"/>
    <col min="11538" max="11538" width="30.85546875" bestFit="1" customWidth="1"/>
    <col min="11778" max="11778" width="27" bestFit="1" customWidth="1"/>
    <col min="11779" max="11779" width="30.85546875" bestFit="1" customWidth="1"/>
    <col min="11780" max="11780" width="7.7109375" bestFit="1" customWidth="1"/>
    <col min="11781" max="11781" width="6.7109375" bestFit="1" customWidth="1"/>
    <col min="11782" max="11782" width="17.28515625" bestFit="1" customWidth="1"/>
    <col min="11783" max="11783" width="36.5703125" bestFit="1" customWidth="1"/>
    <col min="11784" max="11791" width="5.5703125" bestFit="1" customWidth="1"/>
    <col min="11792" max="11792" width="6.7109375" bestFit="1" customWidth="1"/>
    <col min="11793" max="11793" width="8.5703125" bestFit="1" customWidth="1"/>
    <col min="11794" max="11794" width="30.85546875" bestFit="1" customWidth="1"/>
    <col min="12034" max="12034" width="27" bestFit="1" customWidth="1"/>
    <col min="12035" max="12035" width="30.85546875" bestFit="1" customWidth="1"/>
    <col min="12036" max="12036" width="7.7109375" bestFit="1" customWidth="1"/>
    <col min="12037" max="12037" width="6.7109375" bestFit="1" customWidth="1"/>
    <col min="12038" max="12038" width="17.28515625" bestFit="1" customWidth="1"/>
    <col min="12039" max="12039" width="36.5703125" bestFit="1" customWidth="1"/>
    <col min="12040" max="12047" width="5.5703125" bestFit="1" customWidth="1"/>
    <col min="12048" max="12048" width="6.7109375" bestFit="1" customWidth="1"/>
    <col min="12049" max="12049" width="8.5703125" bestFit="1" customWidth="1"/>
    <col min="12050" max="12050" width="30.85546875" bestFit="1" customWidth="1"/>
    <col min="12290" max="12290" width="27" bestFit="1" customWidth="1"/>
    <col min="12291" max="12291" width="30.85546875" bestFit="1" customWidth="1"/>
    <col min="12292" max="12292" width="7.7109375" bestFit="1" customWidth="1"/>
    <col min="12293" max="12293" width="6.7109375" bestFit="1" customWidth="1"/>
    <col min="12294" max="12294" width="17.28515625" bestFit="1" customWidth="1"/>
    <col min="12295" max="12295" width="36.5703125" bestFit="1" customWidth="1"/>
    <col min="12296" max="12303" width="5.5703125" bestFit="1" customWidth="1"/>
    <col min="12304" max="12304" width="6.7109375" bestFit="1" customWidth="1"/>
    <col min="12305" max="12305" width="8.5703125" bestFit="1" customWidth="1"/>
    <col min="12306" max="12306" width="30.85546875" bestFit="1" customWidth="1"/>
    <col min="12546" max="12546" width="27" bestFit="1" customWidth="1"/>
    <col min="12547" max="12547" width="30.85546875" bestFit="1" customWidth="1"/>
    <col min="12548" max="12548" width="7.7109375" bestFit="1" customWidth="1"/>
    <col min="12549" max="12549" width="6.7109375" bestFit="1" customWidth="1"/>
    <col min="12550" max="12550" width="17.28515625" bestFit="1" customWidth="1"/>
    <col min="12551" max="12551" width="36.5703125" bestFit="1" customWidth="1"/>
    <col min="12552" max="12559" width="5.5703125" bestFit="1" customWidth="1"/>
    <col min="12560" max="12560" width="6.7109375" bestFit="1" customWidth="1"/>
    <col min="12561" max="12561" width="8.5703125" bestFit="1" customWidth="1"/>
    <col min="12562" max="12562" width="30.85546875" bestFit="1" customWidth="1"/>
    <col min="12802" max="12802" width="27" bestFit="1" customWidth="1"/>
    <col min="12803" max="12803" width="30.85546875" bestFit="1" customWidth="1"/>
    <col min="12804" max="12804" width="7.7109375" bestFit="1" customWidth="1"/>
    <col min="12805" max="12805" width="6.7109375" bestFit="1" customWidth="1"/>
    <col min="12806" max="12806" width="17.28515625" bestFit="1" customWidth="1"/>
    <col min="12807" max="12807" width="36.5703125" bestFit="1" customWidth="1"/>
    <col min="12808" max="12815" width="5.5703125" bestFit="1" customWidth="1"/>
    <col min="12816" max="12816" width="6.7109375" bestFit="1" customWidth="1"/>
    <col min="12817" max="12817" width="8.5703125" bestFit="1" customWidth="1"/>
    <col min="12818" max="12818" width="30.85546875" bestFit="1" customWidth="1"/>
    <col min="13058" max="13058" width="27" bestFit="1" customWidth="1"/>
    <col min="13059" max="13059" width="30.85546875" bestFit="1" customWidth="1"/>
    <col min="13060" max="13060" width="7.7109375" bestFit="1" customWidth="1"/>
    <col min="13061" max="13061" width="6.7109375" bestFit="1" customWidth="1"/>
    <col min="13062" max="13062" width="17.28515625" bestFit="1" customWidth="1"/>
    <col min="13063" max="13063" width="36.5703125" bestFit="1" customWidth="1"/>
    <col min="13064" max="13071" width="5.5703125" bestFit="1" customWidth="1"/>
    <col min="13072" max="13072" width="6.7109375" bestFit="1" customWidth="1"/>
    <col min="13073" max="13073" width="8.5703125" bestFit="1" customWidth="1"/>
    <col min="13074" max="13074" width="30.85546875" bestFit="1" customWidth="1"/>
    <col min="13314" max="13314" width="27" bestFit="1" customWidth="1"/>
    <col min="13315" max="13315" width="30.85546875" bestFit="1" customWidth="1"/>
    <col min="13316" max="13316" width="7.7109375" bestFit="1" customWidth="1"/>
    <col min="13317" max="13317" width="6.7109375" bestFit="1" customWidth="1"/>
    <col min="13318" max="13318" width="17.28515625" bestFit="1" customWidth="1"/>
    <col min="13319" max="13319" width="36.5703125" bestFit="1" customWidth="1"/>
    <col min="13320" max="13327" width="5.5703125" bestFit="1" customWidth="1"/>
    <col min="13328" max="13328" width="6.7109375" bestFit="1" customWidth="1"/>
    <col min="13329" max="13329" width="8.5703125" bestFit="1" customWidth="1"/>
    <col min="13330" max="13330" width="30.85546875" bestFit="1" customWidth="1"/>
    <col min="13570" max="13570" width="27" bestFit="1" customWidth="1"/>
    <col min="13571" max="13571" width="30.85546875" bestFit="1" customWidth="1"/>
    <col min="13572" max="13572" width="7.7109375" bestFit="1" customWidth="1"/>
    <col min="13573" max="13573" width="6.7109375" bestFit="1" customWidth="1"/>
    <col min="13574" max="13574" width="17.28515625" bestFit="1" customWidth="1"/>
    <col min="13575" max="13575" width="36.5703125" bestFit="1" customWidth="1"/>
    <col min="13576" max="13583" width="5.5703125" bestFit="1" customWidth="1"/>
    <col min="13584" max="13584" width="6.7109375" bestFit="1" customWidth="1"/>
    <col min="13585" max="13585" width="8.5703125" bestFit="1" customWidth="1"/>
    <col min="13586" max="13586" width="30.85546875" bestFit="1" customWidth="1"/>
    <col min="13826" max="13826" width="27" bestFit="1" customWidth="1"/>
    <col min="13827" max="13827" width="30.85546875" bestFit="1" customWidth="1"/>
    <col min="13828" max="13828" width="7.7109375" bestFit="1" customWidth="1"/>
    <col min="13829" max="13829" width="6.7109375" bestFit="1" customWidth="1"/>
    <col min="13830" max="13830" width="17.28515625" bestFit="1" customWidth="1"/>
    <col min="13831" max="13831" width="36.5703125" bestFit="1" customWidth="1"/>
    <col min="13832" max="13839" width="5.5703125" bestFit="1" customWidth="1"/>
    <col min="13840" max="13840" width="6.7109375" bestFit="1" customWidth="1"/>
    <col min="13841" max="13841" width="8.5703125" bestFit="1" customWidth="1"/>
    <col min="13842" max="13842" width="30.85546875" bestFit="1" customWidth="1"/>
    <col min="14082" max="14082" width="27" bestFit="1" customWidth="1"/>
    <col min="14083" max="14083" width="30.85546875" bestFit="1" customWidth="1"/>
    <col min="14084" max="14084" width="7.7109375" bestFit="1" customWidth="1"/>
    <col min="14085" max="14085" width="6.7109375" bestFit="1" customWidth="1"/>
    <col min="14086" max="14086" width="17.28515625" bestFit="1" customWidth="1"/>
    <col min="14087" max="14087" width="36.5703125" bestFit="1" customWidth="1"/>
    <col min="14088" max="14095" width="5.5703125" bestFit="1" customWidth="1"/>
    <col min="14096" max="14096" width="6.7109375" bestFit="1" customWidth="1"/>
    <col min="14097" max="14097" width="8.5703125" bestFit="1" customWidth="1"/>
    <col min="14098" max="14098" width="30.85546875" bestFit="1" customWidth="1"/>
    <col min="14338" max="14338" width="27" bestFit="1" customWidth="1"/>
    <col min="14339" max="14339" width="30.85546875" bestFit="1" customWidth="1"/>
    <col min="14340" max="14340" width="7.7109375" bestFit="1" customWidth="1"/>
    <col min="14341" max="14341" width="6.7109375" bestFit="1" customWidth="1"/>
    <col min="14342" max="14342" width="17.28515625" bestFit="1" customWidth="1"/>
    <col min="14343" max="14343" width="36.5703125" bestFit="1" customWidth="1"/>
    <col min="14344" max="14351" width="5.5703125" bestFit="1" customWidth="1"/>
    <col min="14352" max="14352" width="6.7109375" bestFit="1" customWidth="1"/>
    <col min="14353" max="14353" width="8.5703125" bestFit="1" customWidth="1"/>
    <col min="14354" max="14354" width="30.85546875" bestFit="1" customWidth="1"/>
    <col min="14594" max="14594" width="27" bestFit="1" customWidth="1"/>
    <col min="14595" max="14595" width="30.85546875" bestFit="1" customWidth="1"/>
    <col min="14596" max="14596" width="7.7109375" bestFit="1" customWidth="1"/>
    <col min="14597" max="14597" width="6.7109375" bestFit="1" customWidth="1"/>
    <col min="14598" max="14598" width="17.28515625" bestFit="1" customWidth="1"/>
    <col min="14599" max="14599" width="36.5703125" bestFit="1" customWidth="1"/>
    <col min="14600" max="14607" width="5.5703125" bestFit="1" customWidth="1"/>
    <col min="14608" max="14608" width="6.7109375" bestFit="1" customWidth="1"/>
    <col min="14609" max="14609" width="8.5703125" bestFit="1" customWidth="1"/>
    <col min="14610" max="14610" width="30.85546875" bestFit="1" customWidth="1"/>
    <col min="14850" max="14850" width="27" bestFit="1" customWidth="1"/>
    <col min="14851" max="14851" width="30.85546875" bestFit="1" customWidth="1"/>
    <col min="14852" max="14852" width="7.7109375" bestFit="1" customWidth="1"/>
    <col min="14853" max="14853" width="6.7109375" bestFit="1" customWidth="1"/>
    <col min="14854" max="14854" width="17.28515625" bestFit="1" customWidth="1"/>
    <col min="14855" max="14855" width="36.5703125" bestFit="1" customWidth="1"/>
    <col min="14856" max="14863" width="5.5703125" bestFit="1" customWidth="1"/>
    <col min="14864" max="14864" width="6.7109375" bestFit="1" customWidth="1"/>
    <col min="14865" max="14865" width="8.5703125" bestFit="1" customWidth="1"/>
    <col min="14866" max="14866" width="30.85546875" bestFit="1" customWidth="1"/>
    <col min="15106" max="15106" width="27" bestFit="1" customWidth="1"/>
    <col min="15107" max="15107" width="30.85546875" bestFit="1" customWidth="1"/>
    <col min="15108" max="15108" width="7.7109375" bestFit="1" customWidth="1"/>
    <col min="15109" max="15109" width="6.7109375" bestFit="1" customWidth="1"/>
    <col min="15110" max="15110" width="17.28515625" bestFit="1" customWidth="1"/>
    <col min="15111" max="15111" width="36.5703125" bestFit="1" customWidth="1"/>
    <col min="15112" max="15119" width="5.5703125" bestFit="1" customWidth="1"/>
    <col min="15120" max="15120" width="6.7109375" bestFit="1" customWidth="1"/>
    <col min="15121" max="15121" width="8.5703125" bestFit="1" customWidth="1"/>
    <col min="15122" max="15122" width="30.85546875" bestFit="1" customWidth="1"/>
    <col min="15362" max="15362" width="27" bestFit="1" customWidth="1"/>
    <col min="15363" max="15363" width="30.85546875" bestFit="1" customWidth="1"/>
    <col min="15364" max="15364" width="7.7109375" bestFit="1" customWidth="1"/>
    <col min="15365" max="15365" width="6.7109375" bestFit="1" customWidth="1"/>
    <col min="15366" max="15366" width="17.28515625" bestFit="1" customWidth="1"/>
    <col min="15367" max="15367" width="36.5703125" bestFit="1" customWidth="1"/>
    <col min="15368" max="15375" width="5.5703125" bestFit="1" customWidth="1"/>
    <col min="15376" max="15376" width="6.7109375" bestFit="1" customWidth="1"/>
    <col min="15377" max="15377" width="8.5703125" bestFit="1" customWidth="1"/>
    <col min="15378" max="15378" width="30.85546875" bestFit="1" customWidth="1"/>
    <col min="15618" max="15618" width="27" bestFit="1" customWidth="1"/>
    <col min="15619" max="15619" width="30.85546875" bestFit="1" customWidth="1"/>
    <col min="15620" max="15620" width="7.7109375" bestFit="1" customWidth="1"/>
    <col min="15621" max="15621" width="6.7109375" bestFit="1" customWidth="1"/>
    <col min="15622" max="15622" width="17.28515625" bestFit="1" customWidth="1"/>
    <col min="15623" max="15623" width="36.5703125" bestFit="1" customWidth="1"/>
    <col min="15624" max="15631" width="5.5703125" bestFit="1" customWidth="1"/>
    <col min="15632" max="15632" width="6.7109375" bestFit="1" customWidth="1"/>
    <col min="15633" max="15633" width="8.5703125" bestFit="1" customWidth="1"/>
    <col min="15634" max="15634" width="30.85546875" bestFit="1" customWidth="1"/>
    <col min="15874" max="15874" width="27" bestFit="1" customWidth="1"/>
    <col min="15875" max="15875" width="30.85546875" bestFit="1" customWidth="1"/>
    <col min="15876" max="15876" width="7.7109375" bestFit="1" customWidth="1"/>
    <col min="15877" max="15877" width="6.7109375" bestFit="1" customWidth="1"/>
    <col min="15878" max="15878" width="17.28515625" bestFit="1" customWidth="1"/>
    <col min="15879" max="15879" width="36.5703125" bestFit="1" customWidth="1"/>
    <col min="15880" max="15887" width="5.5703125" bestFit="1" customWidth="1"/>
    <col min="15888" max="15888" width="6.7109375" bestFit="1" customWidth="1"/>
    <col min="15889" max="15889" width="8.5703125" bestFit="1" customWidth="1"/>
    <col min="15890" max="15890" width="30.85546875" bestFit="1" customWidth="1"/>
    <col min="16130" max="16130" width="27" bestFit="1" customWidth="1"/>
    <col min="16131" max="16131" width="30.85546875" bestFit="1" customWidth="1"/>
    <col min="16132" max="16132" width="7.7109375" bestFit="1" customWidth="1"/>
    <col min="16133" max="16133" width="6.7109375" bestFit="1" customWidth="1"/>
    <col min="16134" max="16134" width="17.28515625" bestFit="1" customWidth="1"/>
    <col min="16135" max="16135" width="36.5703125" bestFit="1" customWidth="1"/>
    <col min="16136" max="16143" width="5.5703125" bestFit="1" customWidth="1"/>
    <col min="16144" max="16144" width="6.7109375" bestFit="1" customWidth="1"/>
    <col min="16145" max="16145" width="8.5703125" bestFit="1" customWidth="1"/>
    <col min="16146" max="16146" width="30.85546875" bestFit="1" customWidth="1"/>
  </cols>
  <sheetData>
    <row r="1" spans="1:18" s="1" customFormat="1" ht="30" customHeight="1" x14ac:dyDescent="0.2">
      <c r="A1" s="295" t="s">
        <v>4023</v>
      </c>
      <c r="B1" s="295"/>
      <c r="C1" s="295"/>
      <c r="D1" s="295"/>
      <c r="E1" s="295"/>
      <c r="F1" s="295"/>
      <c r="G1" s="295"/>
      <c r="H1" s="295"/>
      <c r="I1" s="295"/>
      <c r="J1" s="295"/>
      <c r="K1" s="295"/>
      <c r="L1" s="295"/>
      <c r="M1" s="295"/>
      <c r="N1" s="295"/>
      <c r="O1" s="295"/>
      <c r="P1" s="295"/>
      <c r="Q1" s="295"/>
      <c r="R1" s="295"/>
    </row>
    <row r="2" spans="1:18" s="1" customFormat="1" ht="30" customHeight="1" x14ac:dyDescent="0.2">
      <c r="A2" s="295" t="s">
        <v>4032</v>
      </c>
      <c r="B2" s="295"/>
      <c r="C2" s="295"/>
      <c r="D2" s="295"/>
      <c r="E2" s="295"/>
      <c r="F2" s="295"/>
      <c r="G2" s="295"/>
      <c r="H2" s="295"/>
      <c r="I2" s="295"/>
      <c r="J2" s="295"/>
      <c r="K2" s="295"/>
      <c r="L2" s="295"/>
      <c r="M2" s="295"/>
      <c r="N2" s="295"/>
      <c r="O2" s="295"/>
      <c r="P2" s="295"/>
      <c r="Q2" s="295"/>
      <c r="R2" s="295"/>
    </row>
    <row r="3" spans="1:18" s="1" customFormat="1" ht="30.75" customHeight="1" thickBot="1" x14ac:dyDescent="0.25">
      <c r="A3" s="295" t="s">
        <v>3381</v>
      </c>
      <c r="B3" s="295"/>
      <c r="C3" s="295"/>
      <c r="D3" s="295"/>
      <c r="E3" s="295"/>
      <c r="F3" s="295"/>
      <c r="G3" s="295"/>
      <c r="H3" s="295"/>
      <c r="I3" s="295"/>
      <c r="J3" s="295"/>
      <c r="K3" s="295"/>
      <c r="L3" s="295"/>
      <c r="M3" s="295"/>
      <c r="N3" s="295"/>
      <c r="O3" s="295"/>
      <c r="P3" s="295"/>
      <c r="Q3" s="295"/>
      <c r="R3" s="295"/>
    </row>
    <row r="4" spans="1:18" s="5" customFormat="1" ht="12.75" customHeight="1" x14ac:dyDescent="0.2">
      <c r="A4" s="297" t="s">
        <v>719</v>
      </c>
      <c r="B4" s="300" t="s">
        <v>0</v>
      </c>
      <c r="C4" s="302" t="s">
        <v>3382</v>
      </c>
      <c r="D4" s="302" t="s">
        <v>8</v>
      </c>
      <c r="E4" s="304" t="s">
        <v>9</v>
      </c>
      <c r="F4" s="304" t="s">
        <v>1</v>
      </c>
      <c r="G4" s="305" t="s">
        <v>795</v>
      </c>
      <c r="H4" s="300" t="s">
        <v>3</v>
      </c>
      <c r="I4" s="304"/>
      <c r="J4" s="304"/>
      <c r="K4" s="307"/>
      <c r="L4" s="300" t="s">
        <v>4</v>
      </c>
      <c r="M4" s="304"/>
      <c r="N4" s="304"/>
      <c r="O4" s="307"/>
      <c r="P4" s="308" t="s">
        <v>3593</v>
      </c>
      <c r="Q4" s="304" t="s">
        <v>6</v>
      </c>
      <c r="R4" s="307" t="s">
        <v>5</v>
      </c>
    </row>
    <row r="5" spans="1:18" s="5" customFormat="1" ht="23.25" customHeight="1" thickBot="1" x14ac:dyDescent="0.25">
      <c r="A5" s="298"/>
      <c r="B5" s="301"/>
      <c r="C5" s="303"/>
      <c r="D5" s="303"/>
      <c r="E5" s="303"/>
      <c r="F5" s="303"/>
      <c r="G5" s="306"/>
      <c r="H5" s="3">
        <v>1</v>
      </c>
      <c r="I5" s="2">
        <v>2</v>
      </c>
      <c r="J5" s="2">
        <v>3</v>
      </c>
      <c r="K5" s="4" t="s">
        <v>7</v>
      </c>
      <c r="L5" s="3">
        <v>1</v>
      </c>
      <c r="M5" s="2">
        <v>2</v>
      </c>
      <c r="N5" s="2">
        <v>3</v>
      </c>
      <c r="O5" s="4" t="s">
        <v>7</v>
      </c>
      <c r="P5" s="309"/>
      <c r="Q5" s="303"/>
      <c r="R5" s="310"/>
    </row>
    <row r="6" spans="1:18" ht="15" x14ac:dyDescent="0.2">
      <c r="B6" s="299" t="s">
        <v>4018</v>
      </c>
      <c r="C6" s="299"/>
      <c r="D6" s="299"/>
      <c r="E6" s="299"/>
      <c r="F6" s="299"/>
      <c r="G6" s="299"/>
      <c r="H6" s="299"/>
      <c r="I6" s="299"/>
      <c r="J6" s="299"/>
      <c r="K6" s="299"/>
      <c r="L6" s="299"/>
      <c r="M6" s="299"/>
      <c r="N6" s="299"/>
      <c r="O6" s="299"/>
      <c r="P6" s="299"/>
      <c r="Q6" s="299"/>
    </row>
    <row r="7" spans="1:18" x14ac:dyDescent="0.2">
      <c r="A7" s="64">
        <v>1</v>
      </c>
      <c r="B7" s="7" t="s">
        <v>2250</v>
      </c>
      <c r="C7" s="7" t="s">
        <v>316</v>
      </c>
      <c r="D7" s="7" t="s">
        <v>317</v>
      </c>
      <c r="E7" s="7" t="str">
        <f>"2,6810"</f>
        <v>2,6810</v>
      </c>
      <c r="F7" s="7" t="s">
        <v>1056</v>
      </c>
      <c r="G7" s="7" t="s">
        <v>796</v>
      </c>
      <c r="H7" s="34" t="s">
        <v>594</v>
      </c>
      <c r="I7" s="34" t="s">
        <v>52</v>
      </c>
      <c r="J7" s="41" t="s">
        <v>45</v>
      </c>
      <c r="K7" s="20"/>
      <c r="L7" s="34" t="s">
        <v>53</v>
      </c>
      <c r="M7" s="34" t="s">
        <v>41</v>
      </c>
      <c r="N7" s="34" t="s">
        <v>42</v>
      </c>
      <c r="O7" s="20"/>
      <c r="P7" s="28">
        <v>120</v>
      </c>
      <c r="Q7" s="19" t="str">
        <f>"321,7200"</f>
        <v>321,7200</v>
      </c>
      <c r="R7" s="7" t="s">
        <v>2273</v>
      </c>
    </row>
    <row r="9" spans="1:18" ht="15" x14ac:dyDescent="0.2">
      <c r="B9" s="294" t="s">
        <v>4005</v>
      </c>
      <c r="C9" s="294"/>
      <c r="D9" s="294"/>
      <c r="E9" s="294"/>
      <c r="F9" s="294"/>
      <c r="G9" s="294"/>
      <c r="H9" s="294"/>
      <c r="I9" s="294"/>
      <c r="J9" s="294"/>
      <c r="K9" s="294"/>
      <c r="L9" s="294"/>
      <c r="M9" s="294"/>
      <c r="N9" s="294"/>
      <c r="O9" s="294"/>
      <c r="P9" s="294"/>
      <c r="Q9" s="294"/>
    </row>
    <row r="10" spans="1:18" x14ac:dyDescent="0.2">
      <c r="A10" s="64">
        <v>1</v>
      </c>
      <c r="B10" s="7" t="s">
        <v>2251</v>
      </c>
      <c r="C10" s="7" t="s">
        <v>2189</v>
      </c>
      <c r="D10" s="7" t="s">
        <v>84</v>
      </c>
      <c r="E10" s="7" t="str">
        <f>"2,1488"</f>
        <v>2,1488</v>
      </c>
      <c r="F10" s="7" t="s">
        <v>1076</v>
      </c>
      <c r="G10" s="7" t="s">
        <v>3250</v>
      </c>
      <c r="H10" s="34" t="s">
        <v>92</v>
      </c>
      <c r="I10" s="34" t="s">
        <v>59</v>
      </c>
      <c r="J10" s="41" t="s">
        <v>60</v>
      </c>
      <c r="K10" s="20"/>
      <c r="L10" s="34" t="s">
        <v>69</v>
      </c>
      <c r="M10" s="34" t="s">
        <v>70</v>
      </c>
      <c r="N10" s="34" t="s">
        <v>169</v>
      </c>
      <c r="O10" s="20"/>
      <c r="P10" s="28">
        <v>167.5</v>
      </c>
      <c r="Q10" s="19" t="str">
        <f>"518,2905"</f>
        <v>518,2905</v>
      </c>
      <c r="R10" s="7" t="s">
        <v>2190</v>
      </c>
    </row>
    <row r="12" spans="1:18" ht="15" x14ac:dyDescent="0.2">
      <c r="B12" s="294" t="s">
        <v>4014</v>
      </c>
      <c r="C12" s="294"/>
      <c r="D12" s="294"/>
      <c r="E12" s="294"/>
      <c r="F12" s="294"/>
      <c r="G12" s="294"/>
      <c r="H12" s="294"/>
      <c r="I12" s="294"/>
      <c r="J12" s="294"/>
      <c r="K12" s="294"/>
      <c r="L12" s="294"/>
      <c r="M12" s="294"/>
      <c r="N12" s="294"/>
      <c r="O12" s="294"/>
      <c r="P12" s="294"/>
      <c r="Q12" s="294"/>
    </row>
    <row r="13" spans="1:18" x14ac:dyDescent="0.2">
      <c r="A13" s="64">
        <v>1</v>
      </c>
      <c r="B13" s="7" t="s">
        <v>2252</v>
      </c>
      <c r="C13" s="7" t="s">
        <v>1213</v>
      </c>
      <c r="D13" s="7" t="s">
        <v>1214</v>
      </c>
      <c r="E13" s="7" t="str">
        <f>"1,9340"</f>
        <v>1,9340</v>
      </c>
      <c r="F13" s="7" t="s">
        <v>1491</v>
      </c>
      <c r="G13" s="7" t="s">
        <v>3209</v>
      </c>
      <c r="H13" s="34" t="s">
        <v>81</v>
      </c>
      <c r="I13" s="41" t="s">
        <v>46</v>
      </c>
      <c r="J13" s="41" t="s">
        <v>46</v>
      </c>
      <c r="K13" s="20"/>
      <c r="L13" s="34" t="s">
        <v>25</v>
      </c>
      <c r="M13" s="34" t="s">
        <v>141</v>
      </c>
      <c r="N13" s="34" t="s">
        <v>142</v>
      </c>
      <c r="O13" s="20"/>
      <c r="P13" s="28">
        <v>255</v>
      </c>
      <c r="Q13" s="19" t="str">
        <f>"493,1700"</f>
        <v>493,1700</v>
      </c>
      <c r="R13" s="7" t="s">
        <v>1439</v>
      </c>
    </row>
    <row r="15" spans="1:18" ht="15" x14ac:dyDescent="0.2">
      <c r="B15" s="294" t="s">
        <v>4007</v>
      </c>
      <c r="C15" s="294"/>
      <c r="D15" s="294"/>
      <c r="E15" s="294"/>
      <c r="F15" s="294"/>
      <c r="G15" s="294"/>
      <c r="H15" s="294"/>
      <c r="I15" s="294"/>
      <c r="J15" s="294"/>
      <c r="K15" s="294"/>
      <c r="L15" s="294"/>
      <c r="M15" s="294"/>
      <c r="N15" s="294"/>
      <c r="O15" s="294"/>
      <c r="P15" s="294"/>
      <c r="Q15" s="294"/>
    </row>
    <row r="16" spans="1:18" x14ac:dyDescent="0.2">
      <c r="A16" s="64">
        <v>1</v>
      </c>
      <c r="B16" s="15" t="s">
        <v>2253</v>
      </c>
      <c r="C16" s="15" t="s">
        <v>2191</v>
      </c>
      <c r="D16" s="15" t="s">
        <v>2192</v>
      </c>
      <c r="E16" s="15" t="str">
        <f>"1,6720"</f>
        <v>1,6720</v>
      </c>
      <c r="F16" s="15" t="s">
        <v>1056</v>
      </c>
      <c r="G16" s="15" t="s">
        <v>796</v>
      </c>
      <c r="H16" s="35" t="s">
        <v>52</v>
      </c>
      <c r="I16" s="35" t="s">
        <v>92</v>
      </c>
      <c r="J16" s="38" t="s">
        <v>59</v>
      </c>
      <c r="K16" s="22"/>
      <c r="L16" s="35" t="s">
        <v>51</v>
      </c>
      <c r="M16" s="35" t="s">
        <v>81</v>
      </c>
      <c r="N16" s="35" t="s">
        <v>61</v>
      </c>
      <c r="O16" s="22"/>
      <c r="P16" s="29">
        <v>142.5</v>
      </c>
      <c r="Q16" s="21" t="str">
        <f>"238,2600"</f>
        <v>238,2600</v>
      </c>
      <c r="R16" s="15" t="s">
        <v>753</v>
      </c>
    </row>
    <row r="17" spans="1:18" x14ac:dyDescent="0.2">
      <c r="A17" s="64">
        <v>1</v>
      </c>
      <c r="B17" s="17" t="s">
        <v>2254</v>
      </c>
      <c r="C17" s="17" t="s">
        <v>2193</v>
      </c>
      <c r="D17" s="17" t="s">
        <v>569</v>
      </c>
      <c r="E17" s="17" t="str">
        <f>"1,6688"</f>
        <v>1,6688</v>
      </c>
      <c r="F17" s="17" t="s">
        <v>2105</v>
      </c>
      <c r="G17" s="17" t="s">
        <v>3302</v>
      </c>
      <c r="H17" s="37" t="s">
        <v>53</v>
      </c>
      <c r="I17" s="37" t="s">
        <v>41</v>
      </c>
      <c r="J17" s="39" t="s">
        <v>85</v>
      </c>
      <c r="K17" s="26"/>
      <c r="L17" s="39" t="s">
        <v>116</v>
      </c>
      <c r="M17" s="37" t="s">
        <v>36</v>
      </c>
      <c r="N17" s="39" t="s">
        <v>142</v>
      </c>
      <c r="O17" s="26"/>
      <c r="P17" s="31">
        <v>225</v>
      </c>
      <c r="Q17" s="25" t="str">
        <f>"375,4800"</f>
        <v>375,4800</v>
      </c>
      <c r="R17" s="17" t="s">
        <v>3391</v>
      </c>
    </row>
    <row r="19" spans="1:18" ht="15" x14ac:dyDescent="0.2">
      <c r="B19" s="294" t="s">
        <v>4008</v>
      </c>
      <c r="C19" s="294"/>
      <c r="D19" s="294"/>
      <c r="E19" s="294"/>
      <c r="F19" s="294"/>
      <c r="G19" s="294"/>
      <c r="H19" s="294"/>
      <c r="I19" s="294"/>
      <c r="J19" s="294"/>
      <c r="K19" s="294"/>
      <c r="L19" s="294"/>
      <c r="M19" s="294"/>
      <c r="N19" s="294"/>
      <c r="O19" s="294"/>
      <c r="P19" s="294"/>
      <c r="Q19" s="294"/>
    </row>
    <row r="20" spans="1:18" x14ac:dyDescent="0.2">
      <c r="A20" s="64">
        <v>1</v>
      </c>
      <c r="B20" s="15" t="s">
        <v>1434</v>
      </c>
      <c r="C20" s="15" t="s">
        <v>1300</v>
      </c>
      <c r="D20" s="15" t="s">
        <v>570</v>
      </c>
      <c r="E20" s="15" t="str">
        <f>"1,5514"</f>
        <v>1,5514</v>
      </c>
      <c r="F20" s="15" t="s">
        <v>111</v>
      </c>
      <c r="G20" s="15" t="s">
        <v>3211</v>
      </c>
      <c r="H20" s="35" t="s">
        <v>69</v>
      </c>
      <c r="I20" s="35" t="s">
        <v>71</v>
      </c>
      <c r="J20" s="38" t="s">
        <v>1302</v>
      </c>
      <c r="K20" s="22"/>
      <c r="L20" s="35" t="s">
        <v>106</v>
      </c>
      <c r="M20" s="35" t="s">
        <v>140</v>
      </c>
      <c r="N20" s="35" t="s">
        <v>143</v>
      </c>
      <c r="O20" s="38" t="s">
        <v>2194</v>
      </c>
      <c r="P20" s="29">
        <v>330</v>
      </c>
      <c r="Q20" s="21" t="str">
        <f>"511,9620"</f>
        <v>511,9620</v>
      </c>
      <c r="R20" s="15" t="s">
        <v>3232</v>
      </c>
    </row>
    <row r="21" spans="1:18" x14ac:dyDescent="0.2">
      <c r="A21" s="64">
        <v>1</v>
      </c>
      <c r="B21" s="17" t="s">
        <v>2255</v>
      </c>
      <c r="C21" s="17" t="s">
        <v>2195</v>
      </c>
      <c r="D21" s="17" t="s">
        <v>2196</v>
      </c>
      <c r="E21" s="17" t="str">
        <f>"1,5764"</f>
        <v>1,5764</v>
      </c>
      <c r="F21" s="17" t="s">
        <v>111</v>
      </c>
      <c r="G21" s="17" t="s">
        <v>3249</v>
      </c>
      <c r="H21" s="37" t="s">
        <v>86</v>
      </c>
      <c r="I21" s="37" t="s">
        <v>53</v>
      </c>
      <c r="J21" s="37" t="s">
        <v>51</v>
      </c>
      <c r="K21" s="39" t="s">
        <v>41</v>
      </c>
      <c r="L21" s="37" t="s">
        <v>36</v>
      </c>
      <c r="M21" s="37" t="s">
        <v>25</v>
      </c>
      <c r="N21" s="37" t="s">
        <v>127</v>
      </c>
      <c r="O21" s="37" t="s">
        <v>155</v>
      </c>
      <c r="P21" s="31">
        <v>230</v>
      </c>
      <c r="Q21" s="25" t="str">
        <f>"489,4722"</f>
        <v>489,4722</v>
      </c>
      <c r="R21" s="17" t="s">
        <v>2197</v>
      </c>
    </row>
    <row r="23" spans="1:18" ht="15" x14ac:dyDescent="0.2">
      <c r="B23" s="294" t="s">
        <v>4007</v>
      </c>
      <c r="C23" s="294"/>
      <c r="D23" s="294"/>
      <c r="E23" s="294"/>
      <c r="F23" s="294"/>
      <c r="G23" s="294"/>
      <c r="H23" s="294"/>
      <c r="I23" s="294"/>
      <c r="J23" s="294"/>
      <c r="K23" s="294"/>
      <c r="L23" s="294"/>
      <c r="M23" s="294"/>
      <c r="N23" s="294"/>
      <c r="O23" s="294"/>
      <c r="P23" s="294"/>
      <c r="Q23" s="294"/>
    </row>
    <row r="24" spans="1:18" x14ac:dyDescent="0.2">
      <c r="A24" s="64">
        <v>1</v>
      </c>
      <c r="B24" s="15" t="s">
        <v>1436</v>
      </c>
      <c r="C24" s="15" t="s">
        <v>1305</v>
      </c>
      <c r="D24" s="15" t="s">
        <v>122</v>
      </c>
      <c r="E24" s="15" t="str">
        <f>"1,2530"</f>
        <v>1,2530</v>
      </c>
      <c r="F24" s="15" t="s">
        <v>111</v>
      </c>
      <c r="G24" s="15" t="s">
        <v>3248</v>
      </c>
      <c r="H24" s="35" t="s">
        <v>70</v>
      </c>
      <c r="I24" s="35" t="s">
        <v>157</v>
      </c>
      <c r="J24" s="38" t="s">
        <v>158</v>
      </c>
      <c r="K24" s="22"/>
      <c r="L24" s="35" t="s">
        <v>253</v>
      </c>
      <c r="M24" s="35" t="s">
        <v>208</v>
      </c>
      <c r="N24" s="22"/>
      <c r="O24" s="22"/>
      <c r="P24" s="29">
        <v>367.5</v>
      </c>
      <c r="Q24" s="21" t="str">
        <f>"460,4775"</f>
        <v>460,4775</v>
      </c>
      <c r="R24" s="15" t="s">
        <v>1307</v>
      </c>
    </row>
    <row r="25" spans="1:18" x14ac:dyDescent="0.2">
      <c r="A25" s="64">
        <v>2</v>
      </c>
      <c r="B25" s="17" t="s">
        <v>2256</v>
      </c>
      <c r="C25" s="17" t="s">
        <v>2198</v>
      </c>
      <c r="D25" s="17" t="s">
        <v>700</v>
      </c>
      <c r="E25" s="17" t="str">
        <f>"1,2594"</f>
        <v>1,2594</v>
      </c>
      <c r="F25" s="17" t="s">
        <v>1387</v>
      </c>
      <c r="G25" s="17" t="s">
        <v>3252</v>
      </c>
      <c r="H25" s="37" t="s">
        <v>76</v>
      </c>
      <c r="I25" s="37" t="s">
        <v>97</v>
      </c>
      <c r="J25" s="39" t="s">
        <v>69</v>
      </c>
      <c r="K25" s="26"/>
      <c r="L25" s="37" t="s">
        <v>112</v>
      </c>
      <c r="M25" s="37" t="s">
        <v>126</v>
      </c>
      <c r="N25" s="37" t="s">
        <v>127</v>
      </c>
      <c r="O25" s="26"/>
      <c r="P25" s="31">
        <v>265</v>
      </c>
      <c r="Q25" s="25" t="str">
        <f>"333,7410"</f>
        <v>333,7410</v>
      </c>
      <c r="R25" s="17" t="s">
        <v>2199</v>
      </c>
    </row>
    <row r="27" spans="1:18" ht="15" x14ac:dyDescent="0.2">
      <c r="B27" s="294" t="s">
        <v>4008</v>
      </c>
      <c r="C27" s="294"/>
      <c r="D27" s="294"/>
      <c r="E27" s="294"/>
      <c r="F27" s="294"/>
      <c r="G27" s="294"/>
      <c r="H27" s="294"/>
      <c r="I27" s="294"/>
      <c r="J27" s="294"/>
      <c r="K27" s="294"/>
      <c r="L27" s="294"/>
      <c r="M27" s="294"/>
      <c r="N27" s="294"/>
      <c r="O27" s="294"/>
      <c r="P27" s="294"/>
      <c r="Q27" s="294"/>
    </row>
    <row r="28" spans="1:18" x14ac:dyDescent="0.2">
      <c r="A28" s="64">
        <v>1</v>
      </c>
      <c r="B28" s="15" t="s">
        <v>1259</v>
      </c>
      <c r="C28" s="15" t="s">
        <v>2200</v>
      </c>
      <c r="D28" s="15" t="s">
        <v>22</v>
      </c>
      <c r="E28" s="15" t="str">
        <f>"1,1256"</f>
        <v>1,1256</v>
      </c>
      <c r="F28" s="15" t="s">
        <v>1491</v>
      </c>
      <c r="G28" s="15" t="s">
        <v>3209</v>
      </c>
      <c r="H28" s="35" t="s">
        <v>23</v>
      </c>
      <c r="I28" s="38" t="s">
        <v>126</v>
      </c>
      <c r="J28" s="35" t="s">
        <v>126</v>
      </c>
      <c r="K28" s="22"/>
      <c r="L28" s="35" t="s">
        <v>24</v>
      </c>
      <c r="M28" s="35" t="s">
        <v>220</v>
      </c>
      <c r="N28" s="35" t="s">
        <v>1311</v>
      </c>
      <c r="O28" s="22"/>
      <c r="P28" s="29">
        <v>386</v>
      </c>
      <c r="Q28" s="21" t="str">
        <f>"434,4816"</f>
        <v>434,4816</v>
      </c>
      <c r="R28" s="15" t="s">
        <v>3391</v>
      </c>
    </row>
    <row r="29" spans="1:18" x14ac:dyDescent="0.2">
      <c r="A29" s="64">
        <v>2</v>
      </c>
      <c r="B29" s="16" t="s">
        <v>2257</v>
      </c>
      <c r="C29" s="16" t="s">
        <v>916</v>
      </c>
      <c r="D29" s="16" t="s">
        <v>388</v>
      </c>
      <c r="E29" s="16" t="str">
        <f>"1,1692"</f>
        <v>1,1692</v>
      </c>
      <c r="F29" s="16" t="s">
        <v>857</v>
      </c>
      <c r="G29" s="16" t="s">
        <v>796</v>
      </c>
      <c r="H29" s="36" t="s">
        <v>158</v>
      </c>
      <c r="I29" s="24"/>
      <c r="J29" s="24"/>
      <c r="K29" s="24"/>
      <c r="L29" s="36" t="s">
        <v>140</v>
      </c>
      <c r="M29" s="24"/>
      <c r="N29" s="24"/>
      <c r="O29" s="24"/>
      <c r="P29" s="30">
        <v>327.5</v>
      </c>
      <c r="Q29" s="23" t="str">
        <f>"382,9130"</f>
        <v>382,9130</v>
      </c>
      <c r="R29" s="16" t="s">
        <v>1062</v>
      </c>
    </row>
    <row r="30" spans="1:18" x14ac:dyDescent="0.2">
      <c r="A30" s="64">
        <v>1</v>
      </c>
      <c r="B30" s="16" t="s">
        <v>1439</v>
      </c>
      <c r="C30" s="16" t="s">
        <v>1216</v>
      </c>
      <c r="D30" s="16" t="s">
        <v>22</v>
      </c>
      <c r="E30" s="16" t="str">
        <f>"1,1256"</f>
        <v>1,1256</v>
      </c>
      <c r="F30" s="16" t="s">
        <v>1491</v>
      </c>
      <c r="G30" s="16" t="s">
        <v>3209</v>
      </c>
      <c r="H30" s="36" t="s">
        <v>23</v>
      </c>
      <c r="I30" s="40" t="s">
        <v>126</v>
      </c>
      <c r="J30" s="36" t="s">
        <v>126</v>
      </c>
      <c r="K30" s="24"/>
      <c r="L30" s="36" t="s">
        <v>24</v>
      </c>
      <c r="M30" s="36" t="s">
        <v>220</v>
      </c>
      <c r="N30" s="36" t="s">
        <v>1311</v>
      </c>
      <c r="O30" s="24"/>
      <c r="P30" s="30">
        <v>386</v>
      </c>
      <c r="Q30" s="23" t="str">
        <f>"434,4816"</f>
        <v>434,4816</v>
      </c>
      <c r="R30" s="16" t="s">
        <v>3391</v>
      </c>
    </row>
    <row r="31" spans="1:18" x14ac:dyDescent="0.2">
      <c r="A31" s="64">
        <v>1</v>
      </c>
      <c r="B31" s="17" t="s">
        <v>2258</v>
      </c>
      <c r="C31" s="17" t="s">
        <v>2201</v>
      </c>
      <c r="D31" s="17" t="s">
        <v>2202</v>
      </c>
      <c r="E31" s="17" t="str">
        <f>"1,1422"</f>
        <v>1,1422</v>
      </c>
      <c r="F31" s="17" t="s">
        <v>2105</v>
      </c>
      <c r="G31" s="17" t="s">
        <v>3302</v>
      </c>
      <c r="H31" s="37" t="s">
        <v>71</v>
      </c>
      <c r="I31" s="39" t="s">
        <v>158</v>
      </c>
      <c r="J31" s="37" t="s">
        <v>158</v>
      </c>
      <c r="K31" s="39" t="s">
        <v>104</v>
      </c>
      <c r="L31" s="37" t="s">
        <v>11</v>
      </c>
      <c r="M31" s="37" t="s">
        <v>140</v>
      </c>
      <c r="N31" s="39" t="s">
        <v>143</v>
      </c>
      <c r="O31" s="26"/>
      <c r="P31" s="31">
        <v>327.5</v>
      </c>
      <c r="Q31" s="25" t="str">
        <f>"538,6615"</f>
        <v>538,6615</v>
      </c>
      <c r="R31" s="17" t="s">
        <v>2203</v>
      </c>
    </row>
    <row r="33" spans="1:18" ht="15" x14ac:dyDescent="0.2">
      <c r="B33" s="294" t="s">
        <v>4009</v>
      </c>
      <c r="C33" s="294"/>
      <c r="D33" s="294"/>
      <c r="E33" s="294"/>
      <c r="F33" s="294"/>
      <c r="G33" s="294"/>
      <c r="H33" s="294"/>
      <c r="I33" s="294"/>
      <c r="J33" s="294"/>
      <c r="K33" s="294"/>
      <c r="L33" s="294"/>
      <c r="M33" s="294"/>
      <c r="N33" s="294"/>
      <c r="O33" s="294"/>
      <c r="P33" s="294"/>
      <c r="Q33" s="294"/>
    </row>
    <row r="34" spans="1:18" x14ac:dyDescent="0.2">
      <c r="A34" s="64">
        <v>1</v>
      </c>
      <c r="B34" s="15" t="s">
        <v>2259</v>
      </c>
      <c r="C34" s="15" t="s">
        <v>2204</v>
      </c>
      <c r="D34" s="15" t="s">
        <v>619</v>
      </c>
      <c r="E34" s="15" t="str">
        <f>"1,0372"</f>
        <v>1,0372</v>
      </c>
      <c r="F34" s="15" t="s">
        <v>4020</v>
      </c>
      <c r="G34" s="15" t="s">
        <v>3246</v>
      </c>
      <c r="H34" s="35" t="s">
        <v>107</v>
      </c>
      <c r="I34" s="35" t="s">
        <v>140</v>
      </c>
      <c r="J34" s="38" t="s">
        <v>135</v>
      </c>
      <c r="K34" s="22"/>
      <c r="L34" s="38" t="s">
        <v>26</v>
      </c>
      <c r="M34" s="35" t="s">
        <v>26</v>
      </c>
      <c r="N34" s="38" t="s">
        <v>274</v>
      </c>
      <c r="O34" s="22"/>
      <c r="P34" s="29">
        <v>480</v>
      </c>
      <c r="Q34" s="21" t="str">
        <f>"497,8560"</f>
        <v>497,8560</v>
      </c>
      <c r="R34" s="15" t="s">
        <v>3391</v>
      </c>
    </row>
    <row r="35" spans="1:18" x14ac:dyDescent="0.2">
      <c r="A35" s="64">
        <v>2</v>
      </c>
      <c r="B35" s="16" t="s">
        <v>1326</v>
      </c>
      <c r="C35" s="16" t="s">
        <v>1327</v>
      </c>
      <c r="D35" s="16" t="s">
        <v>1328</v>
      </c>
      <c r="E35" s="16" t="str">
        <f>"1,0290"</f>
        <v>1,0290</v>
      </c>
      <c r="F35" s="16" t="s">
        <v>1056</v>
      </c>
      <c r="G35" s="16" t="s">
        <v>808</v>
      </c>
      <c r="H35" s="36" t="s">
        <v>148</v>
      </c>
      <c r="I35" s="36" t="s">
        <v>149</v>
      </c>
      <c r="J35" s="40" t="s">
        <v>155</v>
      </c>
      <c r="K35" s="24"/>
      <c r="L35" s="36" t="s">
        <v>35</v>
      </c>
      <c r="M35" s="36" t="s">
        <v>262</v>
      </c>
      <c r="N35" s="40" t="s">
        <v>1329</v>
      </c>
      <c r="O35" s="24"/>
      <c r="P35" s="30">
        <v>442.5</v>
      </c>
      <c r="Q35" s="23" t="str">
        <f>"455,3325"</f>
        <v>455,3325</v>
      </c>
      <c r="R35" s="16" t="s">
        <v>1482</v>
      </c>
    </row>
    <row r="36" spans="1:18" x14ac:dyDescent="0.2">
      <c r="A36" s="64">
        <v>3</v>
      </c>
      <c r="B36" s="16" t="s">
        <v>2260</v>
      </c>
      <c r="C36" s="16" t="s">
        <v>1219</v>
      </c>
      <c r="D36" s="16" t="s">
        <v>420</v>
      </c>
      <c r="E36" s="16" t="str">
        <f>"1,0356"</f>
        <v>1,0356</v>
      </c>
      <c r="F36" s="16" t="s">
        <v>1491</v>
      </c>
      <c r="G36" s="16" t="s">
        <v>1220</v>
      </c>
      <c r="H36" s="36" t="s">
        <v>116</v>
      </c>
      <c r="I36" s="36" t="s">
        <v>126</v>
      </c>
      <c r="J36" s="36" t="s">
        <v>574</v>
      </c>
      <c r="K36" s="24"/>
      <c r="L36" s="36" t="s">
        <v>17</v>
      </c>
      <c r="M36" s="40" t="s">
        <v>35</v>
      </c>
      <c r="N36" s="36" t="s">
        <v>35</v>
      </c>
      <c r="O36" s="24"/>
      <c r="P36" s="30">
        <v>417.5</v>
      </c>
      <c r="Q36" s="23" t="str">
        <f>"432,3630"</f>
        <v>432,3630</v>
      </c>
      <c r="R36" s="16" t="s">
        <v>3207</v>
      </c>
    </row>
    <row r="37" spans="1:18" x14ac:dyDescent="0.2">
      <c r="A37" s="64">
        <v>1</v>
      </c>
      <c r="B37" s="16" t="s">
        <v>1447</v>
      </c>
      <c r="C37" s="16" t="s">
        <v>1331</v>
      </c>
      <c r="D37" s="16" t="s">
        <v>1328</v>
      </c>
      <c r="E37" s="16" t="str">
        <f>"1,0290"</f>
        <v>1,0290</v>
      </c>
      <c r="F37" s="16" t="s">
        <v>1056</v>
      </c>
      <c r="G37" s="16" t="s">
        <v>808</v>
      </c>
      <c r="H37" s="36" t="s">
        <v>148</v>
      </c>
      <c r="I37" s="36" t="s">
        <v>149</v>
      </c>
      <c r="J37" s="40" t="s">
        <v>155</v>
      </c>
      <c r="K37" s="24"/>
      <c r="L37" s="36" t="s">
        <v>35</v>
      </c>
      <c r="M37" s="36" t="s">
        <v>262</v>
      </c>
      <c r="N37" s="40" t="s">
        <v>1329</v>
      </c>
      <c r="O37" s="24"/>
      <c r="P37" s="30">
        <v>442.5</v>
      </c>
      <c r="Q37" s="23" t="str">
        <f>"457,6092"</f>
        <v>457,6092</v>
      </c>
      <c r="R37" s="16" t="s">
        <v>1482</v>
      </c>
    </row>
    <row r="38" spans="1:18" x14ac:dyDescent="0.2">
      <c r="B38" s="16" t="s">
        <v>2205</v>
      </c>
      <c r="C38" s="16" t="s">
        <v>2206</v>
      </c>
      <c r="D38" s="16" t="s">
        <v>195</v>
      </c>
      <c r="E38" s="16" t="str">
        <f>"1,0540"</f>
        <v>1,0540</v>
      </c>
      <c r="F38" s="16" t="s">
        <v>492</v>
      </c>
      <c r="G38" s="16" t="s">
        <v>818</v>
      </c>
      <c r="H38" s="36" t="s">
        <v>126</v>
      </c>
      <c r="I38" s="36" t="s">
        <v>2207</v>
      </c>
      <c r="J38" s="40" t="s">
        <v>25</v>
      </c>
      <c r="K38" s="24"/>
      <c r="L38" s="40" t="s">
        <v>143</v>
      </c>
      <c r="M38" s="40" t="s">
        <v>143</v>
      </c>
      <c r="N38" s="24"/>
      <c r="O38" s="24"/>
      <c r="P38" s="47">
        <v>0</v>
      </c>
      <c r="Q38" s="23" t="str">
        <f>"0,0000"</f>
        <v>0,0000</v>
      </c>
      <c r="R38" s="16" t="s">
        <v>3391</v>
      </c>
    </row>
    <row r="39" spans="1:18" x14ac:dyDescent="0.2">
      <c r="A39" s="64">
        <v>1</v>
      </c>
      <c r="B39" s="17" t="s">
        <v>2261</v>
      </c>
      <c r="C39" s="17" t="s">
        <v>933</v>
      </c>
      <c r="D39" s="17" t="s">
        <v>13</v>
      </c>
      <c r="E39" s="17" t="str">
        <f>"1,0384"</f>
        <v>1,0384</v>
      </c>
      <c r="F39" s="17" t="s">
        <v>111</v>
      </c>
      <c r="G39" s="17" t="s">
        <v>3248</v>
      </c>
      <c r="H39" s="37" t="s">
        <v>46</v>
      </c>
      <c r="I39" s="37" t="s">
        <v>934</v>
      </c>
      <c r="J39" s="39" t="s">
        <v>65</v>
      </c>
      <c r="K39" s="26"/>
      <c r="L39" s="39" t="s">
        <v>140</v>
      </c>
      <c r="M39" s="37" t="s">
        <v>140</v>
      </c>
      <c r="N39" s="37" t="s">
        <v>24</v>
      </c>
      <c r="O39" s="26"/>
      <c r="P39" s="31">
        <v>320.5</v>
      </c>
      <c r="Q39" s="25" t="str">
        <f>"388,7188"</f>
        <v>388,7188</v>
      </c>
      <c r="R39" s="17" t="s">
        <v>935</v>
      </c>
    </row>
    <row r="41" spans="1:18" ht="15" x14ac:dyDescent="0.2">
      <c r="B41" s="294" t="s">
        <v>4010</v>
      </c>
      <c r="C41" s="294"/>
      <c r="D41" s="294"/>
      <c r="E41" s="294"/>
      <c r="F41" s="294"/>
      <c r="G41" s="294"/>
      <c r="H41" s="294"/>
      <c r="I41" s="294"/>
      <c r="J41" s="294"/>
      <c r="K41" s="294"/>
      <c r="L41" s="294"/>
      <c r="M41" s="294"/>
      <c r="N41" s="294"/>
      <c r="O41" s="294"/>
      <c r="P41" s="294"/>
      <c r="Q41" s="294"/>
    </row>
    <row r="42" spans="1:18" x14ac:dyDescent="0.2">
      <c r="A42" s="64">
        <v>1</v>
      </c>
      <c r="B42" s="15" t="s">
        <v>2262</v>
      </c>
      <c r="C42" s="15" t="s">
        <v>28</v>
      </c>
      <c r="D42" s="15" t="s">
        <v>29</v>
      </c>
      <c r="E42" s="15" t="str">
        <f>"0,9720"</f>
        <v>0,9720</v>
      </c>
      <c r="F42" s="15" t="s">
        <v>3181</v>
      </c>
      <c r="G42" s="15" t="s">
        <v>3192</v>
      </c>
      <c r="H42" s="35" t="s">
        <v>127</v>
      </c>
      <c r="I42" s="38" t="s">
        <v>30</v>
      </c>
      <c r="J42" s="35" t="s">
        <v>30</v>
      </c>
      <c r="K42" s="22"/>
      <c r="L42" s="35" t="s">
        <v>37</v>
      </c>
      <c r="M42" s="35" t="s">
        <v>15</v>
      </c>
      <c r="N42" s="35" t="s">
        <v>16</v>
      </c>
      <c r="O42" s="22"/>
      <c r="P42" s="29">
        <v>442.5</v>
      </c>
      <c r="Q42" s="21" t="str">
        <f>"430,1100"</f>
        <v>430,1100</v>
      </c>
      <c r="R42" s="15" t="s">
        <v>31</v>
      </c>
    </row>
    <row r="43" spans="1:18" x14ac:dyDescent="0.2">
      <c r="A43" s="64">
        <v>2</v>
      </c>
      <c r="B43" s="16" t="s">
        <v>1280</v>
      </c>
      <c r="C43" s="16" t="s">
        <v>945</v>
      </c>
      <c r="D43" s="16" t="s">
        <v>946</v>
      </c>
      <c r="E43" s="16" t="str">
        <f>"0,9744"</f>
        <v>0,9744</v>
      </c>
      <c r="F43" s="16" t="s">
        <v>492</v>
      </c>
      <c r="G43" s="16" t="s">
        <v>818</v>
      </c>
      <c r="H43" s="40" t="s">
        <v>71</v>
      </c>
      <c r="I43" s="36" t="s">
        <v>157</v>
      </c>
      <c r="J43" s="40" t="s">
        <v>112</v>
      </c>
      <c r="K43" s="24"/>
      <c r="L43" s="36" t="s">
        <v>253</v>
      </c>
      <c r="M43" s="36" t="s">
        <v>37</v>
      </c>
      <c r="N43" s="40" t="s">
        <v>17</v>
      </c>
      <c r="O43" s="24"/>
      <c r="P43" s="47">
        <v>372.5</v>
      </c>
      <c r="Q43" s="23" t="s">
        <v>3255</v>
      </c>
      <c r="R43" s="16" t="s">
        <v>3391</v>
      </c>
    </row>
    <row r="44" spans="1:18" x14ac:dyDescent="0.2">
      <c r="B44" s="16" t="s">
        <v>2208</v>
      </c>
      <c r="C44" s="16" t="s">
        <v>2209</v>
      </c>
      <c r="D44" s="16" t="s">
        <v>1826</v>
      </c>
      <c r="E44" s="16" t="str">
        <f>"0,9690"</f>
        <v>0,9690</v>
      </c>
      <c r="F44" s="16" t="s">
        <v>861</v>
      </c>
      <c r="G44" s="16" t="s">
        <v>839</v>
      </c>
      <c r="H44" s="40" t="s">
        <v>11</v>
      </c>
      <c r="I44" s="40" t="s">
        <v>11</v>
      </c>
      <c r="J44" s="40" t="s">
        <v>11</v>
      </c>
      <c r="K44" s="24"/>
      <c r="L44" s="48"/>
      <c r="M44" s="48"/>
      <c r="N44" s="49"/>
      <c r="O44" s="24"/>
      <c r="P44" s="47">
        <v>0</v>
      </c>
      <c r="Q44" s="23" t="str">
        <f>"0,0000"</f>
        <v>0,0000</v>
      </c>
      <c r="R44" s="16" t="s">
        <v>2274</v>
      </c>
    </row>
    <row r="45" spans="1:18" x14ac:dyDescent="0.2">
      <c r="A45" s="64">
        <v>1</v>
      </c>
      <c r="B45" s="17" t="s">
        <v>2263</v>
      </c>
      <c r="C45" s="17" t="s">
        <v>2210</v>
      </c>
      <c r="D45" s="17" t="s">
        <v>630</v>
      </c>
      <c r="E45" s="17" t="str">
        <f>"0,9786"</f>
        <v>0,9786</v>
      </c>
      <c r="F45" s="17" t="s">
        <v>4020</v>
      </c>
      <c r="G45" s="17" t="s">
        <v>840</v>
      </c>
      <c r="H45" s="37" t="s">
        <v>574</v>
      </c>
      <c r="I45" s="39" t="s">
        <v>148</v>
      </c>
      <c r="J45" s="39" t="s">
        <v>148</v>
      </c>
      <c r="K45" s="26"/>
      <c r="L45" s="37" t="s">
        <v>37</v>
      </c>
      <c r="M45" s="37" t="s">
        <v>374</v>
      </c>
      <c r="N45" s="39" t="s">
        <v>15</v>
      </c>
      <c r="O45" s="26"/>
      <c r="P45" s="31">
        <v>410</v>
      </c>
      <c r="Q45" s="25" t="str">
        <f>"446,9658"</f>
        <v>446,9658</v>
      </c>
      <c r="R45" s="17" t="s">
        <v>3391</v>
      </c>
    </row>
    <row r="47" spans="1:18" ht="15" x14ac:dyDescent="0.2">
      <c r="B47" s="294" t="s">
        <v>4011</v>
      </c>
      <c r="C47" s="294"/>
      <c r="D47" s="294"/>
      <c r="E47" s="294"/>
      <c r="F47" s="294"/>
      <c r="G47" s="294"/>
      <c r="H47" s="294"/>
      <c r="I47" s="294"/>
      <c r="J47" s="294"/>
      <c r="K47" s="294"/>
      <c r="L47" s="294"/>
      <c r="M47" s="294"/>
      <c r="N47" s="294"/>
      <c r="O47" s="294"/>
      <c r="P47" s="294"/>
      <c r="Q47" s="294"/>
    </row>
    <row r="48" spans="1:18" x14ac:dyDescent="0.2">
      <c r="A48" s="64">
        <v>1</v>
      </c>
      <c r="B48" s="15" t="s">
        <v>958</v>
      </c>
      <c r="C48" s="15" t="s">
        <v>959</v>
      </c>
      <c r="D48" s="15" t="s">
        <v>960</v>
      </c>
      <c r="E48" s="15" t="str">
        <f>"0,9210"</f>
        <v>0,9210</v>
      </c>
      <c r="F48" s="15" t="s">
        <v>14</v>
      </c>
      <c r="G48" s="15" t="s">
        <v>3196</v>
      </c>
      <c r="H48" s="35" t="s">
        <v>36</v>
      </c>
      <c r="I48" s="38" t="s">
        <v>149</v>
      </c>
      <c r="J48" s="38" t="s">
        <v>149</v>
      </c>
      <c r="K48" s="22"/>
      <c r="L48" s="35" t="s">
        <v>17</v>
      </c>
      <c r="M48" s="38" t="s">
        <v>511</v>
      </c>
      <c r="N48" s="38" t="s">
        <v>511</v>
      </c>
      <c r="O48" s="22"/>
      <c r="P48" s="29">
        <v>410</v>
      </c>
      <c r="Q48" s="21" t="str">
        <f>"377,6100"</f>
        <v>377,6100</v>
      </c>
      <c r="R48" s="15" t="s">
        <v>3391</v>
      </c>
    </row>
    <row r="49" spans="1:18" x14ac:dyDescent="0.2">
      <c r="A49" s="64">
        <v>1</v>
      </c>
      <c r="B49" s="16" t="s">
        <v>2111</v>
      </c>
      <c r="C49" s="16" t="s">
        <v>1701</v>
      </c>
      <c r="D49" s="16" t="s">
        <v>2211</v>
      </c>
      <c r="E49" s="16" t="str">
        <f>"0,9186"</f>
        <v>0,9186</v>
      </c>
      <c r="F49" s="16" t="s">
        <v>861</v>
      </c>
      <c r="G49" s="16" t="s">
        <v>839</v>
      </c>
      <c r="H49" s="36" t="s">
        <v>116</v>
      </c>
      <c r="I49" s="36" t="s">
        <v>36</v>
      </c>
      <c r="J49" s="40" t="s">
        <v>148</v>
      </c>
      <c r="K49" s="24"/>
      <c r="L49" s="40" t="s">
        <v>24</v>
      </c>
      <c r="M49" s="36" t="s">
        <v>246</v>
      </c>
      <c r="N49" s="40" t="s">
        <v>144</v>
      </c>
      <c r="O49" s="24"/>
      <c r="P49" s="30">
        <v>375</v>
      </c>
      <c r="Q49" s="23" t="str">
        <f>"344,4750"</f>
        <v>344,4750</v>
      </c>
      <c r="R49" s="16" t="s">
        <v>3391</v>
      </c>
    </row>
    <row r="50" spans="1:18" x14ac:dyDescent="0.2">
      <c r="A50" s="64">
        <v>1</v>
      </c>
      <c r="B50" s="16" t="s">
        <v>2212</v>
      </c>
      <c r="C50" s="16" t="s">
        <v>2213</v>
      </c>
      <c r="D50" s="16" t="s">
        <v>1226</v>
      </c>
      <c r="E50" s="16" t="str">
        <f>"0,9162"</f>
        <v>0,9162</v>
      </c>
      <c r="F50" s="16" t="s">
        <v>862</v>
      </c>
      <c r="G50" s="16" t="s">
        <v>846</v>
      </c>
      <c r="H50" s="36" t="s">
        <v>142</v>
      </c>
      <c r="I50" s="40" t="s">
        <v>260</v>
      </c>
      <c r="J50" s="40" t="s">
        <v>260</v>
      </c>
      <c r="K50" s="24"/>
      <c r="L50" s="36" t="s">
        <v>187</v>
      </c>
      <c r="M50" s="40" t="s">
        <v>144</v>
      </c>
      <c r="N50" s="40" t="s">
        <v>144</v>
      </c>
      <c r="O50" s="24"/>
      <c r="P50" s="30">
        <v>385</v>
      </c>
      <c r="Q50" s="23" t="str">
        <f>"357,6753"</f>
        <v>357,6753</v>
      </c>
      <c r="R50" s="16" t="s">
        <v>546</v>
      </c>
    </row>
    <row r="51" spans="1:18" x14ac:dyDescent="0.2">
      <c r="A51" s="64">
        <v>1</v>
      </c>
      <c r="B51" s="17" t="s">
        <v>2214</v>
      </c>
      <c r="C51" s="17" t="s">
        <v>2215</v>
      </c>
      <c r="D51" s="17" t="s">
        <v>2216</v>
      </c>
      <c r="E51" s="17" t="str">
        <f>"0,9378"</f>
        <v>0,9378</v>
      </c>
      <c r="F51" s="17" t="s">
        <v>1076</v>
      </c>
      <c r="G51" s="17" t="s">
        <v>3251</v>
      </c>
      <c r="H51" s="37" t="s">
        <v>61</v>
      </c>
      <c r="I51" s="37" t="s">
        <v>76</v>
      </c>
      <c r="J51" s="39" t="s">
        <v>70</v>
      </c>
      <c r="K51" s="26"/>
      <c r="L51" s="37" t="s">
        <v>71</v>
      </c>
      <c r="M51" s="37" t="s">
        <v>104</v>
      </c>
      <c r="N51" s="39" t="s">
        <v>36</v>
      </c>
      <c r="O51" s="26"/>
      <c r="P51" s="31">
        <v>230</v>
      </c>
      <c r="Q51" s="25" t="str">
        <f>"251,9306"</f>
        <v>251,9306</v>
      </c>
      <c r="R51" s="17" t="s">
        <v>2190</v>
      </c>
    </row>
    <row r="53" spans="1:18" ht="15" x14ac:dyDescent="0.2">
      <c r="B53" s="294" t="s">
        <v>4012</v>
      </c>
      <c r="C53" s="294"/>
      <c r="D53" s="294"/>
      <c r="E53" s="294"/>
      <c r="F53" s="294"/>
      <c r="G53" s="294"/>
      <c r="H53" s="294"/>
      <c r="I53" s="294"/>
      <c r="J53" s="294"/>
      <c r="K53" s="294"/>
      <c r="L53" s="294"/>
      <c r="M53" s="294"/>
      <c r="N53" s="294"/>
      <c r="O53" s="294"/>
      <c r="P53" s="294"/>
      <c r="Q53" s="294"/>
    </row>
    <row r="54" spans="1:18" x14ac:dyDescent="0.2">
      <c r="A54" s="64">
        <v>1</v>
      </c>
      <c r="B54" s="15" t="s">
        <v>2264</v>
      </c>
      <c r="C54" s="15" t="s">
        <v>2217</v>
      </c>
      <c r="D54" s="15" t="s">
        <v>1229</v>
      </c>
      <c r="E54" s="15" t="str">
        <f>"0,9082"</f>
        <v>0,9082</v>
      </c>
      <c r="F54" s="15" t="s">
        <v>4020</v>
      </c>
      <c r="G54" s="15" t="s">
        <v>844</v>
      </c>
      <c r="H54" s="35" t="s">
        <v>107</v>
      </c>
      <c r="I54" s="35" t="s">
        <v>140</v>
      </c>
      <c r="J54" s="38" t="s">
        <v>389</v>
      </c>
      <c r="K54" s="22"/>
      <c r="L54" s="35" t="s">
        <v>35</v>
      </c>
      <c r="M54" s="35" t="s">
        <v>287</v>
      </c>
      <c r="N54" s="38" t="s">
        <v>274</v>
      </c>
      <c r="O54" s="22"/>
      <c r="P54" s="29">
        <v>490</v>
      </c>
      <c r="Q54" s="21" t="str">
        <f>"445,0180"</f>
        <v>445,0180</v>
      </c>
      <c r="R54" s="15" t="s">
        <v>3391</v>
      </c>
    </row>
    <row r="55" spans="1:18" x14ac:dyDescent="0.2">
      <c r="A55" s="64">
        <v>1</v>
      </c>
      <c r="B55" s="16" t="s">
        <v>2265</v>
      </c>
      <c r="C55" s="16" t="s">
        <v>1355</v>
      </c>
      <c r="D55" s="16" t="s">
        <v>2218</v>
      </c>
      <c r="E55" s="16" t="str">
        <f>"0,8984"</f>
        <v>0,8984</v>
      </c>
      <c r="F55" s="16" t="s">
        <v>1076</v>
      </c>
      <c r="G55" s="16" t="s">
        <v>3250</v>
      </c>
      <c r="H55" s="36" t="s">
        <v>107</v>
      </c>
      <c r="I55" s="36" t="s">
        <v>135</v>
      </c>
      <c r="J55" s="36" t="s">
        <v>143</v>
      </c>
      <c r="K55" s="36" t="s">
        <v>187</v>
      </c>
      <c r="L55" s="36" t="s">
        <v>17</v>
      </c>
      <c r="M55" s="40" t="s">
        <v>274</v>
      </c>
      <c r="N55" s="40" t="s">
        <v>274</v>
      </c>
      <c r="O55" s="24"/>
      <c r="P55" s="30">
        <v>470</v>
      </c>
      <c r="Q55" s="23" t="str">
        <f>"422,2480"</f>
        <v>422,2480</v>
      </c>
      <c r="R55" s="16" t="s">
        <v>3391</v>
      </c>
    </row>
    <row r="56" spans="1:18" x14ac:dyDescent="0.2">
      <c r="A56" s="64">
        <v>1</v>
      </c>
      <c r="B56" s="16" t="s">
        <v>2266</v>
      </c>
      <c r="C56" s="16" t="s">
        <v>2219</v>
      </c>
      <c r="D56" s="16" t="s">
        <v>2113</v>
      </c>
      <c r="E56" s="16" t="str">
        <f>"0,8892"</f>
        <v>0,8892</v>
      </c>
      <c r="F56" s="16" t="s">
        <v>4020</v>
      </c>
      <c r="G56" s="16" t="s">
        <v>840</v>
      </c>
      <c r="H56" s="36" t="s">
        <v>187</v>
      </c>
      <c r="I56" s="36" t="s">
        <v>232</v>
      </c>
      <c r="J56" s="36" t="s">
        <v>400</v>
      </c>
      <c r="K56" s="24"/>
      <c r="L56" s="36" t="s">
        <v>287</v>
      </c>
      <c r="M56" s="36" t="s">
        <v>644</v>
      </c>
      <c r="N56" s="36" t="s">
        <v>2220</v>
      </c>
      <c r="O56" s="24"/>
      <c r="P56" s="30">
        <v>545</v>
      </c>
      <c r="Q56" s="23" t="str">
        <f>"484,6140"</f>
        <v>484,6140</v>
      </c>
      <c r="R56" s="16" t="s">
        <v>3391</v>
      </c>
    </row>
    <row r="57" spans="1:18" x14ac:dyDescent="0.2">
      <c r="A57" s="64">
        <v>2</v>
      </c>
      <c r="B57" s="16" t="s">
        <v>2267</v>
      </c>
      <c r="C57" s="16" t="s">
        <v>2221</v>
      </c>
      <c r="D57" s="16" t="s">
        <v>1885</v>
      </c>
      <c r="E57" s="16" t="str">
        <f>"0,8886"</f>
        <v>0,8886</v>
      </c>
      <c r="F57" s="16" t="s">
        <v>854</v>
      </c>
      <c r="G57" s="16" t="s">
        <v>796</v>
      </c>
      <c r="H57" s="36" t="s">
        <v>24</v>
      </c>
      <c r="I57" s="36" t="s">
        <v>400</v>
      </c>
      <c r="J57" s="40" t="s">
        <v>188</v>
      </c>
      <c r="K57" s="24"/>
      <c r="L57" s="36" t="s">
        <v>644</v>
      </c>
      <c r="M57" s="36" t="s">
        <v>684</v>
      </c>
      <c r="N57" s="40" t="s">
        <v>1007</v>
      </c>
      <c r="O57" s="24"/>
      <c r="P57" s="30">
        <v>540</v>
      </c>
      <c r="Q57" s="23" t="str">
        <f>"479,8440"</f>
        <v>479,8440</v>
      </c>
      <c r="R57" s="16" t="s">
        <v>3391</v>
      </c>
    </row>
    <row r="58" spans="1:18" x14ac:dyDescent="0.2">
      <c r="A58" s="64">
        <v>1</v>
      </c>
      <c r="B58" s="16" t="s">
        <v>2268</v>
      </c>
      <c r="C58" s="16" t="s">
        <v>2222</v>
      </c>
      <c r="D58" s="16" t="s">
        <v>2223</v>
      </c>
      <c r="E58" s="16" t="str">
        <f>"0,8864"</f>
        <v>0,8864</v>
      </c>
      <c r="F58" s="16" t="s">
        <v>4020</v>
      </c>
      <c r="G58" s="16" t="s">
        <v>803</v>
      </c>
      <c r="H58" s="36" t="s">
        <v>116</v>
      </c>
      <c r="I58" s="36" t="s">
        <v>36</v>
      </c>
      <c r="J58" s="36" t="s">
        <v>25</v>
      </c>
      <c r="K58" s="24"/>
      <c r="L58" s="36" t="s">
        <v>261</v>
      </c>
      <c r="M58" s="36" t="s">
        <v>26</v>
      </c>
      <c r="N58" s="40" t="s">
        <v>287</v>
      </c>
      <c r="O58" s="24"/>
      <c r="P58" s="30">
        <v>435</v>
      </c>
      <c r="Q58" s="23" t="str">
        <f>"415,6595"</f>
        <v>415,6595</v>
      </c>
      <c r="R58" s="16" t="s">
        <v>2275</v>
      </c>
    </row>
    <row r="59" spans="1:18" x14ac:dyDescent="0.2">
      <c r="A59" s="64">
        <v>1</v>
      </c>
      <c r="B59" s="17" t="s">
        <v>4119</v>
      </c>
      <c r="C59" s="17" t="s">
        <v>2224</v>
      </c>
      <c r="D59" s="17" t="s">
        <v>2225</v>
      </c>
      <c r="E59" s="17" t="str">
        <f>"0,8856"</f>
        <v>0,8856</v>
      </c>
      <c r="F59" s="17" t="s">
        <v>1076</v>
      </c>
      <c r="G59" s="17" t="s">
        <v>3253</v>
      </c>
      <c r="H59" s="37" t="s">
        <v>105</v>
      </c>
      <c r="I59" s="37" t="s">
        <v>574</v>
      </c>
      <c r="J59" s="37" t="s">
        <v>25</v>
      </c>
      <c r="K59" s="39" t="s">
        <v>2226</v>
      </c>
      <c r="L59" s="39" t="s">
        <v>24</v>
      </c>
      <c r="M59" s="37" t="s">
        <v>220</v>
      </c>
      <c r="N59" s="37" t="s">
        <v>253</v>
      </c>
      <c r="O59" s="39" t="s">
        <v>208</v>
      </c>
      <c r="P59" s="31">
        <v>395</v>
      </c>
      <c r="Q59" s="25" t="str">
        <f>"408,5804"</f>
        <v>408,5804</v>
      </c>
      <c r="R59" s="17" t="s">
        <v>2227</v>
      </c>
    </row>
    <row r="61" spans="1:18" ht="15" x14ac:dyDescent="0.2">
      <c r="B61" s="294" t="s">
        <v>4013</v>
      </c>
      <c r="C61" s="294"/>
      <c r="D61" s="294"/>
      <c r="E61" s="294"/>
      <c r="F61" s="294"/>
      <c r="G61" s="294"/>
      <c r="H61" s="294"/>
      <c r="I61" s="294"/>
      <c r="J61" s="294"/>
      <c r="K61" s="294"/>
      <c r="L61" s="294"/>
      <c r="M61" s="294"/>
      <c r="N61" s="294"/>
      <c r="O61" s="294"/>
      <c r="P61" s="294"/>
      <c r="Q61" s="294"/>
    </row>
    <row r="62" spans="1:18" x14ac:dyDescent="0.2">
      <c r="A62" s="64">
        <v>1</v>
      </c>
      <c r="B62" s="15" t="s">
        <v>1253</v>
      </c>
      <c r="C62" s="15" t="s">
        <v>1231</v>
      </c>
      <c r="D62" s="15" t="s">
        <v>1232</v>
      </c>
      <c r="E62" s="15" t="str">
        <f>"0,8674"</f>
        <v>0,8674</v>
      </c>
      <c r="F62" s="15" t="s">
        <v>492</v>
      </c>
      <c r="G62" s="114" t="s">
        <v>3200</v>
      </c>
      <c r="H62" s="120" t="s">
        <v>187</v>
      </c>
      <c r="I62" s="38" t="s">
        <v>246</v>
      </c>
      <c r="J62" s="121" t="s">
        <v>246</v>
      </c>
      <c r="K62" s="22"/>
      <c r="L62" s="131" t="s">
        <v>274</v>
      </c>
      <c r="M62" s="35" t="s">
        <v>679</v>
      </c>
      <c r="N62" s="122" t="s">
        <v>275</v>
      </c>
      <c r="O62" s="117"/>
      <c r="P62" s="29">
        <v>525</v>
      </c>
      <c r="Q62" s="21" t="str">
        <f>"455,3850"</f>
        <v>455,3850</v>
      </c>
      <c r="R62" s="15" t="s">
        <v>3206</v>
      </c>
    </row>
    <row r="63" spans="1:18" x14ac:dyDescent="0.2">
      <c r="A63" s="64">
        <v>2</v>
      </c>
      <c r="B63" s="16" t="s">
        <v>1471</v>
      </c>
      <c r="C63" s="16" t="s">
        <v>1233</v>
      </c>
      <c r="D63" s="16" t="s">
        <v>1234</v>
      </c>
      <c r="E63" s="16" t="str">
        <f>"0,8660"</f>
        <v>0,8660</v>
      </c>
      <c r="F63" s="16" t="s">
        <v>492</v>
      </c>
      <c r="G63" s="115" t="s">
        <v>829</v>
      </c>
      <c r="H63" s="36" t="s">
        <v>141</v>
      </c>
      <c r="I63" s="36" t="s">
        <v>239</v>
      </c>
      <c r="J63" s="40" t="s">
        <v>11</v>
      </c>
      <c r="K63" s="24"/>
      <c r="L63" s="36" t="s">
        <v>1339</v>
      </c>
      <c r="M63" s="36" t="s">
        <v>684</v>
      </c>
      <c r="N63" s="36" t="s">
        <v>1007</v>
      </c>
      <c r="O63" s="118"/>
      <c r="P63" s="30">
        <v>492.5</v>
      </c>
      <c r="Q63" s="23" t="str">
        <f>"426,5050"</f>
        <v>426,5050</v>
      </c>
      <c r="R63" s="16" t="s">
        <v>815</v>
      </c>
    </row>
    <row r="64" spans="1:18" x14ac:dyDescent="0.2">
      <c r="A64" s="64">
        <v>1</v>
      </c>
      <c r="B64" s="16" t="s">
        <v>1235</v>
      </c>
      <c r="C64" s="16" t="s">
        <v>1236</v>
      </c>
      <c r="D64" s="16" t="s">
        <v>1232</v>
      </c>
      <c r="E64" s="16" t="str">
        <f>"0,8674"</f>
        <v>0,8674</v>
      </c>
      <c r="F64" s="16" t="s">
        <v>492</v>
      </c>
      <c r="G64" s="115" t="s">
        <v>3200</v>
      </c>
      <c r="H64" s="123" t="s">
        <v>187</v>
      </c>
      <c r="I64" s="40" t="s">
        <v>246</v>
      </c>
      <c r="J64" s="137" t="s">
        <v>246</v>
      </c>
      <c r="K64" s="24"/>
      <c r="L64" s="136" t="s">
        <v>274</v>
      </c>
      <c r="M64" s="36" t="s">
        <v>679</v>
      </c>
      <c r="N64" s="124" t="s">
        <v>275</v>
      </c>
      <c r="O64" s="118"/>
      <c r="P64" s="30">
        <v>525</v>
      </c>
      <c r="Q64" s="23" t="str">
        <f>"455,3850"</f>
        <v>455,3850</v>
      </c>
      <c r="R64" s="16" t="s">
        <v>3206</v>
      </c>
    </row>
    <row r="65" spans="1:18" x14ac:dyDescent="0.2">
      <c r="A65" s="64">
        <v>1</v>
      </c>
      <c r="B65" s="16" t="s">
        <v>2269</v>
      </c>
      <c r="C65" s="16" t="s">
        <v>1552</v>
      </c>
      <c r="D65" s="16" t="s">
        <v>1553</v>
      </c>
      <c r="E65" s="16" t="str">
        <f>"0,8638"</f>
        <v>0,8638</v>
      </c>
      <c r="F65" s="16" t="s">
        <v>1577</v>
      </c>
      <c r="G65" s="115" t="s">
        <v>3254</v>
      </c>
      <c r="H65" s="123" t="s">
        <v>206</v>
      </c>
      <c r="I65" s="36" t="s">
        <v>224</v>
      </c>
      <c r="J65" s="136" t="s">
        <v>140</v>
      </c>
      <c r="K65" s="40" t="s">
        <v>2228</v>
      </c>
      <c r="L65" s="136" t="s">
        <v>35</v>
      </c>
      <c r="M65" s="36" t="s">
        <v>287</v>
      </c>
      <c r="N65" s="124" t="s">
        <v>644</v>
      </c>
      <c r="O65" s="118"/>
      <c r="P65" s="30">
        <v>490</v>
      </c>
      <c r="Q65" s="23" t="str">
        <f>"423,2620"</f>
        <v>423,2620</v>
      </c>
      <c r="R65" s="16" t="s">
        <v>3391</v>
      </c>
    </row>
    <row r="66" spans="1:18" x14ac:dyDescent="0.2">
      <c r="A66" s="64">
        <v>1</v>
      </c>
      <c r="B66" s="17" t="s">
        <v>2270</v>
      </c>
      <c r="C66" s="17" t="s">
        <v>2229</v>
      </c>
      <c r="D66" s="17" t="s">
        <v>2230</v>
      </c>
      <c r="E66" s="17" t="str">
        <f>"0,8790"</f>
        <v>0,8790</v>
      </c>
      <c r="F66" s="17" t="s">
        <v>1076</v>
      </c>
      <c r="G66" s="116" t="s">
        <v>2231</v>
      </c>
      <c r="H66" s="127" t="s">
        <v>71</v>
      </c>
      <c r="I66" s="37" t="s">
        <v>104</v>
      </c>
      <c r="J66" s="139"/>
      <c r="K66" s="26"/>
      <c r="L66" s="138" t="s">
        <v>143</v>
      </c>
      <c r="M66" s="39" t="s">
        <v>144</v>
      </c>
      <c r="N66" s="119"/>
      <c r="O66" s="119"/>
      <c r="P66" s="31">
        <v>340</v>
      </c>
      <c r="Q66" s="25" t="str">
        <f>"403,4610"</f>
        <v>403,4610</v>
      </c>
      <c r="R66" s="17" t="s">
        <v>2190</v>
      </c>
    </row>
    <row r="68" spans="1:18" ht="15" x14ac:dyDescent="0.2">
      <c r="B68" s="294" t="s">
        <v>4016</v>
      </c>
      <c r="C68" s="294"/>
      <c r="D68" s="294"/>
      <c r="E68" s="294"/>
      <c r="F68" s="294"/>
      <c r="G68" s="294"/>
      <c r="H68" s="294"/>
      <c r="I68" s="294"/>
      <c r="J68" s="294"/>
      <c r="K68" s="294"/>
      <c r="L68" s="294"/>
      <c r="M68" s="294"/>
      <c r="N68" s="294"/>
      <c r="O68" s="294"/>
      <c r="P68" s="294"/>
      <c r="Q68" s="294"/>
    </row>
    <row r="69" spans="1:18" x14ac:dyDescent="0.2">
      <c r="A69" s="64">
        <v>1</v>
      </c>
      <c r="B69" s="7" t="s">
        <v>2271</v>
      </c>
      <c r="C69" s="7" t="s">
        <v>2232</v>
      </c>
      <c r="D69" s="7" t="s">
        <v>2233</v>
      </c>
      <c r="E69" s="7" t="str">
        <f>"0,8570"</f>
        <v>0,8570</v>
      </c>
      <c r="F69" s="7" t="s">
        <v>4020</v>
      </c>
      <c r="G69" s="7" t="s">
        <v>3247</v>
      </c>
      <c r="H69" s="34" t="s">
        <v>140</v>
      </c>
      <c r="I69" s="34" t="s">
        <v>143</v>
      </c>
      <c r="J69" s="34" t="s">
        <v>24</v>
      </c>
      <c r="K69" s="20"/>
      <c r="L69" s="34" t="s">
        <v>274</v>
      </c>
      <c r="M69" s="34" t="s">
        <v>275</v>
      </c>
      <c r="N69" s="34" t="s">
        <v>1007</v>
      </c>
      <c r="O69" s="20"/>
      <c r="P69" s="28">
        <v>540</v>
      </c>
      <c r="Q69" s="19" t="str">
        <f>"462,7800"</f>
        <v>462,7800</v>
      </c>
      <c r="R69" s="7" t="s">
        <v>3391</v>
      </c>
    </row>
    <row r="71" spans="1:18" ht="15" x14ac:dyDescent="0.2">
      <c r="B71" s="294" t="s">
        <v>4017</v>
      </c>
      <c r="C71" s="294"/>
      <c r="D71" s="294"/>
      <c r="E71" s="294"/>
      <c r="F71" s="294"/>
      <c r="G71" s="294"/>
      <c r="H71" s="294"/>
      <c r="I71" s="294"/>
      <c r="J71" s="294"/>
      <c r="K71" s="294"/>
      <c r="L71" s="294"/>
      <c r="M71" s="294"/>
      <c r="N71" s="294"/>
      <c r="O71" s="294"/>
      <c r="P71" s="294"/>
      <c r="Q71" s="294"/>
    </row>
    <row r="72" spans="1:18" x14ac:dyDescent="0.2">
      <c r="A72" s="64">
        <v>1</v>
      </c>
      <c r="B72" s="7" t="s">
        <v>2272</v>
      </c>
      <c r="C72" s="7" t="s">
        <v>2234</v>
      </c>
      <c r="D72" s="7" t="s">
        <v>2235</v>
      </c>
      <c r="E72" s="7" t="str">
        <f>"0,8250"</f>
        <v>0,8250</v>
      </c>
      <c r="F72" s="7" t="s">
        <v>111</v>
      </c>
      <c r="G72" s="7" t="s">
        <v>3248</v>
      </c>
      <c r="H72" s="34" t="s">
        <v>116</v>
      </c>
      <c r="I72" s="34" t="s">
        <v>36</v>
      </c>
      <c r="J72" s="34" t="s">
        <v>149</v>
      </c>
      <c r="K72" s="20"/>
      <c r="L72" s="34" t="s">
        <v>37</v>
      </c>
      <c r="M72" s="34" t="s">
        <v>35</v>
      </c>
      <c r="N72" s="41" t="s">
        <v>287</v>
      </c>
      <c r="O72" s="20"/>
      <c r="P72" s="28">
        <v>427.5</v>
      </c>
      <c r="Q72" s="19" t="str">
        <f>"352,6875"</f>
        <v>352,6875</v>
      </c>
      <c r="R72" s="7" t="s">
        <v>2236</v>
      </c>
    </row>
    <row r="74" spans="1:18" ht="18" x14ac:dyDescent="0.25">
      <c r="B74" s="8" t="s">
        <v>4022</v>
      </c>
      <c r="C74" s="8"/>
    </row>
    <row r="75" spans="1:18" ht="18.75" x14ac:dyDescent="0.3">
      <c r="B75" s="242" t="s">
        <v>3499</v>
      </c>
      <c r="C75" s="8"/>
    </row>
    <row r="76" spans="1:18" ht="14.25" x14ac:dyDescent="0.2">
      <c r="B76" s="11"/>
      <c r="C76" s="12" t="s">
        <v>18</v>
      </c>
    </row>
    <row r="77" spans="1:18" ht="15" x14ac:dyDescent="0.2">
      <c r="B77" s="13" t="s">
        <v>0</v>
      </c>
      <c r="C77" s="13" t="s">
        <v>19</v>
      </c>
      <c r="D77" s="13" t="s">
        <v>20</v>
      </c>
      <c r="E77" s="13" t="s">
        <v>3593</v>
      </c>
      <c r="F77" s="13" t="s">
        <v>9</v>
      </c>
    </row>
    <row r="78" spans="1:18" x14ac:dyDescent="0.2">
      <c r="A78" s="64">
        <v>1</v>
      </c>
      <c r="B78" s="10" t="s">
        <v>2237</v>
      </c>
      <c r="C78" s="18" t="s">
        <v>18</v>
      </c>
      <c r="D78" s="27" t="s">
        <v>21</v>
      </c>
      <c r="E78" s="27" t="s">
        <v>554</v>
      </c>
      <c r="F78" s="27" t="s">
        <v>2238</v>
      </c>
    </row>
    <row r="79" spans="1:18" x14ac:dyDescent="0.2">
      <c r="A79" s="64">
        <v>2</v>
      </c>
      <c r="B79" s="10" t="s">
        <v>2239</v>
      </c>
      <c r="C79" s="18" t="s">
        <v>18</v>
      </c>
      <c r="D79" s="27" t="s">
        <v>306</v>
      </c>
      <c r="E79" s="27" t="s">
        <v>2240</v>
      </c>
      <c r="F79" s="27" t="s">
        <v>2241</v>
      </c>
    </row>
    <row r="80" spans="1:18" x14ac:dyDescent="0.2">
      <c r="A80" s="64">
        <v>3</v>
      </c>
      <c r="B80" s="10" t="s">
        <v>2242</v>
      </c>
      <c r="C80" s="18" t="s">
        <v>18</v>
      </c>
      <c r="D80" s="27" t="s">
        <v>306</v>
      </c>
      <c r="E80" s="27" t="s">
        <v>683</v>
      </c>
      <c r="F80" s="27" t="s">
        <v>2243</v>
      </c>
    </row>
    <row r="82" spans="1:6" ht="14.25" x14ac:dyDescent="0.2">
      <c r="B82" s="11"/>
      <c r="C82" s="12" t="s">
        <v>310</v>
      </c>
    </row>
    <row r="83" spans="1:6" ht="15" x14ac:dyDescent="0.2">
      <c r="B83" s="13" t="s">
        <v>0</v>
      </c>
      <c r="C83" s="13" t="s">
        <v>19</v>
      </c>
      <c r="D83" s="13" t="s">
        <v>20</v>
      </c>
      <c r="E83" s="13" t="s">
        <v>3593</v>
      </c>
      <c r="F83" s="13" t="s">
        <v>9</v>
      </c>
    </row>
    <row r="84" spans="1:6" x14ac:dyDescent="0.2">
      <c r="A84" s="64">
        <v>1</v>
      </c>
      <c r="B84" s="10" t="s">
        <v>2245</v>
      </c>
      <c r="C84" s="18" t="s">
        <v>1175</v>
      </c>
      <c r="D84" s="27" t="s">
        <v>291</v>
      </c>
      <c r="E84" s="27" t="s">
        <v>2244</v>
      </c>
      <c r="F84" s="27" t="s">
        <v>2246</v>
      </c>
    </row>
    <row r="85" spans="1:6" x14ac:dyDescent="0.2">
      <c r="A85" s="64">
        <v>2</v>
      </c>
      <c r="B85" s="10" t="s">
        <v>1326</v>
      </c>
      <c r="C85" s="18" t="s">
        <v>312</v>
      </c>
      <c r="D85" s="27" t="s">
        <v>21</v>
      </c>
      <c r="E85" s="27" t="s">
        <v>33</v>
      </c>
      <c r="F85" s="27" t="s">
        <v>2247</v>
      </c>
    </row>
    <row r="86" spans="1:6" x14ac:dyDescent="0.2">
      <c r="A86" s="64">
        <v>3</v>
      </c>
      <c r="B86" s="10" t="s">
        <v>2248</v>
      </c>
      <c r="C86" s="18" t="s">
        <v>314</v>
      </c>
      <c r="D86" s="27" t="s">
        <v>32</v>
      </c>
      <c r="E86" s="27" t="s">
        <v>2149</v>
      </c>
      <c r="F86" s="27" t="s">
        <v>2249</v>
      </c>
    </row>
  </sheetData>
  <mergeCells count="29">
    <mergeCell ref="A1:R1"/>
    <mergeCell ref="A2:R2"/>
    <mergeCell ref="A3:R3"/>
    <mergeCell ref="B61:Q61"/>
    <mergeCell ref="B68:Q68"/>
    <mergeCell ref="D4:D5"/>
    <mergeCell ref="E4:E5"/>
    <mergeCell ref="F4:F5"/>
    <mergeCell ref="G4:G5"/>
    <mergeCell ref="H4:K4"/>
    <mergeCell ref="L4:O4"/>
    <mergeCell ref="P4:P5"/>
    <mergeCell ref="R4:R5"/>
    <mergeCell ref="B71:Q71"/>
    <mergeCell ref="A4:A5"/>
    <mergeCell ref="B19:Q19"/>
    <mergeCell ref="B23:Q23"/>
    <mergeCell ref="B27:Q27"/>
    <mergeCell ref="B33:Q33"/>
    <mergeCell ref="B41:Q41"/>
    <mergeCell ref="B47:Q47"/>
    <mergeCell ref="Q4:Q5"/>
    <mergeCell ref="B6:Q6"/>
    <mergeCell ref="B9:Q9"/>
    <mergeCell ref="B12:Q12"/>
    <mergeCell ref="B15:Q15"/>
    <mergeCell ref="B53:Q53"/>
    <mergeCell ref="B4:B5"/>
    <mergeCell ref="C4:C5"/>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election activeCell="F18" sqref="F18"/>
    </sheetView>
  </sheetViews>
  <sheetFormatPr defaultColWidth="8.7109375" defaultRowHeight="12.75" x14ac:dyDescent="0.2"/>
  <cols>
    <col min="1" max="1" width="7.140625" style="43" customWidth="1"/>
    <col min="2" max="2" width="19.7109375" style="6" customWidth="1"/>
    <col min="3" max="3" width="26.85546875" style="6" bestFit="1" customWidth="1"/>
    <col min="4" max="4" width="10.28515625" style="6" customWidth="1"/>
    <col min="5" max="5" width="7.5703125" style="6" bestFit="1" customWidth="1"/>
    <col min="6" max="6" width="17.28515625" style="6" bestFit="1" customWidth="1"/>
    <col min="7" max="7" width="36.42578125" style="6" customWidth="1"/>
    <col min="8" max="8" width="5.7109375" style="27" customWidth="1"/>
    <col min="9" max="10" width="5.5703125" style="27" bestFit="1" customWidth="1"/>
    <col min="11" max="11" width="4.85546875" style="27" bestFit="1" customWidth="1"/>
    <col min="12" max="15" width="5.5703125" style="27" bestFit="1" customWidth="1"/>
    <col min="16" max="16" width="6.42578125" style="32" bestFit="1" customWidth="1"/>
    <col min="17" max="17" width="9.85546875" style="6" bestFit="1" customWidth="1"/>
    <col min="18" max="18" width="18.7109375" style="6" customWidth="1"/>
    <col min="258" max="258" width="27" bestFit="1" customWidth="1"/>
    <col min="259" max="259" width="26.85546875" bestFit="1" customWidth="1"/>
    <col min="260" max="260" width="7.7109375" bestFit="1" customWidth="1"/>
    <col min="261" max="261" width="6.7109375" bestFit="1" customWidth="1"/>
    <col min="262" max="262" width="17.28515625" bestFit="1" customWidth="1"/>
    <col min="263" max="263" width="27.7109375" bestFit="1" customWidth="1"/>
    <col min="264" max="266" width="5.5703125" bestFit="1" customWidth="1"/>
    <col min="267" max="267" width="4.85546875" bestFit="1" customWidth="1"/>
    <col min="268" max="271" width="5.5703125" bestFit="1" customWidth="1"/>
    <col min="272" max="272" width="6.7109375" bestFit="1" customWidth="1"/>
    <col min="273" max="273" width="8.5703125" bestFit="1" customWidth="1"/>
    <col min="274" max="274" width="14.5703125" bestFit="1" customWidth="1"/>
    <col min="514" max="514" width="27" bestFit="1" customWidth="1"/>
    <col min="515" max="515" width="26.85546875" bestFit="1" customWidth="1"/>
    <col min="516" max="516" width="7.7109375" bestFit="1" customWidth="1"/>
    <col min="517" max="517" width="6.7109375" bestFit="1" customWidth="1"/>
    <col min="518" max="518" width="17.28515625" bestFit="1" customWidth="1"/>
    <col min="519" max="519" width="27.7109375" bestFit="1" customWidth="1"/>
    <col min="520" max="522" width="5.5703125" bestFit="1" customWidth="1"/>
    <col min="523" max="523" width="4.85546875" bestFit="1" customWidth="1"/>
    <col min="524" max="527" width="5.5703125" bestFit="1" customWidth="1"/>
    <col min="528" max="528" width="6.7109375" bestFit="1" customWidth="1"/>
    <col min="529" max="529" width="8.5703125" bestFit="1" customWidth="1"/>
    <col min="530" max="530" width="14.5703125" bestFit="1" customWidth="1"/>
    <col min="770" max="770" width="27" bestFit="1" customWidth="1"/>
    <col min="771" max="771" width="26.85546875" bestFit="1" customWidth="1"/>
    <col min="772" max="772" width="7.7109375" bestFit="1" customWidth="1"/>
    <col min="773" max="773" width="6.7109375" bestFit="1" customWidth="1"/>
    <col min="774" max="774" width="17.28515625" bestFit="1" customWidth="1"/>
    <col min="775" max="775" width="27.7109375" bestFit="1" customWidth="1"/>
    <col min="776" max="778" width="5.5703125" bestFit="1" customWidth="1"/>
    <col min="779" max="779" width="4.85546875" bestFit="1" customWidth="1"/>
    <col min="780" max="783" width="5.5703125" bestFit="1" customWidth="1"/>
    <col min="784" max="784" width="6.7109375" bestFit="1" customWidth="1"/>
    <col min="785" max="785" width="8.5703125" bestFit="1" customWidth="1"/>
    <col min="786" max="786" width="14.5703125" bestFit="1" customWidth="1"/>
    <col min="1026" max="1026" width="27" bestFit="1" customWidth="1"/>
    <col min="1027" max="1027" width="26.85546875" bestFit="1" customWidth="1"/>
    <col min="1028" max="1028" width="7.7109375" bestFit="1" customWidth="1"/>
    <col min="1029" max="1029" width="6.7109375" bestFit="1" customWidth="1"/>
    <col min="1030" max="1030" width="17.28515625" bestFit="1" customWidth="1"/>
    <col min="1031" max="1031" width="27.7109375" bestFit="1" customWidth="1"/>
    <col min="1032" max="1034" width="5.5703125" bestFit="1" customWidth="1"/>
    <col min="1035" max="1035" width="4.85546875" bestFit="1" customWidth="1"/>
    <col min="1036" max="1039" width="5.5703125" bestFit="1" customWidth="1"/>
    <col min="1040" max="1040" width="6.7109375" bestFit="1" customWidth="1"/>
    <col min="1041" max="1041" width="8.5703125" bestFit="1" customWidth="1"/>
    <col min="1042" max="1042" width="14.5703125" bestFit="1" customWidth="1"/>
    <col min="1282" max="1282" width="27" bestFit="1" customWidth="1"/>
    <col min="1283" max="1283" width="26.85546875" bestFit="1" customWidth="1"/>
    <col min="1284" max="1284" width="7.7109375" bestFit="1" customWidth="1"/>
    <col min="1285" max="1285" width="6.7109375" bestFit="1" customWidth="1"/>
    <col min="1286" max="1286" width="17.28515625" bestFit="1" customWidth="1"/>
    <col min="1287" max="1287" width="27.7109375" bestFit="1" customWidth="1"/>
    <col min="1288" max="1290" width="5.5703125" bestFit="1" customWidth="1"/>
    <col min="1291" max="1291" width="4.85546875" bestFit="1" customWidth="1"/>
    <col min="1292" max="1295" width="5.5703125" bestFit="1" customWidth="1"/>
    <col min="1296" max="1296" width="6.7109375" bestFit="1" customWidth="1"/>
    <col min="1297" max="1297" width="8.5703125" bestFit="1" customWidth="1"/>
    <col min="1298" max="1298" width="14.5703125" bestFit="1" customWidth="1"/>
    <col min="1538" max="1538" width="27" bestFit="1" customWidth="1"/>
    <col min="1539" max="1539" width="26.85546875" bestFit="1" customWidth="1"/>
    <col min="1540" max="1540" width="7.7109375" bestFit="1" customWidth="1"/>
    <col min="1541" max="1541" width="6.7109375" bestFit="1" customWidth="1"/>
    <col min="1542" max="1542" width="17.28515625" bestFit="1" customWidth="1"/>
    <col min="1543" max="1543" width="27.7109375" bestFit="1" customWidth="1"/>
    <col min="1544" max="1546" width="5.5703125" bestFit="1" customWidth="1"/>
    <col min="1547" max="1547" width="4.85546875" bestFit="1" customWidth="1"/>
    <col min="1548" max="1551" width="5.5703125" bestFit="1" customWidth="1"/>
    <col min="1552" max="1552" width="6.7109375" bestFit="1" customWidth="1"/>
    <col min="1553" max="1553" width="8.5703125" bestFit="1" customWidth="1"/>
    <col min="1554" max="1554" width="14.5703125" bestFit="1" customWidth="1"/>
    <col min="1794" max="1794" width="27" bestFit="1" customWidth="1"/>
    <col min="1795" max="1795" width="26.85546875" bestFit="1" customWidth="1"/>
    <col min="1796" max="1796" width="7.7109375" bestFit="1" customWidth="1"/>
    <col min="1797" max="1797" width="6.7109375" bestFit="1" customWidth="1"/>
    <col min="1798" max="1798" width="17.28515625" bestFit="1" customWidth="1"/>
    <col min="1799" max="1799" width="27.7109375" bestFit="1" customWidth="1"/>
    <col min="1800" max="1802" width="5.5703125" bestFit="1" customWidth="1"/>
    <col min="1803" max="1803" width="4.85546875" bestFit="1" customWidth="1"/>
    <col min="1804" max="1807" width="5.5703125" bestFit="1" customWidth="1"/>
    <col min="1808" max="1808" width="6.7109375" bestFit="1" customWidth="1"/>
    <col min="1809" max="1809" width="8.5703125" bestFit="1" customWidth="1"/>
    <col min="1810" max="1810" width="14.5703125" bestFit="1" customWidth="1"/>
    <col min="2050" max="2050" width="27" bestFit="1" customWidth="1"/>
    <col min="2051" max="2051" width="26.85546875" bestFit="1" customWidth="1"/>
    <col min="2052" max="2052" width="7.7109375" bestFit="1" customWidth="1"/>
    <col min="2053" max="2053" width="6.7109375" bestFit="1" customWidth="1"/>
    <col min="2054" max="2054" width="17.28515625" bestFit="1" customWidth="1"/>
    <col min="2055" max="2055" width="27.7109375" bestFit="1" customWidth="1"/>
    <col min="2056" max="2058" width="5.5703125" bestFit="1" customWidth="1"/>
    <col min="2059" max="2059" width="4.85546875" bestFit="1" customWidth="1"/>
    <col min="2060" max="2063" width="5.5703125" bestFit="1" customWidth="1"/>
    <col min="2064" max="2064" width="6.7109375" bestFit="1" customWidth="1"/>
    <col min="2065" max="2065" width="8.5703125" bestFit="1" customWidth="1"/>
    <col min="2066" max="2066" width="14.5703125" bestFit="1" customWidth="1"/>
    <col min="2306" max="2306" width="27" bestFit="1" customWidth="1"/>
    <col min="2307" max="2307" width="26.85546875" bestFit="1" customWidth="1"/>
    <col min="2308" max="2308" width="7.7109375" bestFit="1" customWidth="1"/>
    <col min="2309" max="2309" width="6.7109375" bestFit="1" customWidth="1"/>
    <col min="2310" max="2310" width="17.28515625" bestFit="1" customWidth="1"/>
    <col min="2311" max="2311" width="27.7109375" bestFit="1" customWidth="1"/>
    <col min="2312" max="2314" width="5.5703125" bestFit="1" customWidth="1"/>
    <col min="2315" max="2315" width="4.85546875" bestFit="1" customWidth="1"/>
    <col min="2316" max="2319" width="5.5703125" bestFit="1" customWidth="1"/>
    <col min="2320" max="2320" width="6.7109375" bestFit="1" customWidth="1"/>
    <col min="2321" max="2321" width="8.5703125" bestFit="1" customWidth="1"/>
    <col min="2322" max="2322" width="14.5703125" bestFit="1" customWidth="1"/>
    <col min="2562" max="2562" width="27" bestFit="1" customWidth="1"/>
    <col min="2563" max="2563" width="26.85546875" bestFit="1" customWidth="1"/>
    <col min="2564" max="2564" width="7.7109375" bestFit="1" customWidth="1"/>
    <col min="2565" max="2565" width="6.7109375" bestFit="1" customWidth="1"/>
    <col min="2566" max="2566" width="17.28515625" bestFit="1" customWidth="1"/>
    <col min="2567" max="2567" width="27.7109375" bestFit="1" customWidth="1"/>
    <col min="2568" max="2570" width="5.5703125" bestFit="1" customWidth="1"/>
    <col min="2571" max="2571" width="4.85546875" bestFit="1" customWidth="1"/>
    <col min="2572" max="2575" width="5.5703125" bestFit="1" customWidth="1"/>
    <col min="2576" max="2576" width="6.7109375" bestFit="1" customWidth="1"/>
    <col min="2577" max="2577" width="8.5703125" bestFit="1" customWidth="1"/>
    <col min="2578" max="2578" width="14.5703125" bestFit="1" customWidth="1"/>
    <col min="2818" max="2818" width="27" bestFit="1" customWidth="1"/>
    <col min="2819" max="2819" width="26.85546875" bestFit="1" customWidth="1"/>
    <col min="2820" max="2820" width="7.7109375" bestFit="1" customWidth="1"/>
    <col min="2821" max="2821" width="6.7109375" bestFit="1" customWidth="1"/>
    <col min="2822" max="2822" width="17.28515625" bestFit="1" customWidth="1"/>
    <col min="2823" max="2823" width="27.7109375" bestFit="1" customWidth="1"/>
    <col min="2824" max="2826" width="5.5703125" bestFit="1" customWidth="1"/>
    <col min="2827" max="2827" width="4.85546875" bestFit="1" customWidth="1"/>
    <col min="2828" max="2831" width="5.5703125" bestFit="1" customWidth="1"/>
    <col min="2832" max="2832" width="6.7109375" bestFit="1" customWidth="1"/>
    <col min="2833" max="2833" width="8.5703125" bestFit="1" customWidth="1"/>
    <col min="2834" max="2834" width="14.5703125" bestFit="1" customWidth="1"/>
    <col min="3074" max="3074" width="27" bestFit="1" customWidth="1"/>
    <col min="3075" max="3075" width="26.85546875" bestFit="1" customWidth="1"/>
    <col min="3076" max="3076" width="7.7109375" bestFit="1" customWidth="1"/>
    <col min="3077" max="3077" width="6.7109375" bestFit="1" customWidth="1"/>
    <col min="3078" max="3078" width="17.28515625" bestFit="1" customWidth="1"/>
    <col min="3079" max="3079" width="27.7109375" bestFit="1" customWidth="1"/>
    <col min="3080" max="3082" width="5.5703125" bestFit="1" customWidth="1"/>
    <col min="3083" max="3083" width="4.85546875" bestFit="1" customWidth="1"/>
    <col min="3084" max="3087" width="5.5703125" bestFit="1" customWidth="1"/>
    <col min="3088" max="3088" width="6.7109375" bestFit="1" customWidth="1"/>
    <col min="3089" max="3089" width="8.5703125" bestFit="1" customWidth="1"/>
    <col min="3090" max="3090" width="14.5703125" bestFit="1" customWidth="1"/>
    <col min="3330" max="3330" width="27" bestFit="1" customWidth="1"/>
    <col min="3331" max="3331" width="26.85546875" bestFit="1" customWidth="1"/>
    <col min="3332" max="3332" width="7.7109375" bestFit="1" customWidth="1"/>
    <col min="3333" max="3333" width="6.7109375" bestFit="1" customWidth="1"/>
    <col min="3334" max="3334" width="17.28515625" bestFit="1" customWidth="1"/>
    <col min="3335" max="3335" width="27.7109375" bestFit="1" customWidth="1"/>
    <col min="3336" max="3338" width="5.5703125" bestFit="1" customWidth="1"/>
    <col min="3339" max="3339" width="4.85546875" bestFit="1" customWidth="1"/>
    <col min="3340" max="3343" width="5.5703125" bestFit="1" customWidth="1"/>
    <col min="3344" max="3344" width="6.7109375" bestFit="1" customWidth="1"/>
    <col min="3345" max="3345" width="8.5703125" bestFit="1" customWidth="1"/>
    <col min="3346" max="3346" width="14.5703125" bestFit="1" customWidth="1"/>
    <col min="3586" max="3586" width="27" bestFit="1" customWidth="1"/>
    <col min="3587" max="3587" width="26.85546875" bestFit="1" customWidth="1"/>
    <col min="3588" max="3588" width="7.7109375" bestFit="1" customWidth="1"/>
    <col min="3589" max="3589" width="6.7109375" bestFit="1" customWidth="1"/>
    <col min="3590" max="3590" width="17.28515625" bestFit="1" customWidth="1"/>
    <col min="3591" max="3591" width="27.7109375" bestFit="1" customWidth="1"/>
    <col min="3592" max="3594" width="5.5703125" bestFit="1" customWidth="1"/>
    <col min="3595" max="3595" width="4.85546875" bestFit="1" customWidth="1"/>
    <col min="3596" max="3599" width="5.5703125" bestFit="1" customWidth="1"/>
    <col min="3600" max="3600" width="6.7109375" bestFit="1" customWidth="1"/>
    <col min="3601" max="3601" width="8.5703125" bestFit="1" customWidth="1"/>
    <col min="3602" max="3602" width="14.5703125" bestFit="1" customWidth="1"/>
    <col min="3842" max="3842" width="27" bestFit="1" customWidth="1"/>
    <col min="3843" max="3843" width="26.85546875" bestFit="1" customWidth="1"/>
    <col min="3844" max="3844" width="7.7109375" bestFit="1" customWidth="1"/>
    <col min="3845" max="3845" width="6.7109375" bestFit="1" customWidth="1"/>
    <col min="3846" max="3846" width="17.28515625" bestFit="1" customWidth="1"/>
    <col min="3847" max="3847" width="27.7109375" bestFit="1" customWidth="1"/>
    <col min="3848" max="3850" width="5.5703125" bestFit="1" customWidth="1"/>
    <col min="3851" max="3851" width="4.85546875" bestFit="1" customWidth="1"/>
    <col min="3852" max="3855" width="5.5703125" bestFit="1" customWidth="1"/>
    <col min="3856" max="3856" width="6.7109375" bestFit="1" customWidth="1"/>
    <col min="3857" max="3857" width="8.5703125" bestFit="1" customWidth="1"/>
    <col min="3858" max="3858" width="14.5703125" bestFit="1" customWidth="1"/>
    <col min="4098" max="4098" width="27" bestFit="1" customWidth="1"/>
    <col min="4099" max="4099" width="26.85546875" bestFit="1" customWidth="1"/>
    <col min="4100" max="4100" width="7.7109375" bestFit="1" customWidth="1"/>
    <col min="4101" max="4101" width="6.7109375" bestFit="1" customWidth="1"/>
    <col min="4102" max="4102" width="17.28515625" bestFit="1" customWidth="1"/>
    <col min="4103" max="4103" width="27.7109375" bestFit="1" customWidth="1"/>
    <col min="4104" max="4106" width="5.5703125" bestFit="1" customWidth="1"/>
    <col min="4107" max="4107" width="4.85546875" bestFit="1" customWidth="1"/>
    <col min="4108" max="4111" width="5.5703125" bestFit="1" customWidth="1"/>
    <col min="4112" max="4112" width="6.7109375" bestFit="1" customWidth="1"/>
    <col min="4113" max="4113" width="8.5703125" bestFit="1" customWidth="1"/>
    <col min="4114" max="4114" width="14.5703125" bestFit="1" customWidth="1"/>
    <col min="4354" max="4354" width="27" bestFit="1" customWidth="1"/>
    <col min="4355" max="4355" width="26.85546875" bestFit="1" customWidth="1"/>
    <col min="4356" max="4356" width="7.7109375" bestFit="1" customWidth="1"/>
    <col min="4357" max="4357" width="6.7109375" bestFit="1" customWidth="1"/>
    <col min="4358" max="4358" width="17.28515625" bestFit="1" customWidth="1"/>
    <col min="4359" max="4359" width="27.7109375" bestFit="1" customWidth="1"/>
    <col min="4360" max="4362" width="5.5703125" bestFit="1" customWidth="1"/>
    <col min="4363" max="4363" width="4.85546875" bestFit="1" customWidth="1"/>
    <col min="4364" max="4367" width="5.5703125" bestFit="1" customWidth="1"/>
    <col min="4368" max="4368" width="6.7109375" bestFit="1" customWidth="1"/>
    <col min="4369" max="4369" width="8.5703125" bestFit="1" customWidth="1"/>
    <col min="4370" max="4370" width="14.5703125" bestFit="1" customWidth="1"/>
    <col min="4610" max="4610" width="27" bestFit="1" customWidth="1"/>
    <col min="4611" max="4611" width="26.85546875" bestFit="1" customWidth="1"/>
    <col min="4612" max="4612" width="7.7109375" bestFit="1" customWidth="1"/>
    <col min="4613" max="4613" width="6.7109375" bestFit="1" customWidth="1"/>
    <col min="4614" max="4614" width="17.28515625" bestFit="1" customWidth="1"/>
    <col min="4615" max="4615" width="27.7109375" bestFit="1" customWidth="1"/>
    <col min="4616" max="4618" width="5.5703125" bestFit="1" customWidth="1"/>
    <col min="4619" max="4619" width="4.85546875" bestFit="1" customWidth="1"/>
    <col min="4620" max="4623" width="5.5703125" bestFit="1" customWidth="1"/>
    <col min="4624" max="4624" width="6.7109375" bestFit="1" customWidth="1"/>
    <col min="4625" max="4625" width="8.5703125" bestFit="1" customWidth="1"/>
    <col min="4626" max="4626" width="14.5703125" bestFit="1" customWidth="1"/>
    <col min="4866" max="4866" width="27" bestFit="1" customWidth="1"/>
    <col min="4867" max="4867" width="26.85546875" bestFit="1" customWidth="1"/>
    <col min="4868" max="4868" width="7.7109375" bestFit="1" customWidth="1"/>
    <col min="4869" max="4869" width="6.7109375" bestFit="1" customWidth="1"/>
    <col min="4870" max="4870" width="17.28515625" bestFit="1" customWidth="1"/>
    <col min="4871" max="4871" width="27.7109375" bestFit="1" customWidth="1"/>
    <col min="4872" max="4874" width="5.5703125" bestFit="1" customWidth="1"/>
    <col min="4875" max="4875" width="4.85546875" bestFit="1" customWidth="1"/>
    <col min="4876" max="4879" width="5.5703125" bestFit="1" customWidth="1"/>
    <col min="4880" max="4880" width="6.7109375" bestFit="1" customWidth="1"/>
    <col min="4881" max="4881" width="8.5703125" bestFit="1" customWidth="1"/>
    <col min="4882" max="4882" width="14.5703125" bestFit="1" customWidth="1"/>
    <col min="5122" max="5122" width="27" bestFit="1" customWidth="1"/>
    <col min="5123" max="5123" width="26.85546875" bestFit="1" customWidth="1"/>
    <col min="5124" max="5124" width="7.7109375" bestFit="1" customWidth="1"/>
    <col min="5125" max="5125" width="6.7109375" bestFit="1" customWidth="1"/>
    <col min="5126" max="5126" width="17.28515625" bestFit="1" customWidth="1"/>
    <col min="5127" max="5127" width="27.7109375" bestFit="1" customWidth="1"/>
    <col min="5128" max="5130" width="5.5703125" bestFit="1" customWidth="1"/>
    <col min="5131" max="5131" width="4.85546875" bestFit="1" customWidth="1"/>
    <col min="5132" max="5135" width="5.5703125" bestFit="1" customWidth="1"/>
    <col min="5136" max="5136" width="6.7109375" bestFit="1" customWidth="1"/>
    <col min="5137" max="5137" width="8.5703125" bestFit="1" customWidth="1"/>
    <col min="5138" max="5138" width="14.5703125" bestFit="1" customWidth="1"/>
    <col min="5378" max="5378" width="27" bestFit="1" customWidth="1"/>
    <col min="5379" max="5379" width="26.85546875" bestFit="1" customWidth="1"/>
    <col min="5380" max="5380" width="7.7109375" bestFit="1" customWidth="1"/>
    <col min="5381" max="5381" width="6.7109375" bestFit="1" customWidth="1"/>
    <col min="5382" max="5382" width="17.28515625" bestFit="1" customWidth="1"/>
    <col min="5383" max="5383" width="27.7109375" bestFit="1" customWidth="1"/>
    <col min="5384" max="5386" width="5.5703125" bestFit="1" customWidth="1"/>
    <col min="5387" max="5387" width="4.85546875" bestFit="1" customWidth="1"/>
    <col min="5388" max="5391" width="5.5703125" bestFit="1" customWidth="1"/>
    <col min="5392" max="5392" width="6.7109375" bestFit="1" customWidth="1"/>
    <col min="5393" max="5393" width="8.5703125" bestFit="1" customWidth="1"/>
    <col min="5394" max="5394" width="14.5703125" bestFit="1" customWidth="1"/>
    <col min="5634" max="5634" width="27" bestFit="1" customWidth="1"/>
    <col min="5635" max="5635" width="26.85546875" bestFit="1" customWidth="1"/>
    <col min="5636" max="5636" width="7.7109375" bestFit="1" customWidth="1"/>
    <col min="5637" max="5637" width="6.7109375" bestFit="1" customWidth="1"/>
    <col min="5638" max="5638" width="17.28515625" bestFit="1" customWidth="1"/>
    <col min="5639" max="5639" width="27.7109375" bestFit="1" customWidth="1"/>
    <col min="5640" max="5642" width="5.5703125" bestFit="1" customWidth="1"/>
    <col min="5643" max="5643" width="4.85546875" bestFit="1" customWidth="1"/>
    <col min="5644" max="5647" width="5.5703125" bestFit="1" customWidth="1"/>
    <col min="5648" max="5648" width="6.7109375" bestFit="1" customWidth="1"/>
    <col min="5649" max="5649" width="8.5703125" bestFit="1" customWidth="1"/>
    <col min="5650" max="5650" width="14.5703125" bestFit="1" customWidth="1"/>
    <col min="5890" max="5890" width="27" bestFit="1" customWidth="1"/>
    <col min="5891" max="5891" width="26.85546875" bestFit="1" customWidth="1"/>
    <col min="5892" max="5892" width="7.7109375" bestFit="1" customWidth="1"/>
    <col min="5893" max="5893" width="6.7109375" bestFit="1" customWidth="1"/>
    <col min="5894" max="5894" width="17.28515625" bestFit="1" customWidth="1"/>
    <col min="5895" max="5895" width="27.7109375" bestFit="1" customWidth="1"/>
    <col min="5896" max="5898" width="5.5703125" bestFit="1" customWidth="1"/>
    <col min="5899" max="5899" width="4.85546875" bestFit="1" customWidth="1"/>
    <col min="5900" max="5903" width="5.5703125" bestFit="1" customWidth="1"/>
    <col min="5904" max="5904" width="6.7109375" bestFit="1" customWidth="1"/>
    <col min="5905" max="5905" width="8.5703125" bestFit="1" customWidth="1"/>
    <col min="5906" max="5906" width="14.5703125" bestFit="1" customWidth="1"/>
    <col min="6146" max="6146" width="27" bestFit="1" customWidth="1"/>
    <col min="6147" max="6147" width="26.85546875" bestFit="1" customWidth="1"/>
    <col min="6148" max="6148" width="7.7109375" bestFit="1" customWidth="1"/>
    <col min="6149" max="6149" width="6.7109375" bestFit="1" customWidth="1"/>
    <col min="6150" max="6150" width="17.28515625" bestFit="1" customWidth="1"/>
    <col min="6151" max="6151" width="27.7109375" bestFit="1" customWidth="1"/>
    <col min="6152" max="6154" width="5.5703125" bestFit="1" customWidth="1"/>
    <col min="6155" max="6155" width="4.85546875" bestFit="1" customWidth="1"/>
    <col min="6156" max="6159" width="5.5703125" bestFit="1" customWidth="1"/>
    <col min="6160" max="6160" width="6.7109375" bestFit="1" customWidth="1"/>
    <col min="6161" max="6161" width="8.5703125" bestFit="1" customWidth="1"/>
    <col min="6162" max="6162" width="14.5703125" bestFit="1" customWidth="1"/>
    <col min="6402" max="6402" width="27" bestFit="1" customWidth="1"/>
    <col min="6403" max="6403" width="26.85546875" bestFit="1" customWidth="1"/>
    <col min="6404" max="6404" width="7.7109375" bestFit="1" customWidth="1"/>
    <col min="6405" max="6405" width="6.7109375" bestFit="1" customWidth="1"/>
    <col min="6406" max="6406" width="17.28515625" bestFit="1" customWidth="1"/>
    <col min="6407" max="6407" width="27.7109375" bestFit="1" customWidth="1"/>
    <col min="6408" max="6410" width="5.5703125" bestFit="1" customWidth="1"/>
    <col min="6411" max="6411" width="4.85546875" bestFit="1" customWidth="1"/>
    <col min="6412" max="6415" width="5.5703125" bestFit="1" customWidth="1"/>
    <col min="6416" max="6416" width="6.7109375" bestFit="1" customWidth="1"/>
    <col min="6417" max="6417" width="8.5703125" bestFit="1" customWidth="1"/>
    <col min="6418" max="6418" width="14.5703125" bestFit="1" customWidth="1"/>
    <col min="6658" max="6658" width="27" bestFit="1" customWidth="1"/>
    <col min="6659" max="6659" width="26.85546875" bestFit="1" customWidth="1"/>
    <col min="6660" max="6660" width="7.7109375" bestFit="1" customWidth="1"/>
    <col min="6661" max="6661" width="6.7109375" bestFit="1" customWidth="1"/>
    <col min="6662" max="6662" width="17.28515625" bestFit="1" customWidth="1"/>
    <col min="6663" max="6663" width="27.7109375" bestFit="1" customWidth="1"/>
    <col min="6664" max="6666" width="5.5703125" bestFit="1" customWidth="1"/>
    <col min="6667" max="6667" width="4.85546875" bestFit="1" customWidth="1"/>
    <col min="6668" max="6671" width="5.5703125" bestFit="1" customWidth="1"/>
    <col min="6672" max="6672" width="6.7109375" bestFit="1" customWidth="1"/>
    <col min="6673" max="6673" width="8.5703125" bestFit="1" customWidth="1"/>
    <col min="6674" max="6674" width="14.5703125" bestFit="1" customWidth="1"/>
    <col min="6914" max="6914" width="27" bestFit="1" customWidth="1"/>
    <col min="6915" max="6915" width="26.85546875" bestFit="1" customWidth="1"/>
    <col min="6916" max="6916" width="7.7109375" bestFit="1" customWidth="1"/>
    <col min="6917" max="6917" width="6.7109375" bestFit="1" customWidth="1"/>
    <col min="6918" max="6918" width="17.28515625" bestFit="1" customWidth="1"/>
    <col min="6919" max="6919" width="27.7109375" bestFit="1" customWidth="1"/>
    <col min="6920" max="6922" width="5.5703125" bestFit="1" customWidth="1"/>
    <col min="6923" max="6923" width="4.85546875" bestFit="1" customWidth="1"/>
    <col min="6924" max="6927" width="5.5703125" bestFit="1" customWidth="1"/>
    <col min="6928" max="6928" width="6.7109375" bestFit="1" customWidth="1"/>
    <col min="6929" max="6929" width="8.5703125" bestFit="1" customWidth="1"/>
    <col min="6930" max="6930" width="14.5703125" bestFit="1" customWidth="1"/>
    <col min="7170" max="7170" width="27" bestFit="1" customWidth="1"/>
    <col min="7171" max="7171" width="26.85546875" bestFit="1" customWidth="1"/>
    <col min="7172" max="7172" width="7.7109375" bestFit="1" customWidth="1"/>
    <col min="7173" max="7173" width="6.7109375" bestFit="1" customWidth="1"/>
    <col min="7174" max="7174" width="17.28515625" bestFit="1" customWidth="1"/>
    <col min="7175" max="7175" width="27.7109375" bestFit="1" customWidth="1"/>
    <col min="7176" max="7178" width="5.5703125" bestFit="1" customWidth="1"/>
    <col min="7179" max="7179" width="4.85546875" bestFit="1" customWidth="1"/>
    <col min="7180" max="7183" width="5.5703125" bestFit="1" customWidth="1"/>
    <col min="7184" max="7184" width="6.7109375" bestFit="1" customWidth="1"/>
    <col min="7185" max="7185" width="8.5703125" bestFit="1" customWidth="1"/>
    <col min="7186" max="7186" width="14.5703125" bestFit="1" customWidth="1"/>
    <col min="7426" max="7426" width="27" bestFit="1" customWidth="1"/>
    <col min="7427" max="7427" width="26.85546875" bestFit="1" customWidth="1"/>
    <col min="7428" max="7428" width="7.7109375" bestFit="1" customWidth="1"/>
    <col min="7429" max="7429" width="6.7109375" bestFit="1" customWidth="1"/>
    <col min="7430" max="7430" width="17.28515625" bestFit="1" customWidth="1"/>
    <col min="7431" max="7431" width="27.7109375" bestFit="1" customWidth="1"/>
    <col min="7432" max="7434" width="5.5703125" bestFit="1" customWidth="1"/>
    <col min="7435" max="7435" width="4.85546875" bestFit="1" customWidth="1"/>
    <col min="7436" max="7439" width="5.5703125" bestFit="1" customWidth="1"/>
    <col min="7440" max="7440" width="6.7109375" bestFit="1" customWidth="1"/>
    <col min="7441" max="7441" width="8.5703125" bestFit="1" customWidth="1"/>
    <col min="7442" max="7442" width="14.5703125" bestFit="1" customWidth="1"/>
    <col min="7682" max="7682" width="27" bestFit="1" customWidth="1"/>
    <col min="7683" max="7683" width="26.85546875" bestFit="1" customWidth="1"/>
    <col min="7684" max="7684" width="7.7109375" bestFit="1" customWidth="1"/>
    <col min="7685" max="7685" width="6.7109375" bestFit="1" customWidth="1"/>
    <col min="7686" max="7686" width="17.28515625" bestFit="1" customWidth="1"/>
    <col min="7687" max="7687" width="27.7109375" bestFit="1" customWidth="1"/>
    <col min="7688" max="7690" width="5.5703125" bestFit="1" customWidth="1"/>
    <col min="7691" max="7691" width="4.85546875" bestFit="1" customWidth="1"/>
    <col min="7692" max="7695" width="5.5703125" bestFit="1" customWidth="1"/>
    <col min="7696" max="7696" width="6.7109375" bestFit="1" customWidth="1"/>
    <col min="7697" max="7697" width="8.5703125" bestFit="1" customWidth="1"/>
    <col min="7698" max="7698" width="14.5703125" bestFit="1" customWidth="1"/>
    <col min="7938" max="7938" width="27" bestFit="1" customWidth="1"/>
    <col min="7939" max="7939" width="26.85546875" bestFit="1" customWidth="1"/>
    <col min="7940" max="7940" width="7.7109375" bestFit="1" customWidth="1"/>
    <col min="7941" max="7941" width="6.7109375" bestFit="1" customWidth="1"/>
    <col min="7942" max="7942" width="17.28515625" bestFit="1" customWidth="1"/>
    <col min="7943" max="7943" width="27.7109375" bestFit="1" customWidth="1"/>
    <col min="7944" max="7946" width="5.5703125" bestFit="1" customWidth="1"/>
    <col min="7947" max="7947" width="4.85546875" bestFit="1" customWidth="1"/>
    <col min="7948" max="7951" width="5.5703125" bestFit="1" customWidth="1"/>
    <col min="7952" max="7952" width="6.7109375" bestFit="1" customWidth="1"/>
    <col min="7953" max="7953" width="8.5703125" bestFit="1" customWidth="1"/>
    <col min="7954" max="7954" width="14.5703125" bestFit="1" customWidth="1"/>
    <col min="8194" max="8194" width="27" bestFit="1" customWidth="1"/>
    <col min="8195" max="8195" width="26.85546875" bestFit="1" customWidth="1"/>
    <col min="8196" max="8196" width="7.7109375" bestFit="1" customWidth="1"/>
    <col min="8197" max="8197" width="6.7109375" bestFit="1" customWidth="1"/>
    <col min="8198" max="8198" width="17.28515625" bestFit="1" customWidth="1"/>
    <col min="8199" max="8199" width="27.7109375" bestFit="1" customWidth="1"/>
    <col min="8200" max="8202" width="5.5703125" bestFit="1" customWidth="1"/>
    <col min="8203" max="8203" width="4.85546875" bestFit="1" customWidth="1"/>
    <col min="8204" max="8207" width="5.5703125" bestFit="1" customWidth="1"/>
    <col min="8208" max="8208" width="6.7109375" bestFit="1" customWidth="1"/>
    <col min="8209" max="8209" width="8.5703125" bestFit="1" customWidth="1"/>
    <col min="8210" max="8210" width="14.5703125" bestFit="1" customWidth="1"/>
    <col min="8450" max="8450" width="27" bestFit="1" customWidth="1"/>
    <col min="8451" max="8451" width="26.85546875" bestFit="1" customWidth="1"/>
    <col min="8452" max="8452" width="7.7109375" bestFit="1" customWidth="1"/>
    <col min="8453" max="8453" width="6.7109375" bestFit="1" customWidth="1"/>
    <col min="8454" max="8454" width="17.28515625" bestFit="1" customWidth="1"/>
    <col min="8455" max="8455" width="27.7109375" bestFit="1" customWidth="1"/>
    <col min="8456" max="8458" width="5.5703125" bestFit="1" customWidth="1"/>
    <col min="8459" max="8459" width="4.85546875" bestFit="1" customWidth="1"/>
    <col min="8460" max="8463" width="5.5703125" bestFit="1" customWidth="1"/>
    <col min="8464" max="8464" width="6.7109375" bestFit="1" customWidth="1"/>
    <col min="8465" max="8465" width="8.5703125" bestFit="1" customWidth="1"/>
    <col min="8466" max="8466" width="14.5703125" bestFit="1" customWidth="1"/>
    <col min="8706" max="8706" width="27" bestFit="1" customWidth="1"/>
    <col min="8707" max="8707" width="26.85546875" bestFit="1" customWidth="1"/>
    <col min="8708" max="8708" width="7.7109375" bestFit="1" customWidth="1"/>
    <col min="8709" max="8709" width="6.7109375" bestFit="1" customWidth="1"/>
    <col min="8710" max="8710" width="17.28515625" bestFit="1" customWidth="1"/>
    <col min="8711" max="8711" width="27.7109375" bestFit="1" customWidth="1"/>
    <col min="8712" max="8714" width="5.5703125" bestFit="1" customWidth="1"/>
    <col min="8715" max="8715" width="4.85546875" bestFit="1" customWidth="1"/>
    <col min="8716" max="8719" width="5.5703125" bestFit="1" customWidth="1"/>
    <col min="8720" max="8720" width="6.7109375" bestFit="1" customWidth="1"/>
    <col min="8721" max="8721" width="8.5703125" bestFit="1" customWidth="1"/>
    <col min="8722" max="8722" width="14.5703125" bestFit="1" customWidth="1"/>
    <col min="8962" max="8962" width="27" bestFit="1" customWidth="1"/>
    <col min="8963" max="8963" width="26.85546875" bestFit="1" customWidth="1"/>
    <col min="8964" max="8964" width="7.7109375" bestFit="1" customWidth="1"/>
    <col min="8965" max="8965" width="6.7109375" bestFit="1" customWidth="1"/>
    <col min="8966" max="8966" width="17.28515625" bestFit="1" customWidth="1"/>
    <col min="8967" max="8967" width="27.7109375" bestFit="1" customWidth="1"/>
    <col min="8968" max="8970" width="5.5703125" bestFit="1" customWidth="1"/>
    <col min="8971" max="8971" width="4.85546875" bestFit="1" customWidth="1"/>
    <col min="8972" max="8975" width="5.5703125" bestFit="1" customWidth="1"/>
    <col min="8976" max="8976" width="6.7109375" bestFit="1" customWidth="1"/>
    <col min="8977" max="8977" width="8.5703125" bestFit="1" customWidth="1"/>
    <col min="8978" max="8978" width="14.5703125" bestFit="1" customWidth="1"/>
    <col min="9218" max="9218" width="27" bestFit="1" customWidth="1"/>
    <col min="9219" max="9219" width="26.85546875" bestFit="1" customWidth="1"/>
    <col min="9220" max="9220" width="7.7109375" bestFit="1" customWidth="1"/>
    <col min="9221" max="9221" width="6.7109375" bestFit="1" customWidth="1"/>
    <col min="9222" max="9222" width="17.28515625" bestFit="1" customWidth="1"/>
    <col min="9223" max="9223" width="27.7109375" bestFit="1" customWidth="1"/>
    <col min="9224" max="9226" width="5.5703125" bestFit="1" customWidth="1"/>
    <col min="9227" max="9227" width="4.85546875" bestFit="1" customWidth="1"/>
    <col min="9228" max="9231" width="5.5703125" bestFit="1" customWidth="1"/>
    <col min="9232" max="9232" width="6.7109375" bestFit="1" customWidth="1"/>
    <col min="9233" max="9233" width="8.5703125" bestFit="1" customWidth="1"/>
    <col min="9234" max="9234" width="14.5703125" bestFit="1" customWidth="1"/>
    <col min="9474" max="9474" width="27" bestFit="1" customWidth="1"/>
    <col min="9475" max="9475" width="26.85546875" bestFit="1" customWidth="1"/>
    <col min="9476" max="9476" width="7.7109375" bestFit="1" customWidth="1"/>
    <col min="9477" max="9477" width="6.7109375" bestFit="1" customWidth="1"/>
    <col min="9478" max="9478" width="17.28515625" bestFit="1" customWidth="1"/>
    <col min="9479" max="9479" width="27.7109375" bestFit="1" customWidth="1"/>
    <col min="9480" max="9482" width="5.5703125" bestFit="1" customWidth="1"/>
    <col min="9483" max="9483" width="4.85546875" bestFit="1" customWidth="1"/>
    <col min="9484" max="9487" width="5.5703125" bestFit="1" customWidth="1"/>
    <col min="9488" max="9488" width="6.7109375" bestFit="1" customWidth="1"/>
    <col min="9489" max="9489" width="8.5703125" bestFit="1" customWidth="1"/>
    <col min="9490" max="9490" width="14.5703125" bestFit="1" customWidth="1"/>
    <col min="9730" max="9730" width="27" bestFit="1" customWidth="1"/>
    <col min="9731" max="9731" width="26.85546875" bestFit="1" customWidth="1"/>
    <col min="9732" max="9732" width="7.7109375" bestFit="1" customWidth="1"/>
    <col min="9733" max="9733" width="6.7109375" bestFit="1" customWidth="1"/>
    <col min="9734" max="9734" width="17.28515625" bestFit="1" customWidth="1"/>
    <col min="9735" max="9735" width="27.7109375" bestFit="1" customWidth="1"/>
    <col min="9736" max="9738" width="5.5703125" bestFit="1" customWidth="1"/>
    <col min="9739" max="9739" width="4.85546875" bestFit="1" customWidth="1"/>
    <col min="9740" max="9743" width="5.5703125" bestFit="1" customWidth="1"/>
    <col min="9744" max="9744" width="6.7109375" bestFit="1" customWidth="1"/>
    <col min="9745" max="9745" width="8.5703125" bestFit="1" customWidth="1"/>
    <col min="9746" max="9746" width="14.5703125" bestFit="1" customWidth="1"/>
    <col min="9986" max="9986" width="27" bestFit="1" customWidth="1"/>
    <col min="9987" max="9987" width="26.85546875" bestFit="1" customWidth="1"/>
    <col min="9988" max="9988" width="7.7109375" bestFit="1" customWidth="1"/>
    <col min="9989" max="9989" width="6.7109375" bestFit="1" customWidth="1"/>
    <col min="9990" max="9990" width="17.28515625" bestFit="1" customWidth="1"/>
    <col min="9991" max="9991" width="27.7109375" bestFit="1" customWidth="1"/>
    <col min="9992" max="9994" width="5.5703125" bestFit="1" customWidth="1"/>
    <col min="9995" max="9995" width="4.85546875" bestFit="1" customWidth="1"/>
    <col min="9996" max="9999" width="5.5703125" bestFit="1" customWidth="1"/>
    <col min="10000" max="10000" width="6.7109375" bestFit="1" customWidth="1"/>
    <col min="10001" max="10001" width="8.5703125" bestFit="1" customWidth="1"/>
    <col min="10002" max="10002" width="14.5703125" bestFit="1" customWidth="1"/>
    <col min="10242" max="10242" width="27" bestFit="1" customWidth="1"/>
    <col min="10243" max="10243" width="26.85546875" bestFit="1" customWidth="1"/>
    <col min="10244" max="10244" width="7.7109375" bestFit="1" customWidth="1"/>
    <col min="10245" max="10245" width="6.7109375" bestFit="1" customWidth="1"/>
    <col min="10246" max="10246" width="17.28515625" bestFit="1" customWidth="1"/>
    <col min="10247" max="10247" width="27.7109375" bestFit="1" customWidth="1"/>
    <col min="10248" max="10250" width="5.5703125" bestFit="1" customWidth="1"/>
    <col min="10251" max="10251" width="4.85546875" bestFit="1" customWidth="1"/>
    <col min="10252" max="10255" width="5.5703125" bestFit="1" customWidth="1"/>
    <col min="10256" max="10256" width="6.7109375" bestFit="1" customWidth="1"/>
    <col min="10257" max="10257" width="8.5703125" bestFit="1" customWidth="1"/>
    <col min="10258" max="10258" width="14.5703125" bestFit="1" customWidth="1"/>
    <col min="10498" max="10498" width="27" bestFit="1" customWidth="1"/>
    <col min="10499" max="10499" width="26.85546875" bestFit="1" customWidth="1"/>
    <col min="10500" max="10500" width="7.7109375" bestFit="1" customWidth="1"/>
    <col min="10501" max="10501" width="6.7109375" bestFit="1" customWidth="1"/>
    <col min="10502" max="10502" width="17.28515625" bestFit="1" customWidth="1"/>
    <col min="10503" max="10503" width="27.7109375" bestFit="1" customWidth="1"/>
    <col min="10504" max="10506" width="5.5703125" bestFit="1" customWidth="1"/>
    <col min="10507" max="10507" width="4.85546875" bestFit="1" customWidth="1"/>
    <col min="10508" max="10511" width="5.5703125" bestFit="1" customWidth="1"/>
    <col min="10512" max="10512" width="6.7109375" bestFit="1" customWidth="1"/>
    <col min="10513" max="10513" width="8.5703125" bestFit="1" customWidth="1"/>
    <col min="10514" max="10514" width="14.5703125" bestFit="1" customWidth="1"/>
    <col min="10754" max="10754" width="27" bestFit="1" customWidth="1"/>
    <col min="10755" max="10755" width="26.85546875" bestFit="1" customWidth="1"/>
    <col min="10756" max="10756" width="7.7109375" bestFit="1" customWidth="1"/>
    <col min="10757" max="10757" width="6.7109375" bestFit="1" customWidth="1"/>
    <col min="10758" max="10758" width="17.28515625" bestFit="1" customWidth="1"/>
    <col min="10759" max="10759" width="27.7109375" bestFit="1" customWidth="1"/>
    <col min="10760" max="10762" width="5.5703125" bestFit="1" customWidth="1"/>
    <col min="10763" max="10763" width="4.85546875" bestFit="1" customWidth="1"/>
    <col min="10764" max="10767" width="5.5703125" bestFit="1" customWidth="1"/>
    <col min="10768" max="10768" width="6.7109375" bestFit="1" customWidth="1"/>
    <col min="10769" max="10769" width="8.5703125" bestFit="1" customWidth="1"/>
    <col min="10770" max="10770" width="14.5703125" bestFit="1" customWidth="1"/>
    <col min="11010" max="11010" width="27" bestFit="1" customWidth="1"/>
    <col min="11011" max="11011" width="26.85546875" bestFit="1" customWidth="1"/>
    <col min="11012" max="11012" width="7.7109375" bestFit="1" customWidth="1"/>
    <col min="11013" max="11013" width="6.7109375" bestFit="1" customWidth="1"/>
    <col min="11014" max="11014" width="17.28515625" bestFit="1" customWidth="1"/>
    <col min="11015" max="11015" width="27.7109375" bestFit="1" customWidth="1"/>
    <col min="11016" max="11018" width="5.5703125" bestFit="1" customWidth="1"/>
    <col min="11019" max="11019" width="4.85546875" bestFit="1" customWidth="1"/>
    <col min="11020" max="11023" width="5.5703125" bestFit="1" customWidth="1"/>
    <col min="11024" max="11024" width="6.7109375" bestFit="1" customWidth="1"/>
    <col min="11025" max="11025" width="8.5703125" bestFit="1" customWidth="1"/>
    <col min="11026" max="11026" width="14.5703125" bestFit="1" customWidth="1"/>
    <col min="11266" max="11266" width="27" bestFit="1" customWidth="1"/>
    <col min="11267" max="11267" width="26.85546875" bestFit="1" customWidth="1"/>
    <col min="11268" max="11268" width="7.7109375" bestFit="1" customWidth="1"/>
    <col min="11269" max="11269" width="6.7109375" bestFit="1" customWidth="1"/>
    <col min="11270" max="11270" width="17.28515625" bestFit="1" customWidth="1"/>
    <col min="11271" max="11271" width="27.7109375" bestFit="1" customWidth="1"/>
    <col min="11272" max="11274" width="5.5703125" bestFit="1" customWidth="1"/>
    <col min="11275" max="11275" width="4.85546875" bestFit="1" customWidth="1"/>
    <col min="11276" max="11279" width="5.5703125" bestFit="1" customWidth="1"/>
    <col min="11280" max="11280" width="6.7109375" bestFit="1" customWidth="1"/>
    <col min="11281" max="11281" width="8.5703125" bestFit="1" customWidth="1"/>
    <col min="11282" max="11282" width="14.5703125" bestFit="1" customWidth="1"/>
    <col min="11522" max="11522" width="27" bestFit="1" customWidth="1"/>
    <col min="11523" max="11523" width="26.85546875" bestFit="1" customWidth="1"/>
    <col min="11524" max="11524" width="7.7109375" bestFit="1" customWidth="1"/>
    <col min="11525" max="11525" width="6.7109375" bestFit="1" customWidth="1"/>
    <col min="11526" max="11526" width="17.28515625" bestFit="1" customWidth="1"/>
    <col min="11527" max="11527" width="27.7109375" bestFit="1" customWidth="1"/>
    <col min="11528" max="11530" width="5.5703125" bestFit="1" customWidth="1"/>
    <col min="11531" max="11531" width="4.85546875" bestFit="1" customWidth="1"/>
    <col min="11532" max="11535" width="5.5703125" bestFit="1" customWidth="1"/>
    <col min="11536" max="11536" width="6.7109375" bestFit="1" customWidth="1"/>
    <col min="11537" max="11537" width="8.5703125" bestFit="1" customWidth="1"/>
    <col min="11538" max="11538" width="14.5703125" bestFit="1" customWidth="1"/>
    <col min="11778" max="11778" width="27" bestFit="1" customWidth="1"/>
    <col min="11779" max="11779" width="26.85546875" bestFit="1" customWidth="1"/>
    <col min="11780" max="11780" width="7.7109375" bestFit="1" customWidth="1"/>
    <col min="11781" max="11781" width="6.7109375" bestFit="1" customWidth="1"/>
    <col min="11782" max="11782" width="17.28515625" bestFit="1" customWidth="1"/>
    <col min="11783" max="11783" width="27.7109375" bestFit="1" customWidth="1"/>
    <col min="11784" max="11786" width="5.5703125" bestFit="1" customWidth="1"/>
    <col min="11787" max="11787" width="4.85546875" bestFit="1" customWidth="1"/>
    <col min="11788" max="11791" width="5.5703125" bestFit="1" customWidth="1"/>
    <col min="11792" max="11792" width="6.7109375" bestFit="1" customWidth="1"/>
    <col min="11793" max="11793" width="8.5703125" bestFit="1" customWidth="1"/>
    <col min="11794" max="11794" width="14.5703125" bestFit="1" customWidth="1"/>
    <col min="12034" max="12034" width="27" bestFit="1" customWidth="1"/>
    <col min="12035" max="12035" width="26.85546875" bestFit="1" customWidth="1"/>
    <col min="12036" max="12036" width="7.7109375" bestFit="1" customWidth="1"/>
    <col min="12037" max="12037" width="6.7109375" bestFit="1" customWidth="1"/>
    <col min="12038" max="12038" width="17.28515625" bestFit="1" customWidth="1"/>
    <col min="12039" max="12039" width="27.7109375" bestFit="1" customWidth="1"/>
    <col min="12040" max="12042" width="5.5703125" bestFit="1" customWidth="1"/>
    <col min="12043" max="12043" width="4.85546875" bestFit="1" customWidth="1"/>
    <col min="12044" max="12047" width="5.5703125" bestFit="1" customWidth="1"/>
    <col min="12048" max="12048" width="6.7109375" bestFit="1" customWidth="1"/>
    <col min="12049" max="12049" width="8.5703125" bestFit="1" customWidth="1"/>
    <col min="12050" max="12050" width="14.5703125" bestFit="1" customWidth="1"/>
    <col min="12290" max="12290" width="27" bestFit="1" customWidth="1"/>
    <col min="12291" max="12291" width="26.85546875" bestFit="1" customWidth="1"/>
    <col min="12292" max="12292" width="7.7109375" bestFit="1" customWidth="1"/>
    <col min="12293" max="12293" width="6.7109375" bestFit="1" customWidth="1"/>
    <col min="12294" max="12294" width="17.28515625" bestFit="1" customWidth="1"/>
    <col min="12295" max="12295" width="27.7109375" bestFit="1" customWidth="1"/>
    <col min="12296" max="12298" width="5.5703125" bestFit="1" customWidth="1"/>
    <col min="12299" max="12299" width="4.85546875" bestFit="1" customWidth="1"/>
    <col min="12300" max="12303" width="5.5703125" bestFit="1" customWidth="1"/>
    <col min="12304" max="12304" width="6.7109375" bestFit="1" customWidth="1"/>
    <col min="12305" max="12305" width="8.5703125" bestFit="1" customWidth="1"/>
    <col min="12306" max="12306" width="14.5703125" bestFit="1" customWidth="1"/>
    <col min="12546" max="12546" width="27" bestFit="1" customWidth="1"/>
    <col min="12547" max="12547" width="26.85546875" bestFit="1" customWidth="1"/>
    <col min="12548" max="12548" width="7.7109375" bestFit="1" customWidth="1"/>
    <col min="12549" max="12549" width="6.7109375" bestFit="1" customWidth="1"/>
    <col min="12550" max="12550" width="17.28515625" bestFit="1" customWidth="1"/>
    <col min="12551" max="12551" width="27.7109375" bestFit="1" customWidth="1"/>
    <col min="12552" max="12554" width="5.5703125" bestFit="1" customWidth="1"/>
    <col min="12555" max="12555" width="4.85546875" bestFit="1" customWidth="1"/>
    <col min="12556" max="12559" width="5.5703125" bestFit="1" customWidth="1"/>
    <col min="12560" max="12560" width="6.7109375" bestFit="1" customWidth="1"/>
    <col min="12561" max="12561" width="8.5703125" bestFit="1" customWidth="1"/>
    <col min="12562" max="12562" width="14.5703125" bestFit="1" customWidth="1"/>
    <col min="12802" max="12802" width="27" bestFit="1" customWidth="1"/>
    <col min="12803" max="12803" width="26.85546875" bestFit="1" customWidth="1"/>
    <col min="12804" max="12804" width="7.7109375" bestFit="1" customWidth="1"/>
    <col min="12805" max="12805" width="6.7109375" bestFit="1" customWidth="1"/>
    <col min="12806" max="12806" width="17.28515625" bestFit="1" customWidth="1"/>
    <col min="12807" max="12807" width="27.7109375" bestFit="1" customWidth="1"/>
    <col min="12808" max="12810" width="5.5703125" bestFit="1" customWidth="1"/>
    <col min="12811" max="12811" width="4.85546875" bestFit="1" customWidth="1"/>
    <col min="12812" max="12815" width="5.5703125" bestFit="1" customWidth="1"/>
    <col min="12816" max="12816" width="6.7109375" bestFit="1" customWidth="1"/>
    <col min="12817" max="12817" width="8.5703125" bestFit="1" customWidth="1"/>
    <col min="12818" max="12818" width="14.5703125" bestFit="1" customWidth="1"/>
    <col min="13058" max="13058" width="27" bestFit="1" customWidth="1"/>
    <col min="13059" max="13059" width="26.85546875" bestFit="1" customWidth="1"/>
    <col min="13060" max="13060" width="7.7109375" bestFit="1" customWidth="1"/>
    <col min="13061" max="13061" width="6.7109375" bestFit="1" customWidth="1"/>
    <col min="13062" max="13062" width="17.28515625" bestFit="1" customWidth="1"/>
    <col min="13063" max="13063" width="27.7109375" bestFit="1" customWidth="1"/>
    <col min="13064" max="13066" width="5.5703125" bestFit="1" customWidth="1"/>
    <col min="13067" max="13067" width="4.85546875" bestFit="1" customWidth="1"/>
    <col min="13068" max="13071" width="5.5703125" bestFit="1" customWidth="1"/>
    <col min="13072" max="13072" width="6.7109375" bestFit="1" customWidth="1"/>
    <col min="13073" max="13073" width="8.5703125" bestFit="1" customWidth="1"/>
    <col min="13074" max="13074" width="14.5703125" bestFit="1" customWidth="1"/>
    <col min="13314" max="13314" width="27" bestFit="1" customWidth="1"/>
    <col min="13315" max="13315" width="26.85546875" bestFit="1" customWidth="1"/>
    <col min="13316" max="13316" width="7.7109375" bestFit="1" customWidth="1"/>
    <col min="13317" max="13317" width="6.7109375" bestFit="1" customWidth="1"/>
    <col min="13318" max="13318" width="17.28515625" bestFit="1" customWidth="1"/>
    <col min="13319" max="13319" width="27.7109375" bestFit="1" customWidth="1"/>
    <col min="13320" max="13322" width="5.5703125" bestFit="1" customWidth="1"/>
    <col min="13323" max="13323" width="4.85546875" bestFit="1" customWidth="1"/>
    <col min="13324" max="13327" width="5.5703125" bestFit="1" customWidth="1"/>
    <col min="13328" max="13328" width="6.7109375" bestFit="1" customWidth="1"/>
    <col min="13329" max="13329" width="8.5703125" bestFit="1" customWidth="1"/>
    <col min="13330" max="13330" width="14.5703125" bestFit="1" customWidth="1"/>
    <col min="13570" max="13570" width="27" bestFit="1" customWidth="1"/>
    <col min="13571" max="13571" width="26.85546875" bestFit="1" customWidth="1"/>
    <col min="13572" max="13572" width="7.7109375" bestFit="1" customWidth="1"/>
    <col min="13573" max="13573" width="6.7109375" bestFit="1" customWidth="1"/>
    <col min="13574" max="13574" width="17.28515625" bestFit="1" customWidth="1"/>
    <col min="13575" max="13575" width="27.7109375" bestFit="1" customWidth="1"/>
    <col min="13576" max="13578" width="5.5703125" bestFit="1" customWidth="1"/>
    <col min="13579" max="13579" width="4.85546875" bestFit="1" customWidth="1"/>
    <col min="13580" max="13583" width="5.5703125" bestFit="1" customWidth="1"/>
    <col min="13584" max="13584" width="6.7109375" bestFit="1" customWidth="1"/>
    <col min="13585" max="13585" width="8.5703125" bestFit="1" customWidth="1"/>
    <col min="13586" max="13586" width="14.5703125" bestFit="1" customWidth="1"/>
    <col min="13826" max="13826" width="27" bestFit="1" customWidth="1"/>
    <col min="13827" max="13827" width="26.85546875" bestFit="1" customWidth="1"/>
    <col min="13828" max="13828" width="7.7109375" bestFit="1" customWidth="1"/>
    <col min="13829" max="13829" width="6.7109375" bestFit="1" customWidth="1"/>
    <col min="13830" max="13830" width="17.28515625" bestFit="1" customWidth="1"/>
    <col min="13831" max="13831" width="27.7109375" bestFit="1" customWidth="1"/>
    <col min="13832" max="13834" width="5.5703125" bestFit="1" customWidth="1"/>
    <col min="13835" max="13835" width="4.85546875" bestFit="1" customWidth="1"/>
    <col min="13836" max="13839" width="5.5703125" bestFit="1" customWidth="1"/>
    <col min="13840" max="13840" width="6.7109375" bestFit="1" customWidth="1"/>
    <col min="13841" max="13841" width="8.5703125" bestFit="1" customWidth="1"/>
    <col min="13842" max="13842" width="14.5703125" bestFit="1" customWidth="1"/>
    <col min="14082" max="14082" width="27" bestFit="1" customWidth="1"/>
    <col min="14083" max="14083" width="26.85546875" bestFit="1" customWidth="1"/>
    <col min="14084" max="14084" width="7.7109375" bestFit="1" customWidth="1"/>
    <col min="14085" max="14085" width="6.7109375" bestFit="1" customWidth="1"/>
    <col min="14086" max="14086" width="17.28515625" bestFit="1" customWidth="1"/>
    <col min="14087" max="14087" width="27.7109375" bestFit="1" customWidth="1"/>
    <col min="14088" max="14090" width="5.5703125" bestFit="1" customWidth="1"/>
    <col min="14091" max="14091" width="4.85546875" bestFit="1" customWidth="1"/>
    <col min="14092" max="14095" width="5.5703125" bestFit="1" customWidth="1"/>
    <col min="14096" max="14096" width="6.7109375" bestFit="1" customWidth="1"/>
    <col min="14097" max="14097" width="8.5703125" bestFit="1" customWidth="1"/>
    <col min="14098" max="14098" width="14.5703125" bestFit="1" customWidth="1"/>
    <col min="14338" max="14338" width="27" bestFit="1" customWidth="1"/>
    <col min="14339" max="14339" width="26.85546875" bestFit="1" customWidth="1"/>
    <col min="14340" max="14340" width="7.7109375" bestFit="1" customWidth="1"/>
    <col min="14341" max="14341" width="6.7109375" bestFit="1" customWidth="1"/>
    <col min="14342" max="14342" width="17.28515625" bestFit="1" customWidth="1"/>
    <col min="14343" max="14343" width="27.7109375" bestFit="1" customWidth="1"/>
    <col min="14344" max="14346" width="5.5703125" bestFit="1" customWidth="1"/>
    <col min="14347" max="14347" width="4.85546875" bestFit="1" customWidth="1"/>
    <col min="14348" max="14351" width="5.5703125" bestFit="1" customWidth="1"/>
    <col min="14352" max="14352" width="6.7109375" bestFit="1" customWidth="1"/>
    <col min="14353" max="14353" width="8.5703125" bestFit="1" customWidth="1"/>
    <col min="14354" max="14354" width="14.5703125" bestFit="1" customWidth="1"/>
    <col min="14594" max="14594" width="27" bestFit="1" customWidth="1"/>
    <col min="14595" max="14595" width="26.85546875" bestFit="1" customWidth="1"/>
    <col min="14596" max="14596" width="7.7109375" bestFit="1" customWidth="1"/>
    <col min="14597" max="14597" width="6.7109375" bestFit="1" customWidth="1"/>
    <col min="14598" max="14598" width="17.28515625" bestFit="1" customWidth="1"/>
    <col min="14599" max="14599" width="27.7109375" bestFit="1" customWidth="1"/>
    <col min="14600" max="14602" width="5.5703125" bestFit="1" customWidth="1"/>
    <col min="14603" max="14603" width="4.85546875" bestFit="1" customWidth="1"/>
    <col min="14604" max="14607" width="5.5703125" bestFit="1" customWidth="1"/>
    <col min="14608" max="14608" width="6.7109375" bestFit="1" customWidth="1"/>
    <col min="14609" max="14609" width="8.5703125" bestFit="1" customWidth="1"/>
    <col min="14610" max="14610" width="14.5703125" bestFit="1" customWidth="1"/>
    <col min="14850" max="14850" width="27" bestFit="1" customWidth="1"/>
    <col min="14851" max="14851" width="26.85546875" bestFit="1" customWidth="1"/>
    <col min="14852" max="14852" width="7.7109375" bestFit="1" customWidth="1"/>
    <col min="14853" max="14853" width="6.7109375" bestFit="1" customWidth="1"/>
    <col min="14854" max="14854" width="17.28515625" bestFit="1" customWidth="1"/>
    <col min="14855" max="14855" width="27.7109375" bestFit="1" customWidth="1"/>
    <col min="14856" max="14858" width="5.5703125" bestFit="1" customWidth="1"/>
    <col min="14859" max="14859" width="4.85546875" bestFit="1" customWidth="1"/>
    <col min="14860" max="14863" width="5.5703125" bestFit="1" customWidth="1"/>
    <col min="14864" max="14864" width="6.7109375" bestFit="1" customWidth="1"/>
    <col min="14865" max="14865" width="8.5703125" bestFit="1" customWidth="1"/>
    <col min="14866" max="14866" width="14.5703125" bestFit="1" customWidth="1"/>
    <col min="15106" max="15106" width="27" bestFit="1" customWidth="1"/>
    <col min="15107" max="15107" width="26.85546875" bestFit="1" customWidth="1"/>
    <col min="15108" max="15108" width="7.7109375" bestFit="1" customWidth="1"/>
    <col min="15109" max="15109" width="6.7109375" bestFit="1" customWidth="1"/>
    <col min="15110" max="15110" width="17.28515625" bestFit="1" customWidth="1"/>
    <col min="15111" max="15111" width="27.7109375" bestFit="1" customWidth="1"/>
    <col min="15112" max="15114" width="5.5703125" bestFit="1" customWidth="1"/>
    <col min="15115" max="15115" width="4.85546875" bestFit="1" customWidth="1"/>
    <col min="15116" max="15119" width="5.5703125" bestFit="1" customWidth="1"/>
    <col min="15120" max="15120" width="6.7109375" bestFit="1" customWidth="1"/>
    <col min="15121" max="15121" width="8.5703125" bestFit="1" customWidth="1"/>
    <col min="15122" max="15122" width="14.5703125" bestFit="1" customWidth="1"/>
    <col min="15362" max="15362" width="27" bestFit="1" customWidth="1"/>
    <col min="15363" max="15363" width="26.85546875" bestFit="1" customWidth="1"/>
    <col min="15364" max="15364" width="7.7109375" bestFit="1" customWidth="1"/>
    <col min="15365" max="15365" width="6.7109375" bestFit="1" customWidth="1"/>
    <col min="15366" max="15366" width="17.28515625" bestFit="1" customWidth="1"/>
    <col min="15367" max="15367" width="27.7109375" bestFit="1" customWidth="1"/>
    <col min="15368" max="15370" width="5.5703125" bestFit="1" customWidth="1"/>
    <col min="15371" max="15371" width="4.85546875" bestFit="1" customWidth="1"/>
    <col min="15372" max="15375" width="5.5703125" bestFit="1" customWidth="1"/>
    <col min="15376" max="15376" width="6.7109375" bestFit="1" customWidth="1"/>
    <col min="15377" max="15377" width="8.5703125" bestFit="1" customWidth="1"/>
    <col min="15378" max="15378" width="14.5703125" bestFit="1" customWidth="1"/>
    <col min="15618" max="15618" width="27" bestFit="1" customWidth="1"/>
    <col min="15619" max="15619" width="26.85546875" bestFit="1" customWidth="1"/>
    <col min="15620" max="15620" width="7.7109375" bestFit="1" customWidth="1"/>
    <col min="15621" max="15621" width="6.7109375" bestFit="1" customWidth="1"/>
    <col min="15622" max="15622" width="17.28515625" bestFit="1" customWidth="1"/>
    <col min="15623" max="15623" width="27.7109375" bestFit="1" customWidth="1"/>
    <col min="15624" max="15626" width="5.5703125" bestFit="1" customWidth="1"/>
    <col min="15627" max="15627" width="4.85546875" bestFit="1" customWidth="1"/>
    <col min="15628" max="15631" width="5.5703125" bestFit="1" customWidth="1"/>
    <col min="15632" max="15632" width="6.7109375" bestFit="1" customWidth="1"/>
    <col min="15633" max="15633" width="8.5703125" bestFit="1" customWidth="1"/>
    <col min="15634" max="15634" width="14.5703125" bestFit="1" customWidth="1"/>
    <col min="15874" max="15874" width="27" bestFit="1" customWidth="1"/>
    <col min="15875" max="15875" width="26.85546875" bestFit="1" customWidth="1"/>
    <col min="15876" max="15876" width="7.7109375" bestFit="1" customWidth="1"/>
    <col min="15877" max="15877" width="6.7109375" bestFit="1" customWidth="1"/>
    <col min="15878" max="15878" width="17.28515625" bestFit="1" customWidth="1"/>
    <col min="15879" max="15879" width="27.7109375" bestFit="1" customWidth="1"/>
    <col min="15880" max="15882" width="5.5703125" bestFit="1" customWidth="1"/>
    <col min="15883" max="15883" width="4.85546875" bestFit="1" customWidth="1"/>
    <col min="15884" max="15887" width="5.5703125" bestFit="1" customWidth="1"/>
    <col min="15888" max="15888" width="6.7109375" bestFit="1" customWidth="1"/>
    <col min="15889" max="15889" width="8.5703125" bestFit="1" customWidth="1"/>
    <col min="15890" max="15890" width="14.5703125" bestFit="1" customWidth="1"/>
    <col min="16130" max="16130" width="27" bestFit="1" customWidth="1"/>
    <col min="16131" max="16131" width="26.85546875" bestFit="1" customWidth="1"/>
    <col min="16132" max="16132" width="7.7109375" bestFit="1" customWidth="1"/>
    <col min="16133" max="16133" width="6.7109375" bestFit="1" customWidth="1"/>
    <col min="16134" max="16134" width="17.28515625" bestFit="1" customWidth="1"/>
    <col min="16135" max="16135" width="27.7109375" bestFit="1" customWidth="1"/>
    <col min="16136" max="16138" width="5.5703125" bestFit="1" customWidth="1"/>
    <col min="16139" max="16139" width="4.85546875" bestFit="1" customWidth="1"/>
    <col min="16140" max="16143" width="5.5703125" bestFit="1" customWidth="1"/>
    <col min="16144" max="16144" width="6.7109375" bestFit="1" customWidth="1"/>
    <col min="16145" max="16145" width="8.5703125" bestFit="1" customWidth="1"/>
    <col min="16146" max="16146" width="14.5703125" bestFit="1" customWidth="1"/>
  </cols>
  <sheetData>
    <row r="1" spans="1:18" s="1" customFormat="1" ht="30" customHeight="1" x14ac:dyDescent="0.2">
      <c r="A1" s="295" t="s">
        <v>4023</v>
      </c>
      <c r="B1" s="295"/>
      <c r="C1" s="295"/>
      <c r="D1" s="295"/>
      <c r="E1" s="295"/>
      <c r="F1" s="295"/>
      <c r="G1" s="295"/>
      <c r="H1" s="295"/>
      <c r="I1" s="295"/>
      <c r="J1" s="295"/>
      <c r="K1" s="295"/>
      <c r="L1" s="295"/>
      <c r="M1" s="295"/>
      <c r="N1" s="295"/>
      <c r="O1" s="295"/>
      <c r="P1" s="295"/>
      <c r="Q1" s="295"/>
      <c r="R1" s="295"/>
    </row>
    <row r="2" spans="1:18" s="1" customFormat="1" ht="30" customHeight="1" x14ac:dyDescent="0.2">
      <c r="A2" s="295" t="s">
        <v>4033</v>
      </c>
      <c r="B2" s="295"/>
      <c r="C2" s="295"/>
      <c r="D2" s="295"/>
      <c r="E2" s="295"/>
      <c r="F2" s="295"/>
      <c r="G2" s="295"/>
      <c r="H2" s="295"/>
      <c r="I2" s="295"/>
      <c r="J2" s="295"/>
      <c r="K2" s="295"/>
      <c r="L2" s="295"/>
      <c r="M2" s="295"/>
      <c r="N2" s="295"/>
      <c r="O2" s="295"/>
      <c r="P2" s="295"/>
      <c r="Q2" s="295"/>
      <c r="R2" s="295"/>
    </row>
    <row r="3" spans="1:18" s="1" customFormat="1" ht="30.75" customHeight="1" thickBot="1" x14ac:dyDescent="0.25">
      <c r="A3" s="295" t="s">
        <v>3381</v>
      </c>
      <c r="B3" s="295"/>
      <c r="C3" s="295"/>
      <c r="D3" s="295"/>
      <c r="E3" s="295"/>
      <c r="F3" s="295"/>
      <c r="G3" s="295"/>
      <c r="H3" s="295"/>
      <c r="I3" s="295"/>
      <c r="J3" s="295"/>
      <c r="K3" s="295"/>
      <c r="L3" s="295"/>
      <c r="M3" s="295"/>
      <c r="N3" s="295"/>
      <c r="O3" s="295"/>
      <c r="P3" s="295"/>
      <c r="Q3" s="295"/>
      <c r="R3" s="295"/>
    </row>
    <row r="4" spans="1:18" s="5" customFormat="1" ht="12.75" customHeight="1" x14ac:dyDescent="0.2">
      <c r="A4" s="297" t="s">
        <v>719</v>
      </c>
      <c r="B4" s="300" t="s">
        <v>0</v>
      </c>
      <c r="C4" s="302" t="s">
        <v>3382</v>
      </c>
      <c r="D4" s="302" t="s">
        <v>8</v>
      </c>
      <c r="E4" s="304" t="s">
        <v>9</v>
      </c>
      <c r="F4" s="304" t="s">
        <v>1</v>
      </c>
      <c r="G4" s="305" t="s">
        <v>795</v>
      </c>
      <c r="H4" s="300" t="s">
        <v>3</v>
      </c>
      <c r="I4" s="304"/>
      <c r="J4" s="304"/>
      <c r="K4" s="307"/>
      <c r="L4" s="300" t="s">
        <v>4</v>
      </c>
      <c r="M4" s="304"/>
      <c r="N4" s="304"/>
      <c r="O4" s="307"/>
      <c r="P4" s="308" t="s">
        <v>3593</v>
      </c>
      <c r="Q4" s="304" t="s">
        <v>6</v>
      </c>
      <c r="R4" s="307" t="s">
        <v>5</v>
      </c>
    </row>
    <row r="5" spans="1:18" s="5" customFormat="1" ht="23.25" customHeight="1" thickBot="1" x14ac:dyDescent="0.25">
      <c r="A5" s="298"/>
      <c r="B5" s="301"/>
      <c r="C5" s="303"/>
      <c r="D5" s="303"/>
      <c r="E5" s="303"/>
      <c r="F5" s="303"/>
      <c r="G5" s="306"/>
      <c r="H5" s="3">
        <v>1</v>
      </c>
      <c r="I5" s="2">
        <v>2</v>
      </c>
      <c r="J5" s="2">
        <v>3</v>
      </c>
      <c r="K5" s="4" t="s">
        <v>7</v>
      </c>
      <c r="L5" s="3">
        <v>1</v>
      </c>
      <c r="M5" s="2">
        <v>2</v>
      </c>
      <c r="N5" s="2">
        <v>3</v>
      </c>
      <c r="O5" s="4" t="s">
        <v>7</v>
      </c>
      <c r="P5" s="309"/>
      <c r="Q5" s="303"/>
      <c r="R5" s="310"/>
    </row>
    <row r="6" spans="1:18" ht="15" x14ac:dyDescent="0.2">
      <c r="B6" s="299" t="s">
        <v>4008</v>
      </c>
      <c r="C6" s="299"/>
      <c r="D6" s="299"/>
      <c r="E6" s="299"/>
      <c r="F6" s="299"/>
      <c r="G6" s="299"/>
      <c r="H6" s="299"/>
      <c r="I6" s="299"/>
      <c r="J6" s="299"/>
      <c r="K6" s="299"/>
      <c r="L6" s="299"/>
      <c r="M6" s="299"/>
      <c r="N6" s="299"/>
      <c r="O6" s="299"/>
      <c r="P6" s="299"/>
      <c r="Q6" s="299"/>
    </row>
    <row r="7" spans="1:18" x14ac:dyDescent="0.2">
      <c r="A7" s="43">
        <v>1</v>
      </c>
      <c r="B7" s="7" t="s">
        <v>1508</v>
      </c>
      <c r="C7" s="7" t="s">
        <v>1084</v>
      </c>
      <c r="D7" s="7" t="s">
        <v>12</v>
      </c>
      <c r="E7" s="7" t="str">
        <f>"1,1336"</f>
        <v>1,1336</v>
      </c>
      <c r="F7" s="7" t="s">
        <v>4020</v>
      </c>
      <c r="G7" s="7" t="s">
        <v>3193</v>
      </c>
      <c r="H7" s="34" t="s">
        <v>106</v>
      </c>
      <c r="I7" s="41" t="s">
        <v>224</v>
      </c>
      <c r="J7" s="41" t="s">
        <v>224</v>
      </c>
      <c r="K7" s="20"/>
      <c r="L7" s="34" t="s">
        <v>144</v>
      </c>
      <c r="M7" s="34" t="s">
        <v>253</v>
      </c>
      <c r="N7" s="34" t="s">
        <v>37</v>
      </c>
      <c r="O7" s="20"/>
      <c r="P7" s="28">
        <v>435</v>
      </c>
      <c r="Q7" s="7" t="str">
        <f>"493,1160"</f>
        <v>493,1160</v>
      </c>
      <c r="R7" s="7" t="s">
        <v>1182</v>
      </c>
    </row>
    <row r="9" spans="1:18" ht="15" x14ac:dyDescent="0.2">
      <c r="B9" s="294" t="s">
        <v>4010</v>
      </c>
      <c r="C9" s="294"/>
      <c r="D9" s="294"/>
      <c r="E9" s="294"/>
      <c r="F9" s="294"/>
      <c r="G9" s="294"/>
      <c r="H9" s="294"/>
      <c r="I9" s="294"/>
      <c r="J9" s="294"/>
      <c r="K9" s="294"/>
      <c r="L9" s="294"/>
      <c r="M9" s="294"/>
      <c r="N9" s="294"/>
      <c r="O9" s="294"/>
      <c r="P9" s="294"/>
      <c r="Q9" s="294"/>
    </row>
    <row r="10" spans="1:18" x14ac:dyDescent="0.2">
      <c r="A10" s="43">
        <v>1</v>
      </c>
      <c r="B10" s="7" t="s">
        <v>1509</v>
      </c>
      <c r="C10" s="7" t="s">
        <v>1106</v>
      </c>
      <c r="D10" s="7" t="s">
        <v>1107</v>
      </c>
      <c r="E10" s="7" t="str">
        <f>"0,9822"</f>
        <v>0,9822</v>
      </c>
      <c r="F10" s="7" t="s">
        <v>855</v>
      </c>
      <c r="G10" s="7" t="s">
        <v>802</v>
      </c>
      <c r="H10" s="34" t="s">
        <v>142</v>
      </c>
      <c r="I10" s="34" t="s">
        <v>260</v>
      </c>
      <c r="J10" s="41" t="s">
        <v>206</v>
      </c>
      <c r="K10" s="20"/>
      <c r="L10" s="34" t="s">
        <v>253</v>
      </c>
      <c r="M10" s="34" t="s">
        <v>37</v>
      </c>
      <c r="N10" s="20"/>
      <c r="O10" s="20"/>
      <c r="P10" s="28">
        <v>427.5</v>
      </c>
      <c r="Q10" s="7" t="str">
        <f>"475,3161"</f>
        <v>475,3161</v>
      </c>
      <c r="R10" s="7" t="s">
        <v>3391</v>
      </c>
    </row>
    <row r="12" spans="1:18" ht="15" x14ac:dyDescent="0.2">
      <c r="B12" s="294" t="s">
        <v>4011</v>
      </c>
      <c r="C12" s="294"/>
      <c r="D12" s="294"/>
      <c r="E12" s="294"/>
      <c r="F12" s="294"/>
      <c r="G12" s="294"/>
      <c r="H12" s="294"/>
      <c r="I12" s="294"/>
      <c r="J12" s="294"/>
      <c r="K12" s="294"/>
      <c r="L12" s="294"/>
      <c r="M12" s="294"/>
      <c r="N12" s="294"/>
      <c r="O12" s="294"/>
      <c r="P12" s="294"/>
      <c r="Q12" s="294"/>
    </row>
    <row r="13" spans="1:18" x14ac:dyDescent="0.2">
      <c r="A13" s="43">
        <v>1</v>
      </c>
      <c r="B13" s="15" t="s">
        <v>1492</v>
      </c>
      <c r="C13" s="15" t="s">
        <v>1493</v>
      </c>
      <c r="D13" s="15" t="s">
        <v>1494</v>
      </c>
      <c r="E13" s="15" t="str">
        <f>"0,9274"</f>
        <v>0,9274</v>
      </c>
      <c r="F13" s="15" t="s">
        <v>4020</v>
      </c>
      <c r="G13" s="15" t="s">
        <v>809</v>
      </c>
      <c r="H13" s="38" t="s">
        <v>135</v>
      </c>
      <c r="I13" s="35" t="s">
        <v>135</v>
      </c>
      <c r="J13" s="35" t="s">
        <v>187</v>
      </c>
      <c r="K13" s="22"/>
      <c r="L13" s="35" t="s">
        <v>35</v>
      </c>
      <c r="M13" s="35" t="s">
        <v>287</v>
      </c>
      <c r="N13" s="35" t="s">
        <v>274</v>
      </c>
      <c r="O13" s="35" t="s">
        <v>644</v>
      </c>
      <c r="P13" s="29">
        <v>515</v>
      </c>
      <c r="Q13" s="15" t="str">
        <f>"477,6110"</f>
        <v>477,6110</v>
      </c>
      <c r="R13" s="15" t="s">
        <v>734</v>
      </c>
    </row>
    <row r="14" spans="1:18" x14ac:dyDescent="0.2">
      <c r="A14" s="43">
        <v>2</v>
      </c>
      <c r="B14" s="16" t="s">
        <v>1495</v>
      </c>
      <c r="C14" s="16" t="s">
        <v>1496</v>
      </c>
      <c r="D14" s="16" t="s">
        <v>1497</v>
      </c>
      <c r="E14" s="16" t="str">
        <f>"0,9150"</f>
        <v>0,9150</v>
      </c>
      <c r="F14" s="16" t="s">
        <v>4020</v>
      </c>
      <c r="G14" s="16" t="s">
        <v>3234</v>
      </c>
      <c r="H14" s="36" t="s">
        <v>24</v>
      </c>
      <c r="I14" s="40" t="s">
        <v>189</v>
      </c>
      <c r="J14" s="40" t="s">
        <v>189</v>
      </c>
      <c r="K14" s="24"/>
      <c r="L14" s="40" t="s">
        <v>35</v>
      </c>
      <c r="M14" s="36" t="s">
        <v>35</v>
      </c>
      <c r="N14" s="40" t="s">
        <v>954</v>
      </c>
      <c r="O14" s="24"/>
      <c r="P14" s="30">
        <v>490</v>
      </c>
      <c r="Q14" s="16" t="str">
        <f>"448,3500"</f>
        <v>448,3500</v>
      </c>
      <c r="R14" s="16" t="s">
        <v>3391</v>
      </c>
    </row>
    <row r="15" spans="1:18" x14ac:dyDescent="0.2">
      <c r="A15" s="43">
        <v>3</v>
      </c>
      <c r="B15" s="17" t="s">
        <v>1498</v>
      </c>
      <c r="C15" s="17" t="s">
        <v>1499</v>
      </c>
      <c r="D15" s="17" t="s">
        <v>1500</v>
      </c>
      <c r="E15" s="17" t="str">
        <f>"0,9218"</f>
        <v>0,9218</v>
      </c>
      <c r="F15" s="17" t="s">
        <v>4020</v>
      </c>
      <c r="G15" s="17" t="s">
        <v>796</v>
      </c>
      <c r="H15" s="37" t="s">
        <v>104</v>
      </c>
      <c r="I15" s="26"/>
      <c r="J15" s="26"/>
      <c r="K15" s="26"/>
      <c r="L15" s="39" t="s">
        <v>1380</v>
      </c>
      <c r="M15" s="37" t="s">
        <v>1380</v>
      </c>
      <c r="N15" s="39" t="s">
        <v>1339</v>
      </c>
      <c r="O15" s="26"/>
      <c r="P15" s="31">
        <v>422.5</v>
      </c>
      <c r="Q15" s="17" t="str">
        <f>"389,4605"</f>
        <v>389,4605</v>
      </c>
      <c r="R15" s="17" t="s">
        <v>3391</v>
      </c>
    </row>
    <row r="17" spans="1:18" ht="15" x14ac:dyDescent="0.2">
      <c r="B17" s="294" t="s">
        <v>4012</v>
      </c>
      <c r="C17" s="294"/>
      <c r="D17" s="294"/>
      <c r="E17" s="294"/>
      <c r="F17" s="294"/>
      <c r="G17" s="294"/>
      <c r="H17" s="294"/>
      <c r="I17" s="294"/>
      <c r="J17" s="294"/>
      <c r="K17" s="294"/>
      <c r="L17" s="294"/>
      <c r="M17" s="294"/>
      <c r="N17" s="294"/>
      <c r="O17" s="294"/>
      <c r="P17" s="294"/>
      <c r="Q17" s="294"/>
    </row>
    <row r="18" spans="1:18" x14ac:dyDescent="0.2">
      <c r="A18" s="43">
        <v>1</v>
      </c>
      <c r="B18" s="7" t="s">
        <v>1510</v>
      </c>
      <c r="C18" s="7" t="s">
        <v>1501</v>
      </c>
      <c r="D18" s="7" t="s">
        <v>1502</v>
      </c>
      <c r="E18" s="7" t="str">
        <f>"0,8958"</f>
        <v>0,8958</v>
      </c>
      <c r="F18" s="7" t="s">
        <v>4020</v>
      </c>
      <c r="G18" s="7" t="s">
        <v>890</v>
      </c>
      <c r="H18" s="34" t="s">
        <v>142</v>
      </c>
      <c r="I18" s="34" t="s">
        <v>11</v>
      </c>
      <c r="J18" s="41" t="s">
        <v>607</v>
      </c>
      <c r="K18" s="20"/>
      <c r="L18" s="34" t="s">
        <v>37</v>
      </c>
      <c r="M18" s="34" t="s">
        <v>17</v>
      </c>
      <c r="N18" s="34" t="s">
        <v>1503</v>
      </c>
      <c r="O18" s="34" t="s">
        <v>26</v>
      </c>
      <c r="P18" s="28">
        <v>451</v>
      </c>
      <c r="Q18" s="7" t="str">
        <f>"404,0058"</f>
        <v>404,0058</v>
      </c>
      <c r="R18" s="7" t="s">
        <v>3391</v>
      </c>
    </row>
    <row r="20" spans="1:18" ht="15" x14ac:dyDescent="0.2">
      <c r="B20" s="294" t="s">
        <v>4013</v>
      </c>
      <c r="C20" s="294"/>
      <c r="D20" s="294"/>
      <c r="E20" s="294"/>
      <c r="F20" s="294"/>
      <c r="G20" s="294"/>
      <c r="H20" s="294"/>
      <c r="I20" s="294"/>
      <c r="J20" s="294"/>
      <c r="K20" s="294"/>
      <c r="L20" s="294"/>
      <c r="M20" s="294"/>
      <c r="N20" s="294"/>
      <c r="O20" s="294"/>
      <c r="P20" s="294"/>
      <c r="Q20" s="294"/>
    </row>
    <row r="21" spans="1:18" x14ac:dyDescent="0.2">
      <c r="A21" s="43">
        <v>1</v>
      </c>
      <c r="B21" s="7" t="s">
        <v>1511</v>
      </c>
      <c r="C21" s="7" t="s">
        <v>213</v>
      </c>
      <c r="D21" s="7" t="s">
        <v>1504</v>
      </c>
      <c r="E21" s="7" t="str">
        <f>"0,8680"</f>
        <v>0,8680</v>
      </c>
      <c r="F21" s="7" t="s">
        <v>4020</v>
      </c>
      <c r="G21" s="7" t="s">
        <v>3235</v>
      </c>
      <c r="H21" s="34" t="s">
        <v>143</v>
      </c>
      <c r="I21" s="34" t="s">
        <v>220</v>
      </c>
      <c r="J21" s="34" t="s">
        <v>208</v>
      </c>
      <c r="K21" s="45"/>
      <c r="L21" s="34" t="s">
        <v>287</v>
      </c>
      <c r="M21" s="34" t="s">
        <v>1007</v>
      </c>
      <c r="N21" s="41" t="s">
        <v>677</v>
      </c>
      <c r="O21" s="20"/>
      <c r="P21" s="28">
        <v>565</v>
      </c>
      <c r="Q21" s="7" t="str">
        <f>"490,4200"</f>
        <v>490,4200</v>
      </c>
      <c r="R21" s="7" t="s">
        <v>1512</v>
      </c>
    </row>
  </sheetData>
  <mergeCells count="20">
    <mergeCell ref="B20:Q20"/>
    <mergeCell ref="A4:A5"/>
    <mergeCell ref="Q4:Q5"/>
    <mergeCell ref="R4:R5"/>
    <mergeCell ref="B6:Q6"/>
    <mergeCell ref="B9:Q9"/>
    <mergeCell ref="B12:Q12"/>
    <mergeCell ref="B17:Q17"/>
    <mergeCell ref="B4:B5"/>
    <mergeCell ref="C4:C5"/>
    <mergeCell ref="D4:D5"/>
    <mergeCell ref="E4:E5"/>
    <mergeCell ref="F4:F5"/>
    <mergeCell ref="G4:G5"/>
    <mergeCell ref="H4:K4"/>
    <mergeCell ref="L4:O4"/>
    <mergeCell ref="P4:P5"/>
    <mergeCell ref="A1:R1"/>
    <mergeCell ref="A2:R2"/>
    <mergeCell ref="A3:R3"/>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election sqref="A1:N1"/>
    </sheetView>
  </sheetViews>
  <sheetFormatPr defaultColWidth="8.7109375" defaultRowHeight="12.75" x14ac:dyDescent="0.2"/>
  <cols>
    <col min="1" max="1" width="6.5703125" style="43" bestFit="1" customWidth="1"/>
    <col min="2" max="2" width="17.28515625" style="6" customWidth="1"/>
    <col min="3" max="3" width="26.85546875" style="6" bestFit="1" customWidth="1"/>
    <col min="4" max="4" width="8.5703125" style="6" bestFit="1" customWidth="1"/>
    <col min="5" max="5" width="7.5703125" style="6" bestFit="1" customWidth="1"/>
    <col min="6" max="6" width="19.140625" style="6" bestFit="1" customWidth="1"/>
    <col min="7" max="7" width="33.85546875" style="6" customWidth="1"/>
    <col min="8" max="10" width="5.5703125" style="27" bestFit="1" customWidth="1"/>
    <col min="11" max="11" width="4.85546875" style="27" bestFit="1" customWidth="1"/>
    <col min="12" max="12" width="6.42578125" style="32" bestFit="1" customWidth="1"/>
    <col min="13" max="13" width="9.85546875" style="27" bestFit="1" customWidth="1"/>
    <col min="14" max="14" width="11.5703125" style="6" bestFit="1" customWidth="1"/>
  </cols>
  <sheetData>
    <row r="1" spans="1:18" s="1" customFormat="1" ht="30" customHeight="1" x14ac:dyDescent="0.2">
      <c r="A1" s="295" t="s">
        <v>4023</v>
      </c>
      <c r="B1" s="295"/>
      <c r="C1" s="295"/>
      <c r="D1" s="295"/>
      <c r="E1" s="295"/>
      <c r="F1" s="295"/>
      <c r="G1" s="295"/>
      <c r="H1" s="295"/>
      <c r="I1" s="295"/>
      <c r="J1" s="295"/>
      <c r="K1" s="295"/>
      <c r="L1" s="295"/>
      <c r="M1" s="295"/>
      <c r="N1" s="295"/>
      <c r="O1" s="241"/>
      <c r="P1" s="241"/>
      <c r="Q1" s="241"/>
      <c r="R1" s="241"/>
    </row>
    <row r="2" spans="1:18" s="1" customFormat="1" ht="30" customHeight="1" x14ac:dyDescent="0.2">
      <c r="A2" s="295" t="s">
        <v>4034</v>
      </c>
      <c r="B2" s="295"/>
      <c r="C2" s="295"/>
      <c r="D2" s="295"/>
      <c r="E2" s="295"/>
      <c r="F2" s="295"/>
      <c r="G2" s="295"/>
      <c r="H2" s="295"/>
      <c r="I2" s="295"/>
      <c r="J2" s="295"/>
      <c r="K2" s="295"/>
      <c r="L2" s="295"/>
      <c r="M2" s="295"/>
      <c r="N2" s="295"/>
      <c r="O2" s="241"/>
      <c r="P2" s="241"/>
      <c r="Q2" s="241"/>
      <c r="R2" s="241"/>
    </row>
    <row r="3" spans="1:18" s="1" customFormat="1" ht="30.75" customHeight="1" thickBot="1" x14ac:dyDescent="0.25">
      <c r="A3" s="295" t="s">
        <v>3381</v>
      </c>
      <c r="B3" s="295"/>
      <c r="C3" s="295"/>
      <c r="D3" s="295"/>
      <c r="E3" s="295"/>
      <c r="F3" s="295"/>
      <c r="G3" s="295"/>
      <c r="H3" s="295"/>
      <c r="I3" s="295"/>
      <c r="J3" s="295"/>
      <c r="K3" s="295"/>
      <c r="L3" s="295"/>
      <c r="M3" s="295"/>
      <c r="N3" s="295"/>
      <c r="O3" s="241"/>
      <c r="P3" s="241"/>
      <c r="Q3" s="241"/>
      <c r="R3" s="241"/>
    </row>
    <row r="4" spans="1:18" s="5" customFormat="1" ht="12.75" customHeight="1" x14ac:dyDescent="0.2">
      <c r="A4" s="297" t="s">
        <v>719</v>
      </c>
      <c r="B4" s="312" t="s">
        <v>0</v>
      </c>
      <c r="C4" s="302" t="s">
        <v>3382</v>
      </c>
      <c r="D4" s="302" t="s">
        <v>8</v>
      </c>
      <c r="E4" s="304" t="s">
        <v>9</v>
      </c>
      <c r="F4" s="304" t="s">
        <v>1</v>
      </c>
      <c r="G4" s="305" t="s">
        <v>795</v>
      </c>
      <c r="H4" s="300" t="s">
        <v>2</v>
      </c>
      <c r="I4" s="304"/>
      <c r="J4" s="304"/>
      <c r="K4" s="307"/>
      <c r="L4" s="308" t="s">
        <v>3593</v>
      </c>
      <c r="M4" s="304" t="s">
        <v>6</v>
      </c>
      <c r="N4" s="307" t="s">
        <v>5</v>
      </c>
    </row>
    <row r="5" spans="1:18" s="5" customFormat="1" ht="23.25" customHeight="1" thickBot="1" x14ac:dyDescent="0.25">
      <c r="A5" s="298"/>
      <c r="B5" s="313"/>
      <c r="C5" s="303"/>
      <c r="D5" s="303"/>
      <c r="E5" s="303"/>
      <c r="F5" s="303"/>
      <c r="G5" s="306"/>
      <c r="H5" s="3">
        <v>1</v>
      </c>
      <c r="I5" s="2">
        <v>2</v>
      </c>
      <c r="J5" s="2">
        <v>3</v>
      </c>
      <c r="K5" s="4" t="s">
        <v>7</v>
      </c>
      <c r="L5" s="309"/>
      <c r="M5" s="303"/>
      <c r="N5" s="310"/>
    </row>
    <row r="6" spans="1:18" ht="15" x14ac:dyDescent="0.2">
      <c r="B6" s="299" t="s">
        <v>4004</v>
      </c>
      <c r="C6" s="299"/>
      <c r="D6" s="299"/>
      <c r="E6" s="299"/>
      <c r="F6" s="299"/>
      <c r="G6" s="299"/>
      <c r="H6" s="299"/>
      <c r="I6" s="299"/>
      <c r="J6" s="299"/>
      <c r="K6" s="299"/>
      <c r="L6" s="299"/>
      <c r="M6" s="299"/>
    </row>
    <row r="7" spans="1:18" x14ac:dyDescent="0.2">
      <c r="A7" s="43">
        <v>1</v>
      </c>
      <c r="B7" s="7" t="s">
        <v>693</v>
      </c>
      <c r="C7" s="7" t="s">
        <v>694</v>
      </c>
      <c r="D7" s="7" t="s">
        <v>695</v>
      </c>
      <c r="E7" s="7" t="str">
        <f>"2,3790"</f>
        <v>2,3790</v>
      </c>
      <c r="F7" s="7" t="s">
        <v>4020</v>
      </c>
      <c r="G7" s="7" t="s">
        <v>796</v>
      </c>
      <c r="H7" s="34" t="s">
        <v>75</v>
      </c>
      <c r="I7" s="34" t="s">
        <v>67</v>
      </c>
      <c r="J7" s="34" t="s">
        <v>68</v>
      </c>
      <c r="K7" s="41" t="s">
        <v>51</v>
      </c>
      <c r="L7" s="28">
        <v>67.5</v>
      </c>
      <c r="M7" s="19" t="str">
        <f>"160,5825"</f>
        <v>160,5825</v>
      </c>
      <c r="N7" s="7" t="s">
        <v>3391</v>
      </c>
    </row>
    <row r="9" spans="1:18" ht="15" x14ac:dyDescent="0.2">
      <c r="B9" s="294" t="s">
        <v>4009</v>
      </c>
      <c r="C9" s="294"/>
      <c r="D9" s="294"/>
      <c r="E9" s="294"/>
      <c r="F9" s="294"/>
      <c r="G9" s="294"/>
      <c r="H9" s="294"/>
      <c r="I9" s="294"/>
      <c r="J9" s="294"/>
      <c r="K9" s="294"/>
      <c r="L9" s="294"/>
      <c r="M9" s="294"/>
    </row>
    <row r="10" spans="1:18" x14ac:dyDescent="0.2">
      <c r="A10" s="43">
        <v>1</v>
      </c>
      <c r="B10" s="7" t="s">
        <v>696</v>
      </c>
      <c r="C10" s="7" t="s">
        <v>697</v>
      </c>
      <c r="D10" s="7" t="s">
        <v>434</v>
      </c>
      <c r="E10" s="7" t="str">
        <f>"1,0576"</f>
        <v>1,0576</v>
      </c>
      <c r="F10" s="7" t="s">
        <v>4020</v>
      </c>
      <c r="G10" s="7" t="s">
        <v>796</v>
      </c>
      <c r="H10" s="34" t="s">
        <v>25</v>
      </c>
      <c r="I10" s="34" t="s">
        <v>127</v>
      </c>
      <c r="J10" s="41" t="s">
        <v>155</v>
      </c>
      <c r="K10" s="20"/>
      <c r="L10" s="28">
        <v>160</v>
      </c>
      <c r="M10" s="19" t="str">
        <f>"171,5850"</f>
        <v>171,5850</v>
      </c>
      <c r="N10" s="7" t="s">
        <v>3391</v>
      </c>
    </row>
    <row r="12" spans="1:18" ht="15" x14ac:dyDescent="0.2">
      <c r="B12" s="294" t="s">
        <v>4011</v>
      </c>
      <c r="C12" s="294"/>
      <c r="D12" s="294"/>
      <c r="E12" s="294"/>
      <c r="F12" s="294"/>
      <c r="G12" s="294"/>
      <c r="H12" s="294"/>
      <c r="I12" s="294"/>
      <c r="J12" s="294"/>
      <c r="K12" s="294"/>
      <c r="L12" s="294"/>
      <c r="M12" s="294"/>
    </row>
    <row r="13" spans="1:18" x14ac:dyDescent="0.2">
      <c r="A13" s="43">
        <v>1</v>
      </c>
      <c r="B13" s="7" t="s">
        <v>243</v>
      </c>
      <c r="C13" s="7" t="s">
        <v>244</v>
      </c>
      <c r="D13" s="7" t="s">
        <v>245</v>
      </c>
      <c r="E13" s="7" t="str">
        <f>"0,9254"</f>
        <v>0,9254</v>
      </c>
      <c r="F13" s="7" t="s">
        <v>4020</v>
      </c>
      <c r="G13" s="7" t="s">
        <v>796</v>
      </c>
      <c r="H13" s="34" t="s">
        <v>143</v>
      </c>
      <c r="I13" s="34" t="s">
        <v>246</v>
      </c>
      <c r="J13" s="41" t="s">
        <v>220</v>
      </c>
      <c r="K13" s="20"/>
      <c r="L13" s="28">
        <v>225</v>
      </c>
      <c r="M13" s="19" t="str">
        <f>"208,2150"</f>
        <v>208,2150</v>
      </c>
      <c r="N13" s="7" t="s">
        <v>3391</v>
      </c>
    </row>
    <row r="15" spans="1:18" ht="15" x14ac:dyDescent="0.2">
      <c r="B15" s="294" t="s">
        <v>4012</v>
      </c>
      <c r="C15" s="294"/>
      <c r="D15" s="294"/>
      <c r="E15" s="294"/>
      <c r="F15" s="294"/>
      <c r="G15" s="294"/>
      <c r="H15" s="294"/>
      <c r="I15" s="294"/>
      <c r="J15" s="294"/>
      <c r="K15" s="294"/>
      <c r="L15" s="294"/>
      <c r="M15" s="294"/>
    </row>
    <row r="16" spans="1:18" x14ac:dyDescent="0.2">
      <c r="A16" s="43">
        <v>1</v>
      </c>
      <c r="B16" s="7" t="s">
        <v>263</v>
      </c>
      <c r="C16" s="7" t="s">
        <v>264</v>
      </c>
      <c r="D16" s="7" t="s">
        <v>265</v>
      </c>
      <c r="E16" s="7" t="str">
        <f>"0,8850"</f>
        <v>0,8850</v>
      </c>
      <c r="F16" s="7" t="s">
        <v>266</v>
      </c>
      <c r="G16" s="7" t="s">
        <v>823</v>
      </c>
      <c r="H16" s="34" t="s">
        <v>140</v>
      </c>
      <c r="I16" s="34" t="s">
        <v>246</v>
      </c>
      <c r="J16" s="34" t="s">
        <v>253</v>
      </c>
      <c r="K16" s="20"/>
      <c r="L16" s="28">
        <v>240</v>
      </c>
      <c r="M16" s="19" t="str">
        <f>"212,4000"</f>
        <v>212,4000</v>
      </c>
      <c r="N16" s="7" t="s">
        <v>3391</v>
      </c>
    </row>
    <row r="18" spans="1:14" ht="15" x14ac:dyDescent="0.2">
      <c r="B18" s="294" t="s">
        <v>4013</v>
      </c>
      <c r="C18" s="294"/>
      <c r="D18" s="294"/>
      <c r="E18" s="294"/>
      <c r="F18" s="294"/>
      <c r="G18" s="294"/>
      <c r="H18" s="294"/>
      <c r="I18" s="294"/>
      <c r="J18" s="294"/>
      <c r="K18" s="294"/>
      <c r="L18" s="294"/>
      <c r="M18" s="294"/>
    </row>
    <row r="19" spans="1:14" x14ac:dyDescent="0.2">
      <c r="A19" s="43">
        <v>1</v>
      </c>
      <c r="B19" s="7" t="s">
        <v>280</v>
      </c>
      <c r="C19" s="7" t="s">
        <v>281</v>
      </c>
      <c r="D19" s="7" t="s">
        <v>282</v>
      </c>
      <c r="E19" s="7" t="str">
        <f>"0,8820"</f>
        <v>0,8820</v>
      </c>
      <c r="F19" s="7" t="s">
        <v>853</v>
      </c>
      <c r="G19" s="7" t="s">
        <v>838</v>
      </c>
      <c r="H19" s="34" t="s">
        <v>166</v>
      </c>
      <c r="I19" s="34" t="s">
        <v>24</v>
      </c>
      <c r="J19" s="34" t="s">
        <v>144</v>
      </c>
      <c r="K19" s="20"/>
      <c r="L19" s="28">
        <v>230</v>
      </c>
      <c r="M19" s="19" t="str">
        <f>"249,1121"</f>
        <v>249,1121</v>
      </c>
      <c r="N19" s="7" t="s">
        <v>722</v>
      </c>
    </row>
  </sheetData>
  <mergeCells count="19">
    <mergeCell ref="A1:N1"/>
    <mergeCell ref="A2:N2"/>
    <mergeCell ref="A3:N3"/>
    <mergeCell ref="N4:N5"/>
    <mergeCell ref="B6:M6"/>
    <mergeCell ref="A4:A5"/>
    <mergeCell ref="B15:M15"/>
    <mergeCell ref="B18:M18"/>
    <mergeCell ref="L4:L5"/>
    <mergeCell ref="M4:M5"/>
    <mergeCell ref="B9:M9"/>
    <mergeCell ref="B12:M12"/>
    <mergeCell ref="B4:B5"/>
    <mergeCell ref="C4:C5"/>
    <mergeCell ref="D4:D5"/>
    <mergeCell ref="E4:E5"/>
    <mergeCell ref="F4:F5"/>
    <mergeCell ref="G4:G5"/>
    <mergeCell ref="H4:K4"/>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50</vt:i4>
      </vt:variant>
    </vt:vector>
  </HeadingPairs>
  <TitlesOfParts>
    <vt:vector size="50" baseType="lpstr">
      <vt:lpstr>PL-D</vt:lpstr>
      <vt:lpstr>PL</vt:lpstr>
      <vt:lpstr>PL-D kw</vt:lpstr>
      <vt:lpstr>PL kw</vt:lpstr>
      <vt:lpstr>PL eq</vt:lpstr>
      <vt:lpstr>PP-D</vt:lpstr>
      <vt:lpstr>PP</vt:lpstr>
      <vt:lpstr>PP eq</vt:lpstr>
      <vt:lpstr>Sq-D</vt:lpstr>
      <vt:lpstr>Sq</vt:lpstr>
      <vt:lpstr>Sq-D kw</vt:lpstr>
      <vt:lpstr>Sq kw</vt:lpstr>
      <vt:lpstr>Sq eq</vt:lpstr>
      <vt:lpstr>BP-D</vt:lpstr>
      <vt:lpstr>BP</vt:lpstr>
      <vt:lpstr>BP apf</vt:lpstr>
      <vt:lpstr>BP eq</vt:lpstr>
      <vt:lpstr>BP-P ss</vt:lpstr>
      <vt:lpstr>BP ss</vt:lpstr>
      <vt:lpstr>Elite BP ss</vt:lpstr>
      <vt:lpstr>DL-D</vt:lpstr>
      <vt:lpstr>DL</vt:lpstr>
      <vt:lpstr>DL eq</vt:lpstr>
      <vt:lpstr>Folk PB-D half bwt</vt:lpstr>
      <vt:lpstr>Folk BP-D</vt:lpstr>
      <vt:lpstr>Folk BP half bwt</vt:lpstr>
      <vt:lpstr>Folk BP</vt:lpstr>
      <vt:lpstr>Powersport-D</vt:lpstr>
      <vt:lpstr>Powersport</vt:lpstr>
      <vt:lpstr>URA Rolling Thunder</vt:lpstr>
      <vt:lpstr>URA Apollon Axle</vt:lpstr>
      <vt:lpstr>URA Grip block</vt:lpstr>
      <vt:lpstr>URA Excalibur</vt:lpstr>
      <vt:lpstr>URA HUB</vt:lpstr>
      <vt:lpstr>URA Silver bullet</vt:lpstr>
      <vt:lpstr>СПР логлифт на максимум</vt:lpstr>
      <vt:lpstr>СПР логлифт многоповторный</vt:lpstr>
      <vt:lpstr>ФЖД жимовое двоеборье</vt:lpstr>
      <vt:lpstr>ФЖД многоповторный жим</vt:lpstr>
      <vt:lpstr>ФЖД жим на максимум</vt:lpstr>
      <vt:lpstr>ФЖД многоповторный жим SOFT</vt:lpstr>
      <vt:lpstr>ФЖД жим на максимум  SOFT</vt:lpstr>
      <vt:lpstr>ФЖД многоповторн. армейский жим</vt:lpstr>
      <vt:lpstr>ФЖД армейский жим на максимум</vt:lpstr>
      <vt:lpstr>ФЖД военный многоповторный жим</vt:lpstr>
      <vt:lpstr>ФЖД военный жим на максимум</vt:lpstr>
      <vt:lpstr>ФЖД богатырский жим</vt:lpstr>
      <vt:lpstr>Best teams</vt:lpstr>
      <vt:lpstr>Judge committee</vt:lpstr>
      <vt:lpstr>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Tomchin</dc:creator>
  <cp:lastModifiedBy>spr</cp:lastModifiedBy>
  <cp:lastPrinted>2008-02-22T21:19:54Z</cp:lastPrinted>
  <dcterms:created xsi:type="dcterms:W3CDTF">2002-06-16T13:36:44Z</dcterms:created>
  <dcterms:modified xsi:type="dcterms:W3CDTF">2017-01-17T21:43:35Z</dcterms:modified>
</cp:coreProperties>
</file>