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rupBuild="4506" lastEdited="4" lowestEdited="4"/>
  <workbookPr autoCompressPictures="0" codeName="ЭтаКнига"/>
  <bookViews>
    <workbookView activeTab="30" xWindow="0" yWindow="-460" windowWidth="28800" windowHeight="18000" tabRatio="601"/>
  </bookViews>
  <sheets>
    <sheet name="Пауэрлифтинг без экипировки ДК" sheetId="12" r:id="flId1"/>
    <sheet name="Пауэрлифтинг без экипировки" sheetId="11" r:id="flId2"/>
    <sheet name="Пауэрлифтинг в бинтах ДК" sheetId="14" r:id="flId3"/>
    <sheet name="Пауэрлифтинг в бинтах" sheetId="13" r:id="flId4"/>
    <sheet name="Силовое двоеборье без экипиров." sheetId="18" r:id="flId5"/>
    <sheet name="Силовое двоеборье без экип. ДК" sheetId="17" r:id="flId6"/>
    <sheet name="Присед без экипировки ДК" sheetId="19" r:id="flId7"/>
    <sheet name="Жим лежа в многослойной экип." sheetId="10" r:id="flId8"/>
    <sheet name="Жим лежа односл. экипировка ДК" sheetId="9" r:id="flId9"/>
    <sheet name="Жим лежа без экипировки ДК" sheetId="6" r:id="flId10"/>
    <sheet name="Жим лежа без экипировки" sheetId="5" r:id="flId11"/>
    <sheet name="Народный жим 1 вес" sheetId="37" r:id="flId12"/>
    <sheet name="Народный жим 1 вес ДК" sheetId="39" r:id="flId13"/>
    <sheet name="Народный жим 1 2 вес  ДК" sheetId="38" r:id="flId14"/>
    <sheet name="Становая тяга без экипировки" sheetId="15" r:id="flId15"/>
    <sheet name="Становая тяга без экипировки ДК" sheetId="16" r:id="flId16"/>
    <sheet name="Пауэрспорт" sheetId="41" r:id="flId17"/>
    <sheet name="Пауэрспорт  ДК" sheetId="40" r:id="flId18"/>
    <sheet name="Rolling Thunder" sheetId="36" r:id="flId19"/>
    <sheet name="Apollon's Axle " sheetId="35" r:id="flId20"/>
    <sheet name="Excalibur " sheetId="33" r:id="flId21"/>
    <sheet name="Grip block " sheetId="34" r:id="flId22"/>
    <sheet name="ЖД любители с ДК многоповт. жим" sheetId="26" r:id="flId23"/>
    <sheet name="ЖД армейский жим на максимум" sheetId="28" r:id="flId24"/>
    <sheet name="ЖД армейский многоповторный жим" sheetId="29" r:id="flId25"/>
    <sheet name="ЖД военный жим на максимум" sheetId="30" r:id="flId26"/>
    <sheet name="ЖД любители ДК" sheetId="31" r:id="flId27"/>
    <sheet name="ЖД армейский жим" sheetId="32" r:id="flId28"/>
    <sheet name="КРЖ" sheetId="42" r:id="flId29"/>
    <sheet name="ЧД" sheetId="43" r:id="flId30"/>
    <sheet name="Судейский корпус" sheetId="20" r:id="flId31"/>
  </sheets>
  <calcPr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<sst xmlns="http://schemas.openxmlformats.org/spreadsheetml/2006/main" count="2357" uniqueCount="658">
  <si>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</si>
  <si>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</si>
  <si>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</si>
  <si>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</si>
  <si>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</si>
  <si>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</si>
  <si>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</si>
  <si>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</si>
  <si>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</si>
  <si>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Wilks</t>
  </si>
  <si>
    <t xml:space="preserve">ВЕСОВАЯ КАТЕГОРИЯ   56</t>
  </si>
  <si>
    <t>Погоскин Никита</t>
  </si>
  <si>
    <t>Teenage 15-19 (09.05.2001)/15</t>
  </si>
  <si>
    <t>55,10</t>
  </si>
  <si>
    <t xml:space="preserve">лично </t>
  </si>
  <si>
    <t>60,0</t>
  </si>
  <si>
    <t>70,0</t>
  </si>
  <si>
    <t xml:space="preserve">ВЕСОВАЯ КАТЕГОРИЯ   67.5</t>
  </si>
  <si>
    <t>Жук Валерий</t>
  </si>
  <si>
    <t>Open (05.09.1989)/27</t>
  </si>
  <si>
    <t>66,40</t>
  </si>
  <si>
    <t>100,0</t>
  </si>
  <si>
    <t>110,0</t>
  </si>
  <si>
    <t>115,0</t>
  </si>
  <si>
    <t xml:space="preserve">Клюшин Николай </t>
  </si>
  <si>
    <t xml:space="preserve">ВЕСОВАЯ КАТЕГОРИЯ   82.5</t>
  </si>
  <si>
    <t>Крылов Иван</t>
  </si>
  <si>
    <t>Open (05.05.1991)/25</t>
  </si>
  <si>
    <t>81,10</t>
  </si>
  <si>
    <t>150,0</t>
  </si>
  <si>
    <t xml:space="preserve">ВЕСОВАЯ КАТЕГОРИЯ   90</t>
  </si>
  <si>
    <t>Прокофьев Антон</t>
  </si>
  <si>
    <t>Open (23.02.1991)/25</t>
  </si>
  <si>
    <t>84,20</t>
  </si>
  <si>
    <t xml:space="preserve">Арзамас/Нижегородская область </t>
  </si>
  <si>
    <t>160,0</t>
  </si>
  <si>
    <t>170,0</t>
  </si>
  <si>
    <t>Трунтаев Сергей</t>
  </si>
  <si>
    <t>Open (22.07.1991)/25</t>
  </si>
  <si>
    <t>85,60</t>
  </si>
  <si>
    <t>147,5</t>
  </si>
  <si>
    <t>155,0</t>
  </si>
  <si>
    <t xml:space="preserve">ВЕСОВАЯ КАТЕГОРИЯ   100</t>
  </si>
  <si>
    <t>Руссков Дмитрий</t>
  </si>
  <si>
    <t>Open (28.12.1978)/37</t>
  </si>
  <si>
    <t>96,70</t>
  </si>
  <si>
    <t xml:space="preserve">Нижний Новгород/Нижегородская область </t>
  </si>
  <si>
    <t>125,0</t>
  </si>
  <si>
    <t>132,5</t>
  </si>
  <si>
    <t>137,5</t>
  </si>
  <si>
    <t>Шишкин Александр</t>
  </si>
  <si>
    <t>Masters 40-44 (27.10.1975)/41</t>
  </si>
  <si>
    <t>99,10</t>
  </si>
  <si>
    <t>152,5</t>
  </si>
  <si>
    <t>157,5</t>
  </si>
  <si>
    <t xml:space="preserve">ВЕСОВАЯ КАТЕГОРИЯ   110</t>
  </si>
  <si>
    <t>Батыршин Роман</t>
  </si>
  <si>
    <t>Open (03.07.1989)/27</t>
  </si>
  <si>
    <t>105,00</t>
  </si>
  <si>
    <t xml:space="preserve">Урай/Ханты-Мансийский авт. окр. </t>
  </si>
  <si>
    <t>195,0</t>
  </si>
  <si>
    <t>200,0</t>
  </si>
  <si>
    <t>205,0</t>
  </si>
  <si>
    <t>Хомутов Михаил</t>
  </si>
  <si>
    <t>Open (28.04.1981)/35</t>
  </si>
  <si>
    <t>105,50</t>
  </si>
  <si>
    <t>175,0</t>
  </si>
  <si>
    <t>177,5</t>
  </si>
  <si>
    <t>192,5</t>
  </si>
  <si>
    <t>Попков Александр</t>
  </si>
  <si>
    <t>Masters 60-64 (11.03.1955)/61</t>
  </si>
  <si>
    <t>102,70</t>
  </si>
  <si>
    <t xml:space="preserve">ННПТ </t>
  </si>
  <si>
    <t>140,0</t>
  </si>
  <si>
    <t xml:space="preserve">ВЕСОВАЯ КАТЕГОРИЯ   125</t>
  </si>
  <si>
    <t>Борисов Сергей</t>
  </si>
  <si>
    <t>Masters 40-44 (09.11.1973)/42</t>
  </si>
  <si>
    <t>122,70</t>
  </si>
  <si>
    <t>120,0</t>
  </si>
  <si>
    <t>130,0</t>
  </si>
  <si>
    <t>135,0</t>
  </si>
  <si>
    <t xml:space="preserve">ВЕСОВАЯ КАТЕГОРИЯ   140</t>
  </si>
  <si>
    <t>Фролов Артём</t>
  </si>
  <si>
    <t>Open (25.10.1988)/28</t>
  </si>
  <si>
    <t>139,80</t>
  </si>
  <si>
    <t>210,0</t>
  </si>
  <si>
    <t xml:space="preserve">Самостоятельно </t>
  </si>
  <si>
    <t>Главный судья:</t>
  </si>
  <si>
    <t>Главный секретарь:</t>
  </si>
  <si>
    <t>Секретарь:</t>
  </si>
  <si>
    <t xml:space="preserve">ФИО </t>
  </si>
  <si>
    <t xml:space="preserve">Возрастная группа </t>
  </si>
  <si>
    <t xml:space="preserve">Сумма </t>
  </si>
  <si>
    <t xml:space="preserve">Wilks </t>
  </si>
  <si>
    <t xml:space="preserve">Открытая </t>
  </si>
  <si>
    <t>Шикина Кристина</t>
  </si>
  <si>
    <t>Teenage 15-19 (16.07.1999)/17</t>
  </si>
  <si>
    <t>54,30</t>
  </si>
  <si>
    <t>50,0</t>
  </si>
  <si>
    <t xml:space="preserve">ВЕСОВАЯ КАТЕГОРИЯ   60</t>
  </si>
  <si>
    <t>Баташева Анастасия</t>
  </si>
  <si>
    <t>Teenage 15-19 (19.04.1997)/19</t>
  </si>
  <si>
    <t>57,20</t>
  </si>
  <si>
    <t xml:space="preserve">Бор/Нижегородская область </t>
  </si>
  <si>
    <t>52,5</t>
  </si>
  <si>
    <t>57,5</t>
  </si>
  <si>
    <t xml:space="preserve">ВЕСОВАЯ КАТЕГОРИЯ   75</t>
  </si>
  <si>
    <t>Магомедов Гасан</t>
  </si>
  <si>
    <t>Teenage 15-19 (19.08.2001)/15</t>
  </si>
  <si>
    <t>74,80</t>
  </si>
  <si>
    <t>117,5</t>
  </si>
  <si>
    <t>Чугуров Сергей</t>
  </si>
  <si>
    <t>Juniors 20-23 (22.06.1993)/23</t>
  </si>
  <si>
    <t>73,70</t>
  </si>
  <si>
    <t xml:space="preserve">Пенза/Пензенская область </t>
  </si>
  <si>
    <t>145,0</t>
  </si>
  <si>
    <t>152,2</t>
  </si>
  <si>
    <t>165,0</t>
  </si>
  <si>
    <t>Чирков Александр</t>
  </si>
  <si>
    <t>Juniors 20-23 (07.10.1995)/21</t>
  </si>
  <si>
    <t>72,40</t>
  </si>
  <si>
    <t>107,5</t>
  </si>
  <si>
    <t>112,5</t>
  </si>
  <si>
    <t>Мешалкин Константин</t>
  </si>
  <si>
    <t>Juniors 20-23 (31.07.1996)/20</t>
  </si>
  <si>
    <t>74,70</t>
  </si>
  <si>
    <t xml:space="preserve">Балахна/Нижегородская область </t>
  </si>
  <si>
    <t>105,0</t>
  </si>
  <si>
    <t>Open (22.06.1993)/23</t>
  </si>
  <si>
    <t>Вдовин Андрей</t>
  </si>
  <si>
    <t>Teenage 15-19 (13.12.1998)/17</t>
  </si>
  <si>
    <t>81,50</t>
  </si>
  <si>
    <t>Скуридин Тарас</t>
  </si>
  <si>
    <t>Open (21.05.1989)/27</t>
  </si>
  <si>
    <t>80,10</t>
  </si>
  <si>
    <t>Устимук Роман</t>
  </si>
  <si>
    <t>Open (01.07.1984)/32</t>
  </si>
  <si>
    <t>81,40</t>
  </si>
  <si>
    <t>Заботин Владислав</t>
  </si>
  <si>
    <t>Juniors 20-23 (03.06.1994)/22</t>
  </si>
  <si>
    <t>89,70</t>
  </si>
  <si>
    <t xml:space="preserve">Театр Силы </t>
  </si>
  <si>
    <t xml:space="preserve">Дзержинский/Московская область </t>
  </si>
  <si>
    <t>162,5</t>
  </si>
  <si>
    <t>Агрба Михаил</t>
  </si>
  <si>
    <t>Open (19.11.1989)/26</t>
  </si>
  <si>
    <t>87,90</t>
  </si>
  <si>
    <t>Ляпин Евгений</t>
  </si>
  <si>
    <t>Open (03.06.1988)/28</t>
  </si>
  <si>
    <t>Дворковой Алексей</t>
  </si>
  <si>
    <t>Masters 40-44 (28.02.1976)/40</t>
  </si>
  <si>
    <t>90,00</t>
  </si>
  <si>
    <t>Елутин Ярослав</t>
  </si>
  <si>
    <t>Open (09.11.1991)/24</t>
  </si>
  <si>
    <t>97,00</t>
  </si>
  <si>
    <t xml:space="preserve">Кстово/Нижегородская область </t>
  </si>
  <si>
    <t>Хрусталёв Юрий</t>
  </si>
  <si>
    <t>Open (01.11.1976)/39</t>
  </si>
  <si>
    <t>98,20</t>
  </si>
  <si>
    <t>Кондрушин Андрей</t>
  </si>
  <si>
    <t>Masters 40-44 (20.10.1976)/40</t>
  </si>
  <si>
    <t>97,20</t>
  </si>
  <si>
    <t xml:space="preserve">Ульяновск/Ульяновская область </t>
  </si>
  <si>
    <t>Хамхоев Ибрагим</t>
  </si>
  <si>
    <t>Open (25.02.1985)/31</t>
  </si>
  <si>
    <t>104,60</t>
  </si>
  <si>
    <t>230,0</t>
  </si>
  <si>
    <t>235,0</t>
  </si>
  <si>
    <t>237,5</t>
  </si>
  <si>
    <t>Кустов Максим</t>
  </si>
  <si>
    <t>Open (25.03.1985)/31</t>
  </si>
  <si>
    <t>106,40</t>
  </si>
  <si>
    <t>167,5</t>
  </si>
  <si>
    <t>Самарянов Дмитрий</t>
  </si>
  <si>
    <t>Open (17.10.1978)/38</t>
  </si>
  <si>
    <t>104,30</t>
  </si>
  <si>
    <t>Прошин Владимир</t>
  </si>
  <si>
    <t>Open (19.03.1983)/33</t>
  </si>
  <si>
    <t>102,20</t>
  </si>
  <si>
    <t>142,5</t>
  </si>
  <si>
    <t>Ислентьев Артем</t>
  </si>
  <si>
    <t>Open (16.06.1984)/32</t>
  </si>
  <si>
    <t>107,90</t>
  </si>
  <si>
    <t>Макаров Николай</t>
  </si>
  <si>
    <t>Open (29.10.1985)/31</t>
  </si>
  <si>
    <t>107,60</t>
  </si>
  <si>
    <t>Шпагин Максим</t>
  </si>
  <si>
    <t>Open (04.01.1979)/37</t>
  </si>
  <si>
    <t>122,00</t>
  </si>
  <si>
    <t>190,0</t>
  </si>
  <si>
    <t>Шевченко Евгений</t>
  </si>
  <si>
    <t>Masters 45-49 (02.05.1970)/46</t>
  </si>
  <si>
    <t>134,70</t>
  </si>
  <si>
    <t>Гаврилов Сергей</t>
  </si>
  <si>
    <t>212,5</t>
  </si>
  <si>
    <t>Котельников Георгий</t>
  </si>
  <si>
    <t>Open (04.06.1992)/24</t>
  </si>
  <si>
    <t>Дорогин Дмитрий</t>
  </si>
  <si>
    <t>Open (01.04.1985)/31</t>
  </si>
  <si>
    <t>Игошин Александр</t>
  </si>
  <si>
    <t>Open (28.12.1981)/34</t>
  </si>
  <si>
    <t>242,5</t>
  </si>
  <si>
    <t>Лебедев Александр</t>
  </si>
  <si>
    <t>Open (15.08.1980)/36</t>
  </si>
  <si>
    <t>250,0</t>
  </si>
  <si>
    <t>265,0</t>
  </si>
  <si>
    <t>225,0</t>
  </si>
  <si>
    <t>Клостер Сергей</t>
  </si>
  <si>
    <t>Open (01.11.1990)/25</t>
  </si>
  <si>
    <t>180,0</t>
  </si>
  <si>
    <t>185,0</t>
  </si>
  <si>
    <t>127,5</t>
  </si>
  <si>
    <t>Клюшин Николай</t>
  </si>
  <si>
    <t>Open (04.03.1986)/30</t>
  </si>
  <si>
    <t>240,0</t>
  </si>
  <si>
    <t>220,0</t>
  </si>
  <si>
    <t>Лавров Дмитрий</t>
  </si>
  <si>
    <t>Open (08.01.1979)/37</t>
  </si>
  <si>
    <t>Солнцева Ульяна</t>
  </si>
  <si>
    <t>Open (04.07.1987)/29</t>
  </si>
  <si>
    <t>92,5</t>
  </si>
  <si>
    <t>97,5</t>
  </si>
  <si>
    <t>Мельников Виктор</t>
  </si>
  <si>
    <t>Open (09.07.1986)/30</t>
  </si>
  <si>
    <t>Кобылянский Алексей</t>
  </si>
  <si>
    <t>Open (14.08.1977)/39</t>
  </si>
  <si>
    <t>Бурдаков Сергей</t>
  </si>
  <si>
    <t>Open (02.07.1979)/37</t>
  </si>
  <si>
    <t>182,5</t>
  </si>
  <si>
    <t>Шуваев Антон</t>
  </si>
  <si>
    <t>Open (19.08.1997)/19</t>
  </si>
  <si>
    <t>Шортов Николай</t>
  </si>
  <si>
    <t>Open (30.09.1986)/30</t>
  </si>
  <si>
    <t>Рогачёв Игорь</t>
  </si>
  <si>
    <t>Open (07.08.1984)/32</t>
  </si>
  <si>
    <t>Open (08.08.1979)/37</t>
  </si>
  <si>
    <t>122,60</t>
  </si>
  <si>
    <t>207,5</t>
  </si>
  <si>
    <t>260,0</t>
  </si>
  <si>
    <t>285,0</t>
  </si>
  <si>
    <t>302,5</t>
  </si>
  <si>
    <t>750,0</t>
  </si>
  <si>
    <t>429,1500</t>
  </si>
  <si>
    <t>500,0</t>
  </si>
  <si>
    <t>316,7500</t>
  </si>
  <si>
    <t>450,0</t>
  </si>
  <si>
    <t>328,1850</t>
  </si>
  <si>
    <t>Костина Ирина</t>
  </si>
  <si>
    <t>Teenage 15-19 (27.10.1999)/17</t>
  </si>
  <si>
    <t>80,0</t>
  </si>
  <si>
    <t>87,5</t>
  </si>
  <si>
    <t>Марченко Владимир</t>
  </si>
  <si>
    <t>Open (19.10.1984)/32</t>
  </si>
  <si>
    <t>340,0</t>
  </si>
  <si>
    <t>360,0</t>
  </si>
  <si>
    <t>202,5</t>
  </si>
  <si>
    <t>330,0</t>
  </si>
  <si>
    <t>345,0</t>
  </si>
  <si>
    <t>Григин Даниил</t>
  </si>
  <si>
    <t>Open (11.12.1989)/26</t>
  </si>
  <si>
    <t xml:space="preserve">Владимир/Владимирская область </t>
  </si>
  <si>
    <t>217,5</t>
  </si>
  <si>
    <t>222,5</t>
  </si>
  <si>
    <t>Мигунов Вадим</t>
  </si>
  <si>
    <t>Open (02.08.1991)/25</t>
  </si>
  <si>
    <t>172,5</t>
  </si>
  <si>
    <t>Слепов Александр</t>
  </si>
  <si>
    <t>Teenage 15-19 (13.04.1999)/17</t>
  </si>
  <si>
    <t>Большаков Сергей</t>
  </si>
  <si>
    <t>Open (06.05.1991)/25</t>
  </si>
  <si>
    <t>245,0</t>
  </si>
  <si>
    <t>232,5</t>
  </si>
  <si>
    <t>Гультяева Светлана</t>
  </si>
  <si>
    <t>Masters 40-44 (13.08.1972)/44</t>
  </si>
  <si>
    <t>90,0</t>
  </si>
  <si>
    <t>95,0</t>
  </si>
  <si>
    <t>Супоня Дмитрий</t>
  </si>
  <si>
    <t>Open (07.08.1986)/30</t>
  </si>
  <si>
    <t>272,5</t>
  </si>
  <si>
    <t>Довгоборец Василий</t>
  </si>
  <si>
    <t>Open (25.01.1990)/26</t>
  </si>
  <si>
    <t xml:space="preserve">Муром/Владимирская область </t>
  </si>
  <si>
    <t>300,0</t>
  </si>
  <si>
    <t>310,0</t>
  </si>
  <si>
    <t>Отарашвили Андрей</t>
  </si>
  <si>
    <t>Open (25.11.1980)/35</t>
  </si>
  <si>
    <t>270,0</t>
  </si>
  <si>
    <t>Зарубина Екатерина</t>
  </si>
  <si>
    <t>Open (26.02.1984)/32</t>
  </si>
  <si>
    <t>Купрюшин Андрей</t>
  </si>
  <si>
    <t>Teenage 15-19 (17.05.1997)/19</t>
  </si>
  <si>
    <t>Степурин Александр</t>
  </si>
  <si>
    <t>Juniors 20-23 (16.06.1993)/23</t>
  </si>
  <si>
    <t>Кочнев Антон</t>
  </si>
  <si>
    <t>Teenage 15-19 (11.01.1998)/18</t>
  </si>
  <si>
    <t>Кузьмин Андрей</t>
  </si>
  <si>
    <t>Teenage 15-19 (02.12.1998)/17</t>
  </si>
  <si>
    <t xml:space="preserve">Дзержинск/Нижегородская область </t>
  </si>
  <si>
    <t>Teenage 15-19 (19.08.1997)/19</t>
  </si>
  <si>
    <t>Петров Егор</t>
  </si>
  <si>
    <t>Juniors 20-23 (09.05.1996)/20</t>
  </si>
  <si>
    <t>Бояринцев Алексей</t>
  </si>
  <si>
    <t>Open (02.01.1989)/27</t>
  </si>
  <si>
    <t>262,5</t>
  </si>
  <si>
    <t>Клешнин Павел</t>
  </si>
  <si>
    <t>Open (19.03.1989)/27</t>
  </si>
  <si>
    <t>Землянский Артём</t>
  </si>
  <si>
    <t>Open (27.10.1991)/25</t>
  </si>
  <si>
    <t>215,0</t>
  </si>
  <si>
    <t>150,4470</t>
  </si>
  <si>
    <t>169,0500</t>
  </si>
  <si>
    <t>136,9800</t>
  </si>
  <si>
    <t>Корягин Кирилл</t>
  </si>
  <si>
    <t>Juniors 20-23 (12.01.1993)/23</t>
  </si>
  <si>
    <t>Богов Андрей</t>
  </si>
  <si>
    <t>Juniors 20-23 (24.01.1995)/21</t>
  </si>
  <si>
    <t>Кузьмин Юрий</t>
  </si>
  <si>
    <t>Open (09.12.1982)/33</t>
  </si>
  <si>
    <t>197,5</t>
  </si>
  <si>
    <t>335,0</t>
  </si>
  <si>
    <t xml:space="preserve">ВЕСОВАЯ КАТЕГОРИЯ   48</t>
  </si>
  <si>
    <t>Акимкина Юлия</t>
  </si>
  <si>
    <t>Open (28.03.1982)/34</t>
  </si>
  <si>
    <t>77,5</t>
  </si>
  <si>
    <t>Косарева Анна</t>
  </si>
  <si>
    <t>Juniors 20-23 (21.12.1995)/20</t>
  </si>
  <si>
    <t>75,0</t>
  </si>
  <si>
    <t xml:space="preserve">ВЕСОВАЯ КАТЕГОРИЯ   52</t>
  </si>
  <si>
    <t>Мигунов Егор</t>
  </si>
  <si>
    <t>Teenage 15-19 (26.11.2002)/13</t>
  </si>
  <si>
    <t>1</t>
  </si>
  <si>
    <t>2</t>
  </si>
  <si>
    <t>Шумкова Анастасия</t>
  </si>
  <si>
    <t>Длужневская Эльвира</t>
  </si>
  <si>
    <t>Боковоые судьи:</t>
  </si>
  <si>
    <t>Центральные судьи:</t>
  </si>
  <si>
    <t>Gloss</t>
  </si>
  <si>
    <t>3</t>
  </si>
  <si>
    <t>4</t>
  </si>
  <si>
    <t>112,0</t>
  </si>
  <si>
    <t>Савинов Алексей</t>
  </si>
  <si>
    <t>Open (18.11.1972)/43</t>
  </si>
  <si>
    <t>82,0</t>
  </si>
  <si>
    <t>92,0</t>
  </si>
  <si>
    <t xml:space="preserve">ВЕСОВАЯ КАТЕГОРИЯ   90+</t>
  </si>
  <si>
    <t>Master 40+ (18.11.1972)/43</t>
  </si>
  <si>
    <t>40,0</t>
  </si>
  <si>
    <t>61,0</t>
  </si>
  <si>
    <t>83,5</t>
  </si>
  <si>
    <t xml:space="preserve">ВЕСОВАЯ КАТЕГОРИЯ   70</t>
  </si>
  <si>
    <t>Пресняков Алексей</t>
  </si>
  <si>
    <t>Open (13.10.1989)/27</t>
  </si>
  <si>
    <t>Open (16.06.1993)/23</t>
  </si>
  <si>
    <t xml:space="preserve">ВЕСОВАЯ КАТЕГОРИЯ   80</t>
  </si>
  <si>
    <t>Емельянов Андрей</t>
  </si>
  <si>
    <t>Junior (15.10.1997)/19</t>
  </si>
  <si>
    <t>Open (09.05.1996)/20</t>
  </si>
  <si>
    <t xml:space="preserve">Gloss </t>
  </si>
  <si>
    <t>Мусаев Рамин</t>
  </si>
  <si>
    <t>Open (19.12.1991)/24</t>
  </si>
  <si>
    <t>56,5</t>
  </si>
  <si>
    <t>61,5</t>
  </si>
  <si>
    <t>93,0</t>
  </si>
  <si>
    <t>Open (09.06.1978)/38</t>
  </si>
  <si>
    <t>30,0</t>
  </si>
  <si>
    <t>Юрасов Евгений</t>
  </si>
  <si>
    <t>Junior (11.08.1996)/20</t>
  </si>
  <si>
    <t xml:space="preserve">ВЕСОВАЯ КАТЕГОРИЯ   130+</t>
  </si>
  <si>
    <t>Усманов Ильдар</t>
  </si>
  <si>
    <t>Masters 40-44 (30.10.1974)/42</t>
  </si>
  <si>
    <t xml:space="preserve">Салават/Башкортостан </t>
  </si>
  <si>
    <t>Masters 40-44 (09.06.1974)/42</t>
  </si>
  <si>
    <t>Поляков Андрей</t>
  </si>
  <si>
    <t>Junior (09.05.1996)/20</t>
  </si>
  <si>
    <t>67,5</t>
  </si>
  <si>
    <t>65,0</t>
  </si>
  <si>
    <t>Junior (19.06.1995)/21</t>
  </si>
  <si>
    <t>Романов Алексей</t>
  </si>
  <si>
    <t>45,0</t>
  </si>
  <si>
    <t xml:space="preserve">Поляков А. </t>
  </si>
  <si>
    <t>Open (25.03.1977)/39</t>
  </si>
  <si>
    <t>Ягжов Андрей</t>
  </si>
  <si>
    <t>Open (05.04.1986)/30</t>
  </si>
  <si>
    <t>Сорокин Валерий</t>
  </si>
  <si>
    <t>55,0</t>
  </si>
  <si>
    <t>Open (09.06.1974)/42</t>
  </si>
  <si>
    <t xml:space="preserve">Шахунья/Нижегородская область </t>
  </si>
  <si>
    <t>ННПТ</t>
  </si>
  <si>
    <t>Open (25.02.1991)/25</t>
  </si>
  <si>
    <t>Крюков Алексей</t>
  </si>
  <si>
    <t>Open (24.05.1983)/33</t>
  </si>
  <si>
    <t>Смирнов Андрей</t>
  </si>
  <si>
    <t>Masters 40-49 (01.06.1975)/41</t>
  </si>
  <si>
    <t>Куропкин Сергей</t>
  </si>
  <si>
    <t xml:space="preserve">Котельнич/Кировская область </t>
  </si>
  <si>
    <t>Masters 40-49 (28.06.1976)/40</t>
  </si>
  <si>
    <t>Лялин Михаил</t>
  </si>
  <si>
    <t>Повторы</t>
  </si>
  <si>
    <t>Вес</t>
  </si>
  <si>
    <t>37,5</t>
  </si>
  <si>
    <t>Teen 13-19 (24.08.1998)/18</t>
  </si>
  <si>
    <t>Силантев Кирилл</t>
  </si>
  <si>
    <t>35,0</t>
  </si>
  <si>
    <t>Teen 13-19 (13.08.1998)/18</t>
  </si>
  <si>
    <t>Лещев Эдуард</t>
  </si>
  <si>
    <t>27,5</t>
  </si>
  <si>
    <t>Teen 13-19 (17.05.1997)/19</t>
  </si>
  <si>
    <t>32,5</t>
  </si>
  <si>
    <t>Juniors 20-23 (29.06.1996)/20</t>
  </si>
  <si>
    <t>Москвичева Александра</t>
  </si>
  <si>
    <t>Сясин Илья</t>
  </si>
  <si>
    <t>2200,0</t>
  </si>
  <si>
    <t>2450,0</t>
  </si>
  <si>
    <t>2610,0</t>
  </si>
  <si>
    <t>122,5</t>
  </si>
  <si>
    <t>Juniors 20-23 (11.08.1996)/20</t>
  </si>
  <si>
    <t>Masters 40-49 (28.02.1976)/40</t>
  </si>
  <si>
    <t>Masters 40-49 (02.03.1973)/43</t>
  </si>
  <si>
    <t>Борисов Игорь</t>
  </si>
  <si>
    <t>72,5</t>
  </si>
  <si>
    <t>Open (05.12.1987)/28</t>
  </si>
  <si>
    <t>85,0</t>
  </si>
  <si>
    <t>Open (17.10.1982)/34</t>
  </si>
  <si>
    <t>Мережкин Денис</t>
  </si>
  <si>
    <t>Masters 40-49 (09.06.1974)/42</t>
  </si>
  <si>
    <t>Teen 13-19 (22.05.2000)/16</t>
  </si>
  <si>
    <t>Безухов Михаил</t>
  </si>
  <si>
    <t>62,5</t>
  </si>
  <si>
    <t>Teen 13-19 (15.10.1997)/19</t>
  </si>
  <si>
    <t>Армейский жим</t>
  </si>
  <si>
    <t>Город/Область</t>
  </si>
  <si>
    <t>3 Национальная</t>
  </si>
  <si>
    <t>г. Шахунья</t>
  </si>
  <si>
    <t>0867</t>
  </si>
  <si>
    <t>Смирнов А.С.</t>
  </si>
  <si>
    <t>Судья на взвешивании</t>
  </si>
  <si>
    <t>Региональная</t>
  </si>
  <si>
    <t>г. Нижний Новгород</t>
  </si>
  <si>
    <t>0841</t>
  </si>
  <si>
    <t>Волжский А. В.</t>
  </si>
  <si>
    <t>судья-стажёр</t>
  </si>
  <si>
    <t>Котельников Г.</t>
  </si>
  <si>
    <t>Боковой судья</t>
  </si>
  <si>
    <t>Старший судья</t>
  </si>
  <si>
    <t>Главный судья</t>
  </si>
  <si>
    <t>Председатель Оргкомитета</t>
  </si>
  <si>
    <t>Судейская бригада турнира</t>
  </si>
  <si>
    <t>3 спортивный</t>
  </si>
  <si>
    <t>Кудряшов Александр Александрович</t>
  </si>
  <si>
    <t>МС</t>
  </si>
  <si>
    <t>Шиков Александр Федорович</t>
  </si>
  <si>
    <t>тренер</t>
  </si>
  <si>
    <t>Страна, Регион, Город, Команда</t>
  </si>
  <si>
    <t>№ МРОО ФРЖ</t>
  </si>
  <si>
    <t>Рекорды, разряды</t>
  </si>
  <si>
    <t>Коэфф.Атл. (КА)</t>
  </si>
  <si>
    <t>Кол. Повт.</t>
  </si>
  <si>
    <t>Вес штанги (кг)</t>
  </si>
  <si>
    <t>Собственный вес (кг)</t>
  </si>
  <si>
    <t>Дата, месяц, год рожд.</t>
  </si>
  <si>
    <t>Место</t>
  </si>
  <si>
    <t>№№</t>
  </si>
  <si>
    <t>КМС</t>
  </si>
  <si>
    <t>Кильмаев Алексей Васильевич</t>
  </si>
  <si>
    <t>Аникин Алексей Александрович</t>
  </si>
  <si>
    <t>2 спортивный</t>
  </si>
  <si>
    <t>1 спортивный</t>
  </si>
  <si>
    <t>Доронин Виктор Леонидович</t>
  </si>
  <si>
    <t>Кудрявцев Григорий Куприянович</t>
  </si>
  <si>
    <t>Громов Вячеслав Викторович</t>
  </si>
  <si>
    <t>Колпаков Владимир Михайлович</t>
  </si>
  <si>
    <t>Крестьянов Алексей Михайлович</t>
  </si>
  <si>
    <t>Светанков Михаил Алексеевич</t>
  </si>
  <si>
    <t>Краснов Марк Вадимович</t>
  </si>
  <si>
    <t>Кондратьев Сергей Николаевич</t>
  </si>
  <si>
    <t>Лялин Михаил Алексеевич</t>
  </si>
  <si>
    <t>Дружнов Андрей Маркович</t>
  </si>
  <si>
    <t>Сясин Илья Юрьевич</t>
  </si>
  <si>
    <t>Силантьев Кирилл Олегович</t>
  </si>
  <si>
    <t>Давыдов Андрей Андреевич</t>
  </si>
  <si>
    <t>Митяшин Николай Сергеевич</t>
  </si>
  <si>
    <t>Мужчины (допуск по собственному весу до 75 кг), вес штанги 55 кг.</t>
  </si>
  <si>
    <t xml:space="preserve">«КЛАССИЧЕСКИЙ  РУССКИЙ  ЖИМ»</t>
  </si>
  <si>
    <t>Открытый всероссийский мастерский турнир по Классическому Русскому Жиму.</t>
  </si>
  <si>
    <t>Нижегородское региональное отделение МРОО «ФЕДЕРАЦИЯ РУССКОГО ЖИМА»</t>
  </si>
  <si>
    <t>Крюков Алексей Павлович</t>
  </si>
  <si>
    <t>Тоннаж, кг</t>
  </si>
  <si>
    <t>кол-во повтор.</t>
  </si>
  <si>
    <t>вес штанги</t>
  </si>
  <si>
    <t>Суммарный тоннаж (кг)</t>
  </si>
  <si>
    <t>3 подход</t>
  </si>
  <si>
    <t>2 подход</t>
  </si>
  <si>
    <t>1 подход</t>
  </si>
  <si>
    <t>Собств. вес (кг)</t>
  </si>
  <si>
    <t>Сумма коэфф.</t>
  </si>
  <si>
    <t>Место личное</t>
  </si>
  <si>
    <t>Мужчины. Весовая категория до 110,00 кг.</t>
  </si>
  <si>
    <t>24 мая 1983 (М)</t>
  </si>
  <si>
    <t>Смирнов Андрей Сергеевич</t>
  </si>
  <si>
    <t>Мужчины. Весовая категория до 100,00 кг.</t>
  </si>
  <si>
    <t>Данилов Александр Константинович</t>
  </si>
  <si>
    <t>Мужчины. Весовая категория до 70,00 кг.</t>
  </si>
  <si>
    <t xml:space="preserve">«ЧЁРТОВА  ДЮЖИНА»                                                                                                                                                                               </t>
  </si>
  <si>
    <t xml:space="preserve">Россия, г.Нижний Новгород, ул.Коломенская, д.6,  ФЦ «Сочи»                             Дата:   30.10.2016.</t>
  </si>
  <si>
    <r>
      <t xml:space="preserve">Нижегородское региональное отделение МРОО </t>
    </r>
    <r>
      <rPr>
        <b/>
        <sz val="14"/>
        <color indexed="8"/>
        <rFont val="Calibri"/>
        <family val="2"/>
        <charset val="204"/>
      </rPr>
      <t>«</t>
    </r>
    <r>
      <rPr>
        <b/>
        <sz val="14"/>
        <color indexed="8"/>
        <rFont val="Times New Roman"/>
        <family val="1"/>
        <charset val="204"/>
      </rPr>
      <t>Федерация русского жима</t>
    </r>
    <r>
      <rPr>
        <b/>
        <sz val="14"/>
        <color indexed="8"/>
        <rFont val="Calibri"/>
        <family val="2"/>
        <charset val="204"/>
      </rPr>
      <t>»</t>
    </r>
  </si>
  <si>
    <t>Сахарова Е.</t>
  </si>
  <si>
    <t>Клюшин Н.</t>
  </si>
  <si>
    <t>Корытко С.</t>
  </si>
  <si>
    <t>Чистяков Н.</t>
  </si>
  <si>
    <t xml:space="preserve">Клюшин Н. </t>
  </si>
  <si>
    <t>Поляков А.</t>
  </si>
  <si>
    <t xml:space="preserve">Чистяков Н. </t>
  </si>
  <si>
    <t>Суслов К.</t>
  </si>
  <si>
    <t>Петров А.</t>
  </si>
  <si>
    <t>Сучков С.</t>
  </si>
  <si>
    <t>Калиниченко В.</t>
  </si>
  <si>
    <t>Крылов И.</t>
  </si>
  <si>
    <t>Ворчинский М.</t>
  </si>
  <si>
    <t>Марченко В.</t>
  </si>
  <si>
    <t xml:space="preserve">Баташев В. </t>
  </si>
  <si>
    <t>Большаков С.</t>
  </si>
  <si>
    <t>Тимофеев А.</t>
  </si>
  <si>
    <t>Коновалов Ю.</t>
  </si>
  <si>
    <t>Лемонджава В.</t>
  </si>
  <si>
    <t>Шишкин А.</t>
  </si>
  <si>
    <t xml:space="preserve">Сахарова Е. </t>
  </si>
  <si>
    <t xml:space="preserve">Лемонджава В. </t>
  </si>
  <si>
    <t>Бражкин М.</t>
  </si>
  <si>
    <t>Абсолютный зачет</t>
  </si>
  <si>
    <t>Судейский корпус ВМТ "Место Силы" IPL / СПР / ФЖД / САР</t>
  </si>
  <si>
    <t xml:space="preserve">Котельников Георгий, Морозов Антон, Большаков Сергей, Кузнецов Руслан, Бурдаков  Сергей</t>
  </si>
  <si>
    <t>Возрастная группа
Дата рождения/Возраст</t>
  </si>
  <si>
    <t>Собств. вес</t>
  </si>
  <si>
    <t>Результат</t>
  </si>
  <si>
    <t>Подход</t>
  </si>
  <si>
    <t xml:space="preserve">Павлово/Нижегородская област </t>
  </si>
  <si>
    <t>Павлово/Нижегородская область</t>
  </si>
  <si>
    <t>Нижний Новгород/Нижегородская область</t>
  </si>
  <si>
    <t>Силантьев Кирилл</t>
  </si>
  <si>
    <t>Тоннаж</t>
  </si>
  <si>
    <t>Богородск/Нижегородская область</t>
  </si>
  <si>
    <t>Шатки/Нижегородская область</t>
  </si>
  <si>
    <t>р.п. Вознесенское/Нижегородская область</t>
  </si>
  <si>
    <t>Кстово/Нижегородская область</t>
  </si>
  <si>
    <t>Дзержинск/Нижегородская область</t>
  </si>
  <si>
    <t>Борисоглебск/Воронежская область</t>
  </si>
  <si>
    <t>г.Павлово/Нижегородская область</t>
  </si>
  <si>
    <t xml:space="preserve">Павлово/Нижегородская область </t>
  </si>
  <si>
    <t>Театр силы</t>
  </si>
  <si>
    <t xml:space="preserve">Весовая категория </t>
  </si>
  <si>
    <t>Весовая категория</t>
  </si>
  <si>
    <t>Театр Силы</t>
  </si>
  <si>
    <t>Цыбярев Александр Иванович</t>
  </si>
  <si>
    <t>Длужневская Эльвира, Волжский Алексей, Котельников Георгий, Большаков Сергей, Кузнецов Руслан, Морозов Антон</t>
  </si>
  <si>
    <t>Открытый всероссийский мастерский турнир по Классическому Русскому Жиму</t>
  </si>
  <si>
    <t xml:space="preserve">Россия, г.Нижний Новгород ул. Коломенская д.6 ФЦ "СОЧИ"                          Дата: 30 октября 2016</t>
  </si>
  <si>
    <t>27.07.1974 (М,В_1)</t>
  </si>
  <si>
    <t>МСМК_ФРЖ</t>
  </si>
  <si>
    <t>Россия, Нижегородская обл, г.Лукоянов</t>
  </si>
  <si>
    <t>20.05.1986 (М)</t>
  </si>
  <si>
    <t>МС_ФРЖ</t>
  </si>
  <si>
    <t>Россия, Нижегородская обл, г.Шахунья</t>
  </si>
  <si>
    <t>30.10.1989 (М)</t>
  </si>
  <si>
    <t>Россия, Нижегородская обл, г.Кстово</t>
  </si>
  <si>
    <t>24.08.1998 (Юноша)</t>
  </si>
  <si>
    <t>КМС_ФРЖ</t>
  </si>
  <si>
    <t>0935</t>
  </si>
  <si>
    <t>Россия, Нижегородская обл, г.Дзержинск</t>
  </si>
  <si>
    <t>05.12.1987 (М)</t>
  </si>
  <si>
    <t>Маркин Евгений Владимирович</t>
  </si>
  <si>
    <t>10.09.1983 (М)</t>
  </si>
  <si>
    <t>Россия, Нижегородская обл, г.Павлово</t>
  </si>
  <si>
    <t>21.08.1988 (М)</t>
  </si>
  <si>
    <t>Россия, Нижегородская обл, г.Нижний Новгород</t>
  </si>
  <si>
    <t>28.06.1976 (М,В_1)</t>
  </si>
  <si>
    <t>Россия, Кировская обл, г.Котельнич</t>
  </si>
  <si>
    <t>Мужчины (открытый зачёт), вес штанги 55 кг.</t>
  </si>
  <si>
    <t>23.09.1978 (М)</t>
  </si>
  <si>
    <t>0927</t>
  </si>
  <si>
    <t>Россия, Нижегородская обл, г.Починки</t>
  </si>
  <si>
    <t>02.11.1978 (М)</t>
  </si>
  <si>
    <t>Россия, Нижегородская обл, г.Ковров</t>
  </si>
  <si>
    <t>Рыжевский Денис Александрович</t>
  </si>
  <si>
    <t>31.20.1985 (М)</t>
  </si>
  <si>
    <t>Россия, Нижегородская обл, г.Кулебаки</t>
  </si>
  <si>
    <t>02.05.2000 (Юноша)</t>
  </si>
  <si>
    <t>М, Ветераны-2 (старше 50 лет), вес штанги 55 кг.</t>
  </si>
  <si>
    <t>22.03.1959 (М,В_2)</t>
  </si>
  <si>
    <t>Россия, Нижегородская обл, г.Арзамас</t>
  </si>
  <si>
    <t>10.09.1955 (М,В_3)</t>
  </si>
  <si>
    <t>30.10.1954 (М,В_3)</t>
  </si>
  <si>
    <t>0924</t>
  </si>
  <si>
    <t>23.01.1955 (М,В_3)</t>
  </si>
  <si>
    <t>03.03.1953 (М,В_3)</t>
  </si>
  <si>
    <t>Россия, Нижегородская обл, г.Бор</t>
  </si>
  <si>
    <t>01.01.1958 (М,В_2)</t>
  </si>
  <si>
    <t>Мужчины (открытый зачёт), вес штанги 75 кг.</t>
  </si>
  <si>
    <t>10.06.1977 (М)</t>
  </si>
  <si>
    <t>1015</t>
  </si>
  <si>
    <t>15.01.1989 (М)</t>
  </si>
  <si>
    <t>Мужчины (открытый зачёт), вес штанги 100 кг.</t>
  </si>
  <si>
    <t>06.09.1969 (М,В_1)</t>
  </si>
  <si>
    <t xml:space="preserve">М, Ветераны-1 (старше 40 лет). Весовая категория до 100,00 кг. </t>
  </si>
  <si>
    <t>23.06.1970 (М,В_1)</t>
  </si>
  <si>
    <t>0926</t>
  </si>
  <si>
    <t>25.02.1991 (М)</t>
  </si>
  <si>
    <t>0932</t>
  </si>
  <si>
    <t>0</t>
  </si>
  <si>
    <t>290,0</t>
  </si>
  <si>
    <t>505,0</t>
  </si>
  <si>
    <t>295,0</t>
  </si>
  <si>
    <t xml:space="preserve">125,0 </t>
  </si>
  <si>
    <t xml:space="preserve">75,0 </t>
  </si>
  <si>
    <t xml:space="preserve">100,0 </t>
  </si>
  <si>
    <t xml:space="preserve">110,0 </t>
  </si>
  <si>
    <t xml:space="preserve">140,0 </t>
  </si>
  <si>
    <t xml:space="preserve">90,0 </t>
  </si>
  <si>
    <t>19</t>
  </si>
  <si>
    <t>28</t>
  </si>
  <si>
    <t>33</t>
  </si>
  <si>
    <t>21</t>
  </si>
  <si>
    <t>24</t>
  </si>
  <si>
    <t>93</t>
  </si>
  <si>
    <t>102</t>
  </si>
  <si>
    <t>110</t>
  </si>
  <si>
    <t xml:space="preserve">ВМТ Место силы                                                                                                                                                      Силовое двоеборье без экипировки
г. Нижний Новгород, 29-30 октября 2016 г.</t>
  </si>
  <si>
    <t xml:space="preserve">ВМТ Место силы                                                                                                                                                                 Присед  без экипировки с ДК
г. Нижний Новгород, 29-30 октября 2016 г.</t>
  </si>
  <si>
    <t xml:space="preserve">ВМТ Место силы                                                                                                                                                          Силовое двоеборье без экипировки с ДК
г. Нижний Новгород, 29-30 октября 2016 г.</t>
  </si>
  <si>
    <t xml:space="preserve">ВМТ Место Силы                                                                                                                                                                 Становая тяга без экипировки с ДК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</si>
  <si>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Становая тяга без экипировки
г. Нижний Новгород, 29 - 30 октября 2016</t>
  </si>
  <si>
    <t xml:space="preserve">  </t>
  </si>
  <si>
    <t xml:space="preserve">ВМТ Место Силы                                                                                                                                                                                                      Пауэрлифтинг в бинтах ДК
г. Нижний Новгород, 29 - 30 октября2016</t>
  </si>
  <si>
    <t xml:space="preserve"> </t>
  </si>
  <si>
    <t xml:space="preserve">ВМТ Место Силы                                                                                                                                                                                                                              Пауэрлифтинг в бинтах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</si>
  <si>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                                                             Пауэрлифтинг без экипировки ДК                   
                                                                                                                                                                                                                                                 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</si>
  <si>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                    Пауэрлифтинг без экипировки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</si>
  <si>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Жим лежа в многослойной экипировке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</si>
  <si>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Жим лежа в однослойной экипировке ДК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</si>
  <si>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      Жим лежа без экипировки ДК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</si>
  <si>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    Жим лежа без экипировки
г. Нижний Новгород, 29 - 30 октября 2016</t>
  </si>
  <si>
    <t xml:space="preserve">ВМТ Место Силы                                                                                                                                            Rolling Thunder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</si>
  <si>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        Apollon's Axle
г. Нижний Новгород, 29 - 30 октября 2016</t>
  </si>
  <si>
    <t xml:space="preserve">ВМТ Место Силы                                                                                                                                         Excalibur
г. Нижний Новгород, 29 - 30 октября 2016</t>
  </si>
  <si>
    <t xml:space="preserve">ВМТ Место Силы                                                                                                                                   Two handed pinch grip block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</si>
  <si>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Жимовое двоеборье - армейский жим на максимум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</si>
  <si>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Жимовое двоеборье - любители ДК, многоповторный жим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</si>
  <si>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 Жимовое двоеборье - армейский многоповторный жим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</si>
  <si>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Жимовое двоеборье - военный жим на максимум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</si>
  <si>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     Жимовое двоеборье - любители ДК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</si>
  <si>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Жимовое двоеборье - армейский жим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</si>
  <si>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Народный жим (1 вес)
г. Нижний Новгород, 29 - 30 октября 2016</t>
  </si>
  <si>
    <t xml:space="preserve">Урай/Ханты-Мансийский авт. округ </t>
  </si>
  <si>
    <t xml:space="preserve">ВМТ Место Силы                                                                                                                                                                   Народный жим (1/2 вес) ДК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</si>
  <si>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  Народный жим (1 вес) ДК
г. Нижний Новгород, 29 - 30 октября 2016</t>
  </si>
  <si>
    <t xml:space="preserve">ВМТ Место Силы                                                                                                                                                                     Пауэрспорт ДК
г. Нижний Новгород, 29 - 30 октября 2016</t>
  </si>
  <si>
    <t xml:space="preserve">   </t>
  </si>
  <si>
    <t>Подъем на бицепс</t>
  </si>
  <si>
    <t xml:space="preserve">ВМТ Место Силы                                                                                                                                                            Пауэрспорт 
г. Нижний Новгород, 29 - 30 октября 2016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</si>
</sst>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color auto="1"/>
      <name val="Arial Cyr"/>
      <charset val="204"/>
    </font>
    <font>
      <sz val="11"/>
      <color theme="1"/>
      <name val="Calibri"/>
      <family val="2"/>
      <scheme val="minor"/>
      <charset val="204"/>
    </font>
    <font>
      <sz val="24"/>
      <color auto="1"/>
      <name val="Arial Cyr"/>
      <family val="2"/>
      <charset val="204"/>
    </font>
    <font>
      <b/>
      <sz val="10"/>
      <color auto="1"/>
      <name val="Arial Cyr"/>
      <charset val="204"/>
    </font>
    <font>
      <b/>
      <sz val="11"/>
      <color auto="1"/>
      <name val="Arial Cyr"/>
      <charset val="204"/>
    </font>
    <font>
      <sz val="11"/>
      <color auto="1"/>
      <name val="Arial Cyr"/>
      <charset val="204"/>
    </font>
    <font>
      <sz val="12"/>
      <color auto="1"/>
      <name val="Arial Cyr"/>
      <charset val="204"/>
    </font>
    <font>
      <i/>
      <sz val="12"/>
      <color auto="1"/>
      <name val="Arial Cyr"/>
      <charset val="204"/>
    </font>
    <font>
      <strike/>
      <sz val="10"/>
      <color auto="1"/>
      <name val="Arial Cyr"/>
      <charset val="204"/>
    </font>
    <font>
      <b/>
      <i/>
      <sz val="11"/>
      <color auto="1"/>
      <name val="Arial Cyr"/>
      <charset val="204"/>
    </font>
    <font>
      <i/>
      <sz val="11"/>
      <color auto="1"/>
      <name val="Arial Cyr"/>
      <charset val="204"/>
    </font>
    <font>
      <b/>
      <sz val="18"/>
      <color auto="1"/>
      <name val="Arial Cyr"/>
      <charset val="204"/>
    </font>
    <font>
      <sz val="10"/>
      <color auto="1"/>
      <name val="Arial Cyr"/>
      <charset val="204"/>
    </font>
    <font>
      <b/>
      <sz val="11"/>
      <color theme="1"/>
      <name val="Calibri"/>
      <family val="2"/>
      <scheme val="minor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auto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auto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  <charset val="204"/>
    </font>
    <font>
      <b/>
      <sz val="12"/>
      <color indexed="8"/>
      <name val="Times New Roman"/>
      <family val="1"/>
      <charset val="204"/>
    </font>
    <font>
      <sz val="14"/>
      <color auto="1"/>
      <name val="Times New Roman"/>
      <family val="1"/>
      <charset val="204"/>
    </font>
    <font>
      <sz val="12"/>
      <color auto="1"/>
      <name val="Times New Roman"/>
      <family val="1"/>
      <charset val="204"/>
    </font>
    <font>
      <b/>
      <sz val="14"/>
      <color auto="1"/>
      <name val="Times New Roman"/>
      <family val="1"/>
      <charset val="204"/>
    </font>
    <font>
      <sz val="11"/>
      <color auto="1"/>
      <name val="Times New Roman"/>
      <family val="1"/>
      <charset val="204"/>
    </font>
    <font>
      <b/>
      <sz val="10"/>
      <color auto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0"/>
      <color auto="1"/>
      <name val="Arial Cyr"/>
      <family val="2"/>
      <charset val="204"/>
    </font>
    <font>
      <b/>
      <strike/>
      <sz val="10"/>
      <color auto="1"/>
      <name val="Arial Cyr"/>
      <charset val="204"/>
    </font>
    <font>
      <b/>
      <strike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1"/>
      <color theme="1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C000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31"/>
        <bgColor auto="1"/>
      </patternFill>
    </fill>
    <fill>
      <patternFill patternType="solid">
        <fgColor rgb="FFFFCC99"/>
        <bgColor auto="1"/>
      </patternFill>
    </fill>
    <fill>
      <patternFill patternType="solid">
        <fgColor rgb="FFCCFFFF"/>
        <bgColor auto="1"/>
      </patternFill>
    </fill>
    <fill>
      <patternFill patternType="solid">
        <fgColor rgb="FFFFCCFF"/>
        <bgColor auto="1"/>
      </patternFill>
    </fill>
    <fill>
      <patternFill patternType="solid">
        <fgColor theme="0"/>
        <bgColor auto="1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fontId="0" numFmtId="0" fillId="0" borderId="0"/>
    <xf fontId="14" numFmtId="0" fillId="0" borderId="0"/>
    <xf fontId="12" numFmtId="0" fillId="0" borderId="0"/>
    <xf fontId="1" numFmtId="0" fillId="0" borderId="0"/>
  </cellStyleXfs>
  <cellXfs count="277">
    <xf fontId="0" numFmtId="0" fillId="0" borderId="0" xfId="0"/>
    <xf applyNumberFormat="1" applyFill="1" applyBorder="1" applyAlignment="1" fontId="0" numFmtId="49" fillId="0" borderId="0" xfId="0">
      <alignment horizontal="center"/>
    </xf>
    <xf applyNumberFormat="1" applyFont="1" applyFill="1" applyBorder="1" applyAlignment="1" fontId="4" numFmtId="49" fillId="0" borderId="0" xfId="0">
      <alignment horizontal="center" vertical="center"/>
    </xf>
    <xf applyNumberFormat="1" applyFont="1" applyFill="1" applyBorder="1" applyAlignment="1" fontId="5" numFmtId="49" fillId="0" borderId="1" xfId="0">
      <alignment horizontal="center" vertical="center"/>
    </xf>
    <xf applyNumberFormat="1" applyFont="1" applyFill="1" applyBorder="1" applyAlignment="1" fontId="3" numFmtId="49" fillId="0" borderId="0" xfId="0">
      <alignment horizontal="left"/>
    </xf>
    <xf applyNumberFormat="1" applyFill="1" applyBorder="1" applyAlignment="1" fontId="0" numFmtId="49" fillId="0" borderId="0" xfId="0">
      <alignment horizontal="left"/>
    </xf>
    <xf applyNumberFormat="1" applyFill="1" applyBorder="1" applyAlignment="1" fontId="0" numFmtId="49" fillId="0" borderId="13" xfId="0">
      <alignment horizontal="center"/>
    </xf>
    <xf applyNumberFormat="1" applyFill="1" applyBorder="1" applyAlignment="1" fontId="0" numFmtId="49" fillId="0" borderId="13" xfId="0">
      <alignment horizontal="left"/>
    </xf>
    <xf applyNumberFormat="1" applyFont="1" applyFill="1" applyBorder="1" applyAlignment="1" fontId="8" numFmtId="49" fillId="0" borderId="13" xfId="0">
      <alignment horizontal="center"/>
    </xf>
    <xf applyNumberFormat="1" applyFill="1" applyBorder="1" applyAlignment="1" fontId="0" numFmtId="49" fillId="0" borderId="15" xfId="0">
      <alignment horizontal="center"/>
    </xf>
    <xf applyNumberFormat="1" applyFill="1" applyBorder="1" applyAlignment="1" fontId="0" numFmtId="49" fillId="0" borderId="15" xfId="0">
      <alignment horizontal="left"/>
    </xf>
    <xf applyNumberFormat="1" applyFont="1" applyFill="1" applyBorder="1" applyAlignment="1" fontId="6" numFmtId="49" fillId="0" borderId="0" xfId="0">
      <alignment horizontal="left"/>
    </xf>
    <xf applyNumberFormat="1" applyFont="1" applyFill="1" applyBorder="1" applyAlignment="1" fontId="9" numFmtId="49" fillId="0" borderId="0" xfId="0">
      <alignment horizontal="left" indent="1"/>
    </xf>
    <xf applyNumberFormat="1" applyFont="1" applyFill="1" applyBorder="1" applyAlignment="1" fontId="10" numFmtId="49" fillId="0" borderId="0" xfId="0">
      <alignment horizontal="center"/>
    </xf>
    <xf applyNumberFormat="1" applyFont="1" applyFill="1" applyBorder="1" applyAlignment="1" fontId="4" numFmtId="49" fillId="0" borderId="13" xfId="0">
      <alignment horizontal="center" vertical="center"/>
    </xf>
    <xf applyNumberFormat="1" fontId="0" numFmtId="49" fillId="0" borderId="0" xfId="0"/>
    <xf applyNumberFormat="1" applyBorder="1" fontId="0" numFmtId="49" fillId="0" borderId="13" xfId="0"/>
    <xf applyNumberFormat="1" applyFont="1" applyBorder="1" fontId="8" numFmtId="49" fillId="0" borderId="13" xfId="0"/>
    <xf applyNumberFormat="1" applyFont="1" applyAlignment="1" fontId="6" numFmtId="49" fillId="0" borderId="0" xfId="0">
      <alignment horizontal="left"/>
    </xf>
    <xf applyNumberFormat="1" applyFont="1" applyAlignment="1" fontId="10" numFmtId="49" fillId="0" borderId="0" xfId="0">
      <alignment horizontal="left" indent="1"/>
    </xf>
    <xf applyNumberFormat="1" applyFont="1" fontId="10" numFmtId="49" fillId="0" borderId="0" xfId="0"/>
    <xf applyNumberFormat="1" applyFont="1" applyBorder="1" applyAlignment="1" fontId="4" numFmtId="49" fillId="0" borderId="13" xfId="0">
      <alignment horizontal="center" vertical="center"/>
    </xf>
    <xf applyNumberFormat="1" applyFont="1" fontId="3" numFmtId="49" fillId="0" borderId="0" xfId="0"/>
    <xf applyFont="1" fontId="11" numFmtId="0" fillId="0" borderId="0" xfId="0"/>
    <xf applyNumberFormat="1" applyFill="1" applyBorder="1" applyAlignment="1" fontId="0" numFmtId="49" fillId="0" borderId="0" xfId="0">
      <alignment horizontal="left" wrapText="1"/>
    </xf>
    <xf applyNumberFormat="1" applyFont="1" applyFill="1" applyBorder="1" applyAlignment="1" fontId="4" numFmtId="49" fillId="0" borderId="16" xfId="0">
      <alignment horizontal="center" vertical="center"/>
    </xf>
    <xf fontId="14" numFmtId="0" fillId="0" borderId="0" xfId="1"/>
    <xf applyAlignment="1" fontId="14" numFmtId="0" fillId="0" borderId="0" xfId="1">
      <alignment wrapText="1"/>
    </xf>
    <xf applyNumberFormat="1" applyFont="1" applyAlignment="1" fontId="13" numFmtId="49" fillId="0" borderId="0" xfId="1">
      <alignment horizontal="center" vertical="center"/>
    </xf>
    <xf applyFont="1" applyAlignment="1" fontId="15" numFmtId="0" fillId="0" borderId="0" xfId="1">
      <alignment horizontal="center" vertical="center" wrapText="1"/>
    </xf>
    <xf applyFill="1" fontId="14" numFmtId="0" fillId="0" borderId="0" xfId="1"/>
    <xf applyFont="1" applyFill="1" applyAlignment="1" fontId="16" numFmtId="0" fillId="0" borderId="0" xfId="1">
      <alignment horizontal="center" vertical="center"/>
    </xf>
    <xf applyFont="1" applyFill="1" applyAlignment="1" fontId="17" numFmtId="0" fillId="0" borderId="0" xfId="1">
      <alignment horizontal="center" vertical="center"/>
    </xf>
    <xf applyFont="1" applyFill="1" fontId="18" numFmtId="0" fillId="0" borderId="0" xfId="1"/>
    <xf applyFont="1" applyAlignment="1" fontId="18" numFmtId="0" fillId="0" borderId="0" xfId="1">
      <alignment horizontal="center" vertical="center"/>
    </xf>
    <xf applyFont="1" fontId="18" numFmtId="0" fillId="0" borderId="0" xfId="1"/>
    <xf applyFont="1" applyFill="1" applyAlignment="1" fontId="18" numFmtId="0" fillId="0" borderId="0" xfId="1">
      <alignment horizontal="center" vertical="center"/>
    </xf>
    <xf applyNumberFormat="1" applyFont="1" applyFill="1" applyBorder="1" applyAlignment="1" fontId="19" numFmtId="49" fillId="2" borderId="13" xfId="2">
      <alignment horizontal="center" vertical="center" wrapText="1"/>
    </xf>
    <xf applyFont="1" applyAlignment="1" fontId="24" numFmtId="0" fillId="0" borderId="0" xfId="1">
      <alignment vertical="center"/>
    </xf>
    <xf applyNumberFormat="1" applyFont="1" applyFill="1" applyBorder="1" applyAlignment="1" fontId="29" numFmtId="164" fillId="4" borderId="13" xfId="2">
      <alignment horizontal="center" vertical="center" wrapText="1"/>
    </xf>
    <xf applyFont="1" applyFill="1" applyBorder="1" applyAlignment="1" fontId="29" numFmtId="0" fillId="5" borderId="13" xfId="2">
      <alignment horizontal="center" vertical="center" wrapText="1"/>
    </xf>
    <xf applyFont="1" applyFill="1" applyBorder="1" applyAlignment="1" fontId="27" numFmtId="0" fillId="5" borderId="13" xfId="2">
      <alignment horizontal="center" vertical="center" wrapText="1"/>
    </xf>
    <xf applyNumberFormat="1" applyFont="1" applyFill="1" applyBorder="1" applyAlignment="1" fontId="29" numFmtId="2" fillId="5" borderId="13" xfId="2">
      <alignment horizontal="center" vertical="center" wrapText="1"/>
    </xf>
    <xf applyFont="1" applyFill="1" applyBorder="1" applyAlignment="1" fontId="29" numFmtId="0" fillId="6" borderId="13" xfId="2">
      <alignment horizontal="center" vertical="center" wrapText="1"/>
    </xf>
    <xf applyFont="1" applyFill="1" applyBorder="1" applyAlignment="1" fontId="27" numFmtId="0" fillId="6" borderId="13" xfId="2">
      <alignment horizontal="center" vertical="center" wrapText="1"/>
    </xf>
    <xf applyNumberFormat="1" applyFont="1" applyFill="1" applyBorder="1" applyAlignment="1" fontId="29" numFmtId="2" fillId="6" borderId="13" xfId="2">
      <alignment horizontal="center" vertical="center" wrapText="1"/>
    </xf>
    <xf applyFont="1" applyFill="1" applyBorder="1" applyAlignment="1" fontId="29" numFmtId="0" fillId="7" borderId="13" xfId="2">
      <alignment horizontal="center" vertical="center" wrapText="1"/>
    </xf>
    <xf applyFont="1" applyFill="1" applyBorder="1" applyAlignment="1" fontId="27" numFmtId="0" fillId="7" borderId="13" xfId="2">
      <alignment horizontal="center" vertical="center" wrapText="1"/>
    </xf>
    <xf applyNumberFormat="1" applyFont="1" applyFill="1" applyBorder="1" applyAlignment="1" fontId="29" numFmtId="2" fillId="7" borderId="13" xfId="2">
      <alignment horizontal="center" vertical="center" wrapText="1"/>
    </xf>
    <xf applyNumberFormat="1" applyFont="1" applyFill="1" applyBorder="1" applyAlignment="1" fontId="27" numFmtId="2" fillId="0" borderId="13" xfId="2">
      <alignment horizontal="center" vertical="center" wrapText="1"/>
    </xf>
    <xf applyNumberFormat="1" applyFont="1" applyFill="1" applyBorder="1" applyAlignment="1" fontId="31" numFmtId="2" fillId="0" borderId="13" xfId="2">
      <alignment horizontal="center" vertical="center" wrapText="1"/>
    </xf>
    <xf applyNumberFormat="1" applyFont="1" applyFill="1" applyBorder="1" applyAlignment="1" fontId="29" numFmtId="1" fillId="0" borderId="13" xfId="2">
      <alignment horizontal="center" vertical="center" wrapText="1"/>
    </xf>
    <xf applyFont="1" applyFill="1" applyBorder="1" applyAlignment="1" fontId="27" numFmtId="0" fillId="0" borderId="13" xfId="2">
      <alignment horizontal="center" vertical="center" wrapText="1"/>
    </xf>
    <xf applyNumberFormat="1" applyFont="1" applyFill="1" applyBorder="1" applyAlignment="1" fontId="30" numFmtId="14" fillId="0" borderId="13" xfId="2">
      <alignment horizontal="center" vertical="center" wrapText="1"/>
    </xf>
    <xf applyNumberFormat="1" applyBorder="1" applyAlignment="1" fontId="0" numFmtId="49" fillId="0" borderId="13" xfId="0">
      <alignment horizontal="center"/>
    </xf>
    <xf applyNumberFormat="1" applyAlignment="1" fontId="0" numFmtId="49" fillId="0" borderId="0" xfId="0">
      <alignment horizontal="center"/>
    </xf>
    <xf applyBorder="1" fontId="0" numFmtId="0" fillId="0" borderId="13" xfId="0"/>
    <xf applyAlignment="1" fontId="0" numFmtId="0" fillId="0" borderId="0" xfId="0">
      <alignment horizontal="center"/>
    </xf>
    <xf applyNumberFormat="1" applyFont="1" applyFill="1" applyBorder="1" applyAlignment="1" fontId="0" numFmtId="49" fillId="0" borderId="13" xfId="0">
      <alignment horizontal="left"/>
    </xf>
    <xf applyNumberFormat="1" applyBorder="1" applyAlignment="1" fontId="0" numFmtId="49" fillId="0" borderId="0" xfId="0">
      <alignment horizontal="center"/>
    </xf>
    <xf applyNumberFormat="1" applyFont="1" applyFill="1" applyBorder="1" applyAlignment="1" fontId="0" numFmtId="49" fillId="0" borderId="15" xfId="0">
      <alignment horizontal="left"/>
    </xf>
    <xf applyNumberFormat="1" applyFont="1" applyFill="1" applyBorder="1" applyAlignment="1" fontId="36" numFmtId="164" fillId="0" borderId="0" xfId="0">
      <alignment horizontal="left"/>
    </xf>
    <xf applyNumberFormat="1" applyFont="1" applyFill="1" applyBorder="1" applyAlignment="1" fontId="36" numFmtId="164" fillId="0" borderId="0" xfId="0">
      <alignment horizontal="center"/>
    </xf>
    <xf applyNumberFormat="1" applyFont="1" applyFill="1" applyBorder="1" applyAlignment="1" fontId="3" numFmtId="164" fillId="0" borderId="0" xfId="0">
      <alignment horizontal="left"/>
    </xf>
    <xf applyNumberFormat="1" applyFill="1" applyBorder="1" applyAlignment="1" fontId="0" numFmtId="164" fillId="0" borderId="0" xfId="0">
      <alignment horizontal="center"/>
    </xf>
    <xf applyNumberFormat="1" applyBorder="1" applyAlignment="1" fontId="0" numFmtId="49" fillId="0" borderId="13" xfId="0">
      <alignment horizontal="left" indent="1"/>
    </xf>
    <xf applyNumberFormat="1" applyFont="1" applyBorder="1" fontId="3" numFmtId="49" fillId="0" borderId="13" xfId="0"/>
    <xf applyNumberFormat="1" applyFill="1" applyBorder="1" applyAlignment="1" fontId="0" numFmtId="49" fillId="0" borderId="27" xfId="0">
      <alignment horizontal="left"/>
    </xf>
    <xf applyNumberFormat="1" applyFill="1" applyBorder="1" applyAlignment="1" fontId="0" numFmtId="49" fillId="0" borderId="28" xfId="0">
      <alignment horizontal="left"/>
    </xf>
    <xf applyNumberFormat="1" applyFont="1" applyBorder="1" fontId="37" numFmtId="49" fillId="0" borderId="13" xfId="0"/>
    <xf applyNumberFormat="1" applyFont="1" applyFill="1" applyBorder="1" applyAlignment="1" fontId="37" numFmtId="49" fillId="0" borderId="13" xfId="0">
      <alignment horizontal="center"/>
    </xf>
    <xf applyNumberFormat="1" applyBorder="1" fontId="0" numFmtId="49" fillId="0" borderId="0" xfId="0"/>
    <xf applyNumberFormat="1" applyFont="1" applyBorder="1" fontId="8" numFmtId="49" fillId="0" borderId="0" xfId="0"/>
    <xf applyNumberFormat="1" applyFont="1" applyFill="1" applyBorder="1" applyAlignment="1" fontId="3" numFmtId="49" fillId="0" borderId="13" xfId="0">
      <alignment horizontal="center"/>
    </xf>
    <xf applyNumberFormat="1" applyFont="1" applyFill="1" applyBorder="1" applyAlignment="1" fontId="3" numFmtId="49" fillId="0" borderId="0" xfId="0">
      <alignment horizontal="center"/>
    </xf>
    <xf applyNumberFormat="1" applyFont="1" applyFill="1" applyBorder="1" applyAlignment="1" fontId="0" numFmtId="49" fillId="0" borderId="0" xfId="0">
      <alignment horizontal="left"/>
    </xf>
    <xf applyNumberFormat="1" applyFont="1" applyFill="1" applyBorder="1" applyAlignment="1" fontId="0" numFmtId="49" fillId="0" borderId="13" xfId="0">
      <alignment horizontal="left" indent="1"/>
    </xf>
    <xf applyNumberFormat="1" applyFont="1" applyBorder="1" fontId="37" numFmtId="49" fillId="0" borderId="0" xfId="0"/>
    <xf applyNumberFormat="1" applyFont="1" applyFill="1" applyBorder="1" applyAlignment="1" fontId="4" numFmtId="49" fillId="0" borderId="1" xfId="0">
      <alignment horizontal="center" vertical="center"/>
    </xf>
    <xf applyNumberFormat="1" applyFont="1" applyFill="1" applyBorder="1" fontId="3" numFmtId="49" fillId="0" borderId="0" xfId="0"/>
    <xf applyNumberFormat="1" applyFont="1" applyFill="1" applyBorder="1" fontId="37" numFmtId="49" fillId="0" borderId="0" xfId="0"/>
    <xf applyNumberFormat="1" applyFont="1" applyFill="1" applyBorder="1" applyAlignment="1" fontId="10" numFmtId="49" fillId="0" borderId="0" xfId="0">
      <alignment horizontal="left"/>
    </xf>
    <xf applyNumberFormat="1" applyBorder="1" applyAlignment="1" fontId="0" numFmtId="0" fillId="0" borderId="13" xfId="0">
      <alignment horizontal="center"/>
    </xf>
    <xf applyNumberFormat="1" applyAlignment="1" fontId="0" numFmtId="164" fillId="0" borderId="0" xfId="0">
      <alignment horizontal="center"/>
    </xf>
    <xf applyNumberFormat="1" applyFont="1" applyBorder="1" applyAlignment="1" fontId="3" numFmtId="49" fillId="0" borderId="13" xfId="0">
      <alignment horizontal="center"/>
    </xf>
    <xf applyNumberFormat="1" applyFont="1" applyAlignment="1" fontId="3" numFmtId="49" fillId="0" borderId="0" xfId="0">
      <alignment horizontal="center"/>
    </xf>
    <xf applyNumberFormat="1" applyFont="1" applyBorder="1" applyAlignment="1" fontId="37" numFmtId="49" fillId="0" borderId="13" xfId="0">
      <alignment horizontal="center"/>
    </xf>
    <xf applyFont="1" fontId="3" numFmtId="0" fillId="0" borderId="0" xfId="0"/>
    <xf applyFont="1" applyAlignment="1" fontId="3" numFmtId="0" fillId="0" borderId="0" xfId="0">
      <alignment horizontal="center"/>
    </xf>
    <xf applyNumberFormat="1" applyFont="1" applyBorder="1" applyAlignment="1" fontId="38" numFmtId="49" fillId="0" borderId="13" xfId="0">
      <alignment horizontal="center"/>
    </xf>
    <xf applyNumberFormat="1" applyFont="1" applyBorder="1" fontId="38" numFmtId="49" fillId="0" borderId="13" xfId="0"/>
    <xf applyNumberFormat="1" applyBorder="1" applyAlignment="1" fontId="0" numFmtId="0" fillId="0" borderId="13" xfId="0">
      <alignment horizontal="left"/>
    </xf>
    <xf applyNumberFormat="1" applyAlignment="1" fontId="0" numFmtId="49" fillId="0" borderId="0" xfId="0">
      <alignment horizontal="left"/>
    </xf>
    <xf applyFont="1" applyBorder="1" applyAlignment="1" fontId="3" numFmtId="0" fillId="0" borderId="13" xfId="0">
      <alignment horizontal="center"/>
    </xf>
    <xf applyNumberFormat="1" applyBorder="1" applyAlignment="1" fontId="0" numFmtId="164" fillId="0" borderId="13" xfId="0">
      <alignment horizontal="left"/>
    </xf>
    <xf applyNumberFormat="1" applyAlignment="1" fontId="0" numFmtId="164" fillId="0" borderId="0" xfId="0">
      <alignment horizontal="left"/>
    </xf>
    <xf applyNumberFormat="1" applyFont="1" applyBorder="1" applyAlignment="1" fontId="3" numFmtId="49" fillId="0" borderId="0" xfId="0">
      <alignment horizontal="center"/>
    </xf>
    <xf applyNumberFormat="1" applyBorder="1" applyAlignment="1" fontId="0" numFmtId="0" fillId="0" borderId="0" xfId="0">
      <alignment horizontal="left"/>
    </xf>
    <xf applyNumberFormat="1" applyFont="1" fontId="39" numFmtId="49" fillId="0" borderId="0" xfId="0"/>
    <xf applyNumberFormat="1" applyBorder="1" applyAlignment="1" fontId="0" numFmtId="49" fillId="0" borderId="13" xfId="0">
      <alignment horizontal="left"/>
    </xf>
    <xf applyNumberFormat="1" applyBorder="1" applyAlignment="1" fontId="0" numFmtId="49" fillId="0" borderId="0" xfId="0">
      <alignment horizontal="left"/>
    </xf>
    <xf applyNumberFormat="1" applyFont="1" applyFill="1" applyBorder="1" applyAlignment="1" fontId="4" numFmtId="49" fillId="0" borderId="1" xfId="0">
      <alignment horizontal="center" vertical="center"/>
    </xf>
    <xf applyAlignment="1" fontId="0" numFmtId="0" fillId="0" borderId="0" xfId="0">
      <alignment horizontal="left"/>
    </xf>
    <xf applyFont="1" applyBorder="1" applyAlignment="1" fontId="3" numFmtId="0" fillId="0" borderId="0" xfId="0">
      <alignment horizontal="center"/>
    </xf>
    <xf applyNumberFormat="1" applyFill="1" applyBorder="1" applyAlignment="1" fontId="0" numFmtId="0" fillId="0" borderId="13" xfId="0">
      <alignment horizontal="left"/>
    </xf>
    <xf applyNumberFormat="1" applyFont="1" applyFill="1" applyBorder="1" applyAlignment="1" fontId="38" numFmtId="49" fillId="0" borderId="13" xfId="0">
      <alignment horizontal="center"/>
    </xf>
    <xf applyNumberFormat="1" applyFont="1" applyFill="1" applyBorder="1" applyAlignment="1" fontId="3" numFmtId="164" fillId="0" borderId="0" xfId="0">
      <alignment horizontal="center"/>
    </xf>
    <xf applyNumberFormat="1" applyFont="1" applyFill="1" applyBorder="1" applyAlignment="1" fontId="3" numFmtId="164" fillId="0" borderId="13" xfId="0">
      <alignment horizontal="center"/>
    </xf>
    <xf applyNumberFormat="1" applyFont="1" applyBorder="1" applyAlignment="1" fontId="3" numFmtId="0" fillId="0" borderId="13" xfId="0">
      <alignment horizontal="center"/>
    </xf>
    <xf applyNumberFormat="1" applyFont="1" applyBorder="1" applyAlignment="1" fontId="0" numFmtId="0" fillId="0" borderId="13" xfId="0">
      <alignment horizontal="left"/>
    </xf>
    <xf applyNumberFormat="1" applyFont="1" applyAlignment="1" fontId="0" numFmtId="49" fillId="0" borderId="0" xfId="0">
      <alignment horizontal="left"/>
    </xf>
    <xf applyNumberFormat="1" applyFont="1" applyFill="1" applyBorder="1" applyAlignment="1" fontId="3" numFmtId="49" fillId="0" borderId="15" xfId="0">
      <alignment horizontal="center"/>
    </xf>
    <xf applyNumberFormat="1" applyFill="1" applyBorder="1" applyAlignment="1" fontId="0" numFmtId="0" fillId="0" borderId="15" xfId="0">
      <alignment horizontal="left"/>
    </xf>
    <xf applyNumberFormat="1" applyFont="1" applyFill="1" applyBorder="1" applyAlignment="1" fontId="3" numFmtId="0" fillId="0" borderId="13" xfId="0">
      <alignment horizontal="center"/>
    </xf>
    <xf applyNumberFormat="1" applyFont="1" applyFill="1" applyBorder="1" applyAlignment="1" fontId="3" numFmtId="0" fillId="0" borderId="15" xfId="0">
      <alignment horizontal="center"/>
    </xf>
    <xf applyNumberFormat="1" applyFont="1" applyBorder="1" applyAlignment="1" fontId="4" numFmtId="164" fillId="0" borderId="13" xfId="0">
      <alignment horizontal="center" vertical="center"/>
    </xf>
    <xf applyFont="1" applyFill="1" applyBorder="1" applyAlignment="1" fontId="17" numFmtId="0" fillId="0" borderId="13" xfId="0">
      <alignment horizontal="center" vertical="center"/>
    </xf>
    <xf applyFont="1" applyFill="1" applyBorder="1" applyAlignment="1" fontId="17" numFmtId="0" fillId="0" borderId="13" xfId="0">
      <alignment horizontal="center" vertical="center" wrapText="1"/>
    </xf>
    <xf applyFont="1" applyFill="1" applyBorder="1" applyAlignment="1" fontId="17" numFmtId="0" fillId="8" borderId="13" xfId="0">
      <alignment horizontal="center" vertical="center" wrapText="1"/>
    </xf>
    <xf applyFont="1" applyFill="1" applyBorder="1" applyAlignment="1" fontId="16" numFmtId="0" fillId="0" borderId="13" xfId="0">
      <alignment horizontal="center" vertical="center"/>
    </xf>
    <xf applyFont="1" applyFill="1" applyBorder="1" applyAlignment="1" fontId="16" numFmtId="0" fillId="3" borderId="13" xfId="0">
      <alignment horizontal="center" vertical="center"/>
    </xf>
    <xf applyFont="1" applyFill="1" applyBorder="1" applyAlignment="1" fontId="16" numFmtId="0" fillId="0" borderId="13" xfId="0">
      <alignment horizontal="left" vertical="center" wrapText="1"/>
    </xf>
    <xf applyNumberFormat="1" applyFont="1" applyFill="1" applyBorder="1" applyAlignment="1" fontId="17" numFmtId="14" fillId="0" borderId="13" xfId="0">
      <alignment horizontal="center" vertical="center" wrapText="1"/>
    </xf>
    <xf applyNumberFormat="1" applyFont="1" applyFill="1" applyBorder="1" applyAlignment="1" fontId="16" numFmtId="2" fillId="8" borderId="13" xfId="0">
      <alignment horizontal="center" vertical="center" wrapText="1"/>
    </xf>
    <xf applyFont="1" applyFill="1" applyBorder="1" applyAlignment="1" fontId="22" numFmtId="0" fillId="0" borderId="13" xfId="0">
      <alignment horizontal="center" vertical="center" wrapText="1"/>
    </xf>
    <xf applyFont="1" applyFill="1" applyBorder="1" applyAlignment="1" fontId="23" numFmtId="0" fillId="0" borderId="13" xfId="0">
      <alignment horizontal="center" vertical="center"/>
    </xf>
    <xf applyNumberFormat="1" applyFont="1" applyFill="1" applyBorder="1" applyAlignment="1" fontId="22" numFmtId="2" fillId="0" borderId="13" xfId="0">
      <alignment horizontal="center" vertical="center" wrapText="1"/>
    </xf>
    <xf applyFont="1" applyFill="1" applyBorder="1" applyAlignment="1" fontId="41" numFmtId="0" fillId="3" borderId="13" xfId="0">
      <alignment horizontal="center" vertical="center" wrapText="1"/>
    </xf>
    <xf applyFont="1" applyFill="1" applyBorder="1" applyAlignment="1" fontId="42" numFmtId="0" fillId="2" borderId="13" xfId="0">
      <alignment horizontal="center" vertical="center"/>
    </xf>
    <xf applyFont="1" applyFill="1" applyBorder="1" applyAlignment="1" fontId="18" numFmtId="0" fillId="0" borderId="13" xfId="0">
      <alignment horizontal="center" vertical="center" wrapText="1"/>
    </xf>
    <xf applyFont="1" applyFill="1" applyBorder="1" applyAlignment="1" fontId="16" numFmtId="0" fillId="2" borderId="13" xfId="0">
      <alignment horizontal="center" vertical="center"/>
    </xf>
    <xf applyFont="1" applyFill="1" applyBorder="1" applyAlignment="1" fontId="21" numFmtId="0" fillId="0" borderId="13" xfId="0">
      <alignment horizontal="center" vertical="center" wrapText="1"/>
    </xf>
    <xf applyNumberFormat="1" applyFont="1" applyFill="1" applyBorder="1" applyAlignment="1" fontId="42" numFmtId="49" fillId="4" borderId="13" xfId="0">
      <alignment horizontal="center" vertical="center"/>
    </xf>
    <xf applyNumberFormat="1" applyFont="1" applyFill="1" applyBorder="1" applyAlignment="1" fontId="16" numFmtId="2" fillId="9" borderId="13" xfId="0">
      <alignment horizontal="center" vertical="center" wrapText="1"/>
    </xf>
    <xf applyNumberFormat="1" applyFont="1" applyFill="1" applyBorder="1" applyAlignment="1" fontId="16" numFmtId="2" fillId="0" borderId="13" xfId="0">
      <alignment horizontal="center" vertical="center" wrapText="1"/>
    </xf>
    <xf applyNumberFormat="1" applyFont="1" applyFill="1" applyBorder="1" applyAlignment="1" fontId="42" numFmtId="49" fillId="2" borderId="13" xfId="0">
      <alignment horizontal="center" vertical="center"/>
    </xf>
    <xf applyFont="1" applyFill="1" applyBorder="1" applyAlignment="1" fontId="16" numFmtId="0" fillId="10" borderId="13" xfId="0">
      <alignment horizontal="left" vertical="center" wrapText="1"/>
    </xf>
    <xf applyFill="1" fontId="0" numFmtId="0" fillId="0" borderId="0" xfId="0"/>
    <xf applyNumberFormat="1" applyFont="1" applyAlignment="1" fontId="13" numFmtId="49" fillId="0" borderId="0" xfId="0">
      <alignment horizontal="center" vertical="center"/>
    </xf>
    <xf applyAlignment="1" fontId="0" numFmtId="0" fillId="0" borderId="0" xfId="0">
      <alignment wrapText="1"/>
    </xf>
    <xf applyFont="1" applyBorder="1" applyAlignment="1" fontId="18" numFmtId="0" fillId="0" borderId="13" xfId="0">
      <alignment horizontal="center" vertical="center" wrapText="1"/>
    </xf>
    <xf applyFont="1" applyBorder="1" applyAlignment="1" fontId="17" numFmtId="0" fillId="0" borderId="13" xfId="0">
      <alignment horizontal="center" vertical="center"/>
    </xf>
    <xf applyNumberFormat="1" applyFont="1" applyFill="1" applyBorder="1" applyAlignment="1" fontId="19" numFmtId="49" fillId="0" borderId="13" xfId="2">
      <alignment horizontal="center" vertical="center" wrapText="1"/>
    </xf>
    <xf applyFont="1" applyFill="1" applyAlignment="1" fontId="33" numFmtId="0" fillId="0" borderId="0" xfId="0">
      <alignment horizontal="center" vertical="center" wrapText="1"/>
    </xf>
    <xf applyFont="1" applyFill="1" applyBorder="1" applyAlignment="1" fontId="21" numFmtId="0" fillId="7" borderId="13" xfId="2">
      <alignment horizontal="center" vertical="center" wrapText="1"/>
    </xf>
    <xf applyFont="1" applyFill="1" applyBorder="1" applyAlignment="1" fontId="21" numFmtId="0" fillId="6" borderId="13" xfId="2">
      <alignment horizontal="center" vertical="center" wrapText="1"/>
    </xf>
    <xf applyFont="1" applyFill="1" applyBorder="1" applyAlignment="1" fontId="21" numFmtId="0" fillId="5" borderId="13" xfId="2">
      <alignment horizontal="center" vertical="center" wrapText="1"/>
    </xf>
    <xf applyFont="1" applyFill="1" applyBorder="1" applyAlignment="1" fontId="27" numFmtId="0" fillId="0" borderId="13" xfId="0">
      <alignment vertical="center" wrapText="1"/>
    </xf>
    <xf applyFont="1" applyFill="1" applyBorder="1" applyAlignment="1" fontId="28" numFmtId="0" fillId="0" borderId="13" xfId="0">
      <alignment horizontal="center" vertical="center" wrapText="1"/>
    </xf>
    <xf applyFont="1" applyFill="1" applyBorder="1" applyAlignment="1" fontId="27" numFmtId="0" fillId="0" borderId="13" xfId="0">
      <alignment horizontal="center" vertical="center" wrapText="1"/>
    </xf>
    <xf applyNumberFormat="1" applyFont="1" applyFill="1" applyBorder="1" applyAlignment="1" fontId="29" numFmtId="49" fillId="4" borderId="13" xfId="0">
      <alignment horizontal="center" vertical="center" wrapText="1"/>
    </xf>
    <xf applyFont="1" applyFill="1" applyAlignment="1" fontId="16" numFmtId="0" fillId="0" borderId="0" xfId="0">
      <alignment horizontal="center" vertical="center"/>
    </xf>
    <xf applyFont="1" applyBorder="1" fontId="16" numFmtId="0" fillId="0" borderId="13" xfId="0"/>
    <xf applyFont="1" applyBorder="1" applyAlignment="1" fontId="16" numFmtId="0" fillId="0" borderId="13" xfId="0">
      <alignment horizontal="center" vertical="center" wrapText="1"/>
    </xf>
    <xf applyBorder="1" applyAlignment="1" fontId="0" numFmtId="0" fillId="0" borderId="4" xfId="0"/>
    <xf applyBorder="1" applyAlignment="1" fontId="0" numFmtId="0" fillId="0" borderId="7" xfId="0"/>
    <xf applyNumberFormat="1" applyFont="1" applyFill="1" applyBorder="1" applyAlignment="1" fontId="2" numFmtId="49" fillId="0" borderId="6" xfId="0">
      <alignment vertical="center" wrapText="1"/>
    </xf>
    <xf applyNumberFormat="1" applyFont="1" applyFill="1" applyBorder="1" applyAlignment="1" fontId="2" numFmtId="49" fillId="0" borderId="7" xfId="0">
      <alignment vertical="center" wrapText="1"/>
    </xf>
    <xf applyNumberFormat="1" applyFont="1" applyFill="1" applyBorder="1" fontId="3" numFmtId="49" fillId="3" borderId="13" xfId="0"/>
    <xf applyNumberFormat="1" applyFont="1" applyFill="1" applyBorder="1" applyAlignment="1" fontId="3" numFmtId="49" fillId="3" borderId="13" xfId="0">
      <alignment horizontal="center"/>
    </xf>
    <xf applyNumberFormat="1" applyFont="1" applyFill="1" applyBorder="1" fontId="37" numFmtId="49" fillId="3" borderId="13" xfId="0"/>
    <xf applyNumberFormat="1" applyFill="1" applyBorder="1" fontId="0" numFmtId="49" fillId="0" borderId="0" xfId="0"/>
    <xf applyNumberFormat="1" applyFont="1" applyFill="1" applyBorder="1" fontId="8" numFmtId="49" fillId="0" borderId="13" xfId="0"/>
    <xf applyNumberFormat="1" applyFill="1" fontId="0" numFmtId="49" fillId="0" borderId="0" xfId="0"/>
    <xf applyNumberFormat="1" applyFont="1" applyFill="1" applyBorder="1" applyAlignment="1" fontId="2" numFmtId="49" fillId="0" borderId="0" xfId="0">
      <alignment vertical="center" wrapText="1"/>
    </xf>
    <xf applyNumberFormat="1" applyFont="1" applyFill="1" applyBorder="1" applyAlignment="1" fontId="2" numFmtId="49" fillId="0" borderId="22" xfId="0">
      <alignment vertical="center" wrapText="1"/>
    </xf>
    <xf applyNumberFormat="1" applyFill="1" applyBorder="1" fontId="0" numFmtId="49" fillId="0" borderId="13" xfId="0"/>
    <xf applyNumberFormat="1" applyFill="1" applyAlignment="1" fontId="0" numFmtId="49" fillId="0" borderId="0" xfId="0">
      <alignment horizontal="center"/>
    </xf>
    <xf applyNumberFormat="1" applyFont="1" applyFill="1" applyAlignment="1" fontId="3" numFmtId="49" fillId="0" borderId="0" xfId="0">
      <alignment horizontal="center"/>
    </xf>
    <xf applyNumberFormat="1" applyFont="1" applyFill="1" applyBorder="1" applyAlignment="1" fontId="4" numFmtId="49" fillId="0" borderId="1" xfId="0">
      <alignment vertical="center"/>
    </xf>
    <xf applyNumberFormat="1" applyFont="1" applyFill="1" applyBorder="1" applyAlignment="1" fontId="3" numFmtId="49" fillId="0" borderId="13" xfId="0"/>
    <xf applyNumberFormat="1" applyFill="1" applyAlignment="1" fontId="0" numFmtId="49" fillId="0" borderId="0" xfId="0"/>
    <xf applyNumberFormat="1" applyAlignment="1" fontId="0" numFmtId="49" fillId="0" borderId="0" xfId="0"/>
    <xf applyAlignment="1" fontId="0" numFmtId="0" fillId="0" borderId="0" xfId="0"/>
    <xf applyNumberFormat="1" applyFont="1" applyFill="1" applyBorder="1" applyAlignment="1" fontId="4" numFmtId="49" fillId="0" borderId="1" xfId="0">
      <alignment horizontal="center" vertical="center"/>
    </xf>
    <xf applyNumberFormat="1" applyFont="1" applyBorder="1" applyAlignment="1" fontId="3" numFmtId="164" fillId="0" borderId="13" xfId="0">
      <alignment horizontal="center"/>
    </xf>
    <xf applyNumberFormat="1" applyFont="1" applyAlignment="1" fontId="3" numFmtId="164" fillId="0" borderId="0" xfId="0">
      <alignment horizontal="center"/>
    </xf>
    <xf applyNumberFormat="1" applyBorder="1" applyAlignment="1" fontId="0" numFmtId="164" fillId="0" borderId="13" xfId="0">
      <alignment horizontal="center"/>
    </xf>
    <xf applyFont="1" applyBorder="1" applyAlignment="1" fontId="3" numFmtId="0" fillId="0" borderId="3" xfId="0"/>
    <xf applyFont="1" applyBorder="1" applyAlignment="1" fontId="3" numFmtId="0" fillId="0" borderId="6" xfId="0"/>
    <xf applyNumberFormat="1" applyFont="1" applyFill="1" applyBorder="1" fontId="37" numFmtId="49" fillId="11" borderId="13" xfId="0"/>
    <xf applyNumberFormat="1" applyFont="1" applyBorder="1" applyAlignment="1" fontId="3" numFmtId="164" fillId="0" borderId="0" xfId="0">
      <alignment horizontal="center"/>
    </xf>
    <xf applyNumberFormat="1" applyFont="1" applyFill="1" applyBorder="1" fontId="3" numFmtId="49" fillId="11" borderId="13" xfId="0"/>
    <xf applyNumberFormat="1" fontId="0" numFmtId="164" fillId="0" borderId="0" xfId="0"/>
    <xf applyNumberFormat="1" applyFont="1" applyFill="1" applyAlignment="1" fontId="3" numFmtId="164" fillId="0" borderId="0" xfId="0">
      <alignment horizontal="center"/>
    </xf>
    <xf applyNumberFormat="1" applyFill="1" applyBorder="1" applyAlignment="1" fontId="0" numFmtId="164" fillId="0" borderId="13" xfId="0">
      <alignment horizontal="left"/>
    </xf>
    <xf applyNumberFormat="1" applyFont="1" applyBorder="1" applyAlignment="1" fontId="0" numFmtId="164" fillId="0" borderId="13" xfId="0">
      <alignment horizontal="left"/>
    </xf>
    <xf applyNumberFormat="1" applyFill="1" fontId="0" numFmtId="49" fillId="11" borderId="0" xfId="0"/>
    <xf applyNumberFormat="1" applyFont="1" applyFill="1" applyBorder="1" applyAlignment="1" fontId="6" numFmtId="49" fillId="0" borderId="0" xfId="0">
      <alignment horizontal="left" vertical="top"/>
    </xf>
    <xf applyNumberFormat="1" applyFont="1" applyAlignment="1" fontId="7" numFmtId="49" fillId="0" borderId="0" xfId="0">
      <alignment horizontal="center"/>
    </xf>
    <xf applyNumberFormat="1" applyFont="1" applyFill="1" applyBorder="1" applyAlignment="1" fontId="4" numFmtId="49" fillId="0" borderId="8" xfId="0">
      <alignment horizontal="center" vertical="center"/>
    </xf>
    <xf applyNumberFormat="1" applyFont="1" applyFill="1" applyBorder="1" applyAlignment="1" fontId="4" numFmtId="49" fillId="0" borderId="1" xfId="0">
      <alignment horizontal="center" vertical="center"/>
    </xf>
    <xf applyNumberFormat="1" applyFont="1" applyFill="1" applyBorder="1" applyAlignment="1" fontId="4" numFmtId="49" fillId="0" borderId="11" xfId="0">
      <alignment horizontal="center" vertical="center"/>
    </xf>
    <xf applyNumberFormat="1" applyFont="1" applyFill="1" applyBorder="1" applyAlignment="1" fontId="4" numFmtId="49" fillId="0" borderId="12" xfId="0">
      <alignment horizontal="center" vertical="center"/>
    </xf>
    <xf applyNumberFormat="1" applyFont="1" applyBorder="1" applyAlignment="1" fontId="7" numFmtId="49" fillId="0" borderId="3" xfId="0">
      <alignment horizontal="center"/>
    </xf>
    <xf applyNumberFormat="1" applyFont="1" applyFill="1" applyBorder="1" applyAlignment="1" fontId="4" numFmtId="49" fillId="0" borderId="9" xfId="0">
      <alignment horizontal="center" vertical="center"/>
    </xf>
    <xf applyNumberFormat="1" applyFont="1" applyFill="1" applyBorder="1" applyAlignment="1" fontId="4" numFmtId="49" fillId="0" borderId="10" xfId="0">
      <alignment horizontal="center" vertical="center"/>
    </xf>
    <xf applyNumberFormat="1" applyFont="1" applyFill="1" applyBorder="1" applyAlignment="1" fontId="4" numFmtId="49" fillId="0" borderId="8" xfId="0">
      <alignment horizontal="center" vertical="center" wrapText="1"/>
    </xf>
    <xf applyNumberFormat="1" applyFont="1" applyFill="1" applyBorder="1" applyAlignment="1" fontId="40" numFmtId="164" fillId="0" borderId="23" xfId="0">
      <alignment horizontal="center" vertical="center" wrapText="1"/>
    </xf>
    <xf applyNumberFormat="1" applyFont="1" applyFill="1" applyBorder="1" applyAlignment="1" fontId="40" numFmtId="164" fillId="0" borderId="24" xfId="0">
      <alignment horizontal="center" vertical="center" wrapText="1"/>
    </xf>
    <xf applyNumberFormat="1" applyFont="1" applyFill="1" applyBorder="1" applyAlignment="1" fontId="2" numFmtId="49" fillId="0" borderId="0" xfId="0">
      <alignment horizontal="center" vertical="center" wrapText="1"/>
    </xf>
    <xf fontId="0" numFmtId="0" fillId="0" borderId="0" xfId="0"/>
    <xf applyBorder="1" fontId="0" numFmtId="0" fillId="0" borderId="22" xfId="0"/>
    <xf applyBorder="1" fontId="0" numFmtId="0" fillId="0" borderId="6" xfId="0"/>
    <xf applyBorder="1" fontId="0" numFmtId="0" fillId="0" borderId="7" xfId="0"/>
    <xf applyNumberFormat="1" applyFont="1" applyFill="1" applyBorder="1" applyAlignment="1" fontId="2" numFmtId="49" fillId="0" borderId="22" xfId="0">
      <alignment horizontal="center" vertical="center" wrapText="1"/>
    </xf>
    <xf applyNumberFormat="1" applyFont="1" applyFill="1" applyBorder="1" applyAlignment="1" fontId="2" numFmtId="49" fillId="0" borderId="6" xfId="0">
      <alignment horizontal="center" vertical="center" wrapText="1"/>
    </xf>
    <xf applyNumberFormat="1" applyFont="1" applyFill="1" applyBorder="1" applyAlignment="1" fontId="2" numFmtId="49" fillId="0" borderId="7" xfId="0">
      <alignment horizontal="center" vertical="center" wrapText="1"/>
    </xf>
    <xf applyNumberFormat="1" applyFont="1" applyFill="1" applyBorder="1" applyAlignment="1" fontId="4" numFmtId="164" fillId="0" borderId="8" xfId="0">
      <alignment horizontal="center" vertical="center"/>
    </xf>
    <xf applyNumberFormat="1" applyFont="1" applyFill="1" applyBorder="1" applyAlignment="1" fontId="4" numFmtId="164" fillId="0" borderId="1" xfId="0">
      <alignment horizontal="center" vertical="center"/>
    </xf>
    <xf applyNumberFormat="1" applyFont="1" applyFill="1" applyBorder="1" applyAlignment="1" fontId="4" numFmtId="164" fillId="0" borderId="23" xfId="0">
      <alignment horizontal="center" vertical="center" wrapText="1"/>
    </xf>
    <xf applyNumberFormat="1" applyFont="1" applyFill="1" applyBorder="1" applyAlignment="1" fontId="4" numFmtId="164" fillId="0" borderId="24" xfId="0">
      <alignment horizontal="center" vertical="center" wrapText="1"/>
    </xf>
    <xf applyNumberFormat="1" applyFont="1" applyFill="1" applyBorder="1" applyAlignment="1" fontId="2" numFmtId="49" fillId="0" borderId="2" xfId="0">
      <alignment horizontal="center" vertical="center" wrapText="1"/>
    </xf>
    <xf applyNumberFormat="1" applyFont="1" applyFill="1" applyBorder="1" applyAlignment="1" fontId="2" numFmtId="49" fillId="0" borderId="3" xfId="0">
      <alignment horizontal="center" vertical="center" wrapText="1"/>
    </xf>
    <xf applyNumberFormat="1" applyFont="1" applyFill="1" applyBorder="1" applyAlignment="1" fontId="2" numFmtId="49" fillId="0" borderId="5" xfId="0">
      <alignment horizontal="center" vertical="center" wrapText="1"/>
    </xf>
    <xf applyNumberFormat="1" applyFont="1" applyFill="1" applyBorder="1" applyAlignment="1" fontId="4" numFmtId="164" fillId="0" borderId="23" xfId="0">
      <alignment horizontal="left" vertical="center" wrapText="1"/>
    </xf>
    <xf applyNumberFormat="1" applyFont="1" applyFill="1" applyBorder="1" applyAlignment="1" fontId="4" numFmtId="164" fillId="0" borderId="24" xfId="0">
      <alignment horizontal="left" vertical="center" wrapText="1"/>
    </xf>
    <xf applyNumberFormat="1" applyFont="1" applyFill="1" applyBorder="1" applyAlignment="1" fontId="2" numFmtId="49" fillId="0" borderId="4" xfId="0">
      <alignment horizontal="center" vertical="center" wrapText="1"/>
    </xf>
    <xf applyNumberFormat="1" applyFont="1" applyFill="1" applyBorder="1" applyAlignment="1" fontId="7" numFmtId="49" fillId="0" borderId="0" xfId="0">
      <alignment horizontal="center"/>
    </xf>
    <xf applyNumberFormat="1" applyFont="1" applyFill="1" applyBorder="1" applyAlignment="1" fontId="3" numFmtId="164" fillId="0" borderId="8" xfId="0">
      <alignment horizontal="center" vertical="center"/>
    </xf>
    <xf applyNumberFormat="1" applyFont="1" applyFill="1" applyBorder="1" applyAlignment="1" fontId="3" numFmtId="164" fillId="0" borderId="1" xfId="0">
      <alignment horizontal="center" vertical="center"/>
    </xf>
    <xf applyNumberFormat="1" applyFont="1" applyFill="1" applyBorder="1" applyAlignment="1" fontId="7" numFmtId="49" fillId="0" borderId="3" xfId="0">
      <alignment horizontal="center"/>
    </xf>
    <xf applyNumberFormat="1" applyFont="1" applyFill="1" applyBorder="1" applyAlignment="1" fontId="4" numFmtId="49" fillId="0" borderId="25" xfId="0">
      <alignment horizontal="center" vertical="center"/>
    </xf>
    <xf applyNumberFormat="1" applyFont="1" applyFill="1" applyBorder="1" applyAlignment="1" fontId="4" numFmtId="49" fillId="0" borderId="26" xfId="0">
      <alignment horizontal="center" vertical="center"/>
    </xf>
    <xf applyNumberFormat="1" applyFont="1" applyFill="1" applyBorder="1" applyAlignment="1" fontId="4" numFmtId="49" fillId="0" borderId="23" xfId="0">
      <alignment horizontal="center" vertical="center" wrapText="1"/>
    </xf>
    <xf applyNumberFormat="1" applyFont="1" applyFill="1" applyBorder="1" applyAlignment="1" fontId="4" numFmtId="49" fillId="0" borderId="24" xfId="0">
      <alignment horizontal="center" vertical="center"/>
    </xf>
    <xf applyNumberFormat="1" applyFont="1" applyBorder="1" applyAlignment="1" fontId="7" numFmtId="49" fillId="0" borderId="16" xfId="0">
      <alignment horizontal="center"/>
    </xf>
    <xf applyNumberFormat="1" applyFont="1" applyBorder="1" applyAlignment="1" fontId="7" numFmtId="49" fillId="0" borderId="29" xfId="0">
      <alignment horizontal="center"/>
    </xf>
    <xf applyNumberFormat="1" applyFont="1" applyFill="1" applyBorder="1" applyAlignment="1" fontId="2" numFmtId="49" fillId="0" borderId="3" xfId="0">
      <alignment horizontal="center" vertical="center"/>
    </xf>
    <xf applyNumberFormat="1" applyFont="1" applyFill="1" applyBorder="1" applyAlignment="1" fontId="2" numFmtId="49" fillId="0" borderId="4" xfId="0">
      <alignment horizontal="center" vertical="center"/>
    </xf>
    <xf applyNumberFormat="1" applyFont="1" applyFill="1" applyBorder="1" applyAlignment="1" fontId="2" numFmtId="49" fillId="0" borderId="5" xfId="0">
      <alignment horizontal="center" vertical="center"/>
    </xf>
    <xf applyNumberFormat="1" applyFont="1" applyFill="1" applyBorder="1" applyAlignment="1" fontId="2" numFmtId="49" fillId="0" borderId="6" xfId="0">
      <alignment horizontal="center" vertical="center"/>
    </xf>
    <xf applyNumberFormat="1" applyFont="1" applyFill="1" applyBorder="1" applyAlignment="1" fontId="2" numFmtId="49" fillId="0" borderId="7" xfId="0">
      <alignment horizontal="center" vertical="center"/>
    </xf>
    <xf applyNumberFormat="1" applyFont="1" applyFill="1" applyBorder="1" applyAlignment="1" fontId="4" numFmtId="49" fillId="0" borderId="18" xfId="0">
      <alignment horizontal="center" vertical="center"/>
    </xf>
    <xf applyNumberFormat="1" applyFont="1" applyFill="1" applyBorder="1" applyAlignment="1" fontId="4" numFmtId="49" fillId="0" borderId="16" xfId="0">
      <alignment horizontal="center" vertical="center"/>
    </xf>
    <xf applyNumberFormat="1" applyFont="1" applyFill="1" applyBorder="1" applyAlignment="1" fontId="4" numFmtId="49" fillId="0" borderId="17" xfId="0">
      <alignment horizontal="center" vertical="center"/>
    </xf>
    <xf applyNumberFormat="1" applyFont="1" applyFill="1" applyAlignment="1" fontId="7" numFmtId="49" fillId="0" borderId="0" xfId="0">
      <alignment horizontal="center"/>
    </xf>
    <xf applyFont="1" applyBorder="1" applyAlignment="1" fontId="17" numFmtId="0" fillId="0" borderId="20" xfId="0">
      <alignment horizontal="center" vertical="center" wrapText="1"/>
    </xf>
    <xf applyBorder="1" applyAlignment="1" fontId="0" numFmtId="0" fillId="0" borderId="19" xfId="0">
      <alignment horizontal="center" vertical="center" wrapText="1"/>
    </xf>
    <xf applyFont="1" applyBorder="1" applyAlignment="1" fontId="18" numFmtId="0" fillId="0" borderId="20" xfId="0">
      <alignment horizontal="center" vertical="center" wrapText="1"/>
    </xf>
    <xf applyFont="1" applyBorder="1" applyAlignment="1" fontId="18" numFmtId="0" fillId="0" borderId="19" xfId="0">
      <alignment horizontal="center" vertical="center" wrapText="1"/>
    </xf>
    <xf applyFont="1" applyFill="1" applyBorder="1" applyAlignment="1" fontId="20" numFmtId="0" fillId="0" borderId="20" xfId="0">
      <alignment horizontal="center" vertical="center" wrapText="1"/>
    </xf>
    <xf applyFont="1" applyFill="1" applyBorder="1" applyAlignment="1" fontId="20" numFmtId="0" fillId="0" borderId="21" xfId="0">
      <alignment horizontal="center" vertical="center" wrapText="1"/>
    </xf>
    <xf applyFont="1" applyFill="1" applyBorder="1" applyAlignment="1" fontId="20" numFmtId="0" fillId="0" borderId="19" xfId="0">
      <alignment horizontal="center" vertical="center" wrapText="1"/>
    </xf>
    <xf applyFont="1" applyBorder="1" applyAlignment="1" fontId="20" numFmtId="0" fillId="0" borderId="20" xfId="0">
      <alignment horizontal="center" vertical="center" wrapText="1"/>
    </xf>
    <xf applyBorder="1" applyAlignment="1" fontId="0" numFmtId="0" fillId="0" borderId="21" xfId="0">
      <alignment horizontal="center" vertical="center" wrapText="1"/>
    </xf>
    <xf applyFont="1" applyFill="1" applyBorder="1" applyAlignment="1" fontId="22" numFmtId="0" fillId="0" borderId="13" xfId="0">
      <alignment horizontal="center" vertical="center" wrapText="1"/>
    </xf>
    <xf applyFont="1" applyFill="1" applyBorder="1" applyAlignment="1" fontId="25" numFmtId="0" fillId="0" borderId="13" xfId="0">
      <alignment horizontal="center" vertical="center" wrapText="1"/>
    </xf>
    <xf applyFont="1" applyFill="1" applyBorder="1" applyAlignment="1" fontId="23" numFmtId="0" fillId="0" borderId="13" xfId="0">
      <alignment horizontal="center" vertical="center" wrapText="1"/>
    </xf>
    <xf applyFont="1" applyBorder="1" applyAlignment="1" fontId="24" numFmtId="0" fillId="0" borderId="13" xfId="0">
      <alignment vertical="center" wrapText="1"/>
    </xf>
    <xf applyFont="1" applyFill="1" applyBorder="1" applyAlignment="1" fontId="20" numFmtId="0" fillId="8" borderId="20" xfId="0">
      <alignment horizontal="center" vertical="center" wrapText="1"/>
    </xf>
    <xf applyFont="1" applyFill="1" applyBorder="1" applyAlignment="1" fontId="20" numFmtId="0" fillId="8" borderId="21" xfId="0">
      <alignment horizontal="center" vertical="center" wrapText="1"/>
    </xf>
    <xf applyFont="1" applyFill="1" applyBorder="1" applyAlignment="1" fontId="20" numFmtId="0" fillId="8" borderId="19" xfId="0">
      <alignment horizontal="center" vertical="center" wrapText="1"/>
    </xf>
    <xf applyFont="1" applyFill="1" applyBorder="1" applyAlignment="1" fontId="26" numFmtId="0" fillId="0" borderId="13" xfId="0">
      <alignment horizontal="center" vertical="center" wrapText="1"/>
    </xf>
    <xf applyFont="1" applyFill="1" applyBorder="1" applyAlignment="1" fontId="31" numFmtId="0" fillId="6" borderId="20" xfId="2">
      <alignment horizontal="center" vertical="center" wrapText="1"/>
    </xf>
    <xf applyFont="1" applyBorder="1" applyAlignment="1" fontId="43" numFmtId="0" fillId="0" borderId="21" xfId="0">
      <alignment horizontal="center" vertical="center" wrapText="1"/>
    </xf>
    <xf applyFont="1" applyBorder="1" applyAlignment="1" fontId="43" numFmtId="0" fillId="0" borderId="19" xfId="0">
      <alignment horizontal="center" vertical="center" wrapText="1"/>
    </xf>
    <xf applyFont="1" applyFill="1" applyBorder="1" applyAlignment="1" fontId="32" numFmtId="0" fillId="0" borderId="20" xfId="0">
      <alignment horizontal="center" vertical="center" wrapText="1"/>
    </xf>
    <xf applyFont="1" applyFill="1" applyBorder="1" applyAlignment="1" fontId="32" numFmtId="0" fillId="0" borderId="21" xfId="0">
      <alignment horizontal="center" vertical="center" wrapText="1"/>
    </xf>
    <xf applyFont="1" applyFill="1" applyBorder="1" applyAlignment="1" fontId="32" numFmtId="0" fillId="0" borderId="19" xfId="0">
      <alignment horizontal="center" vertical="center" wrapText="1"/>
    </xf>
    <xf applyFont="1" applyFill="1" applyBorder="1" applyAlignment="1" fontId="34" numFmtId="0" fillId="0" borderId="20" xfId="0">
      <alignment horizontal="center" vertical="center" wrapText="1"/>
    </xf>
    <xf applyFont="1" applyFill="1" applyBorder="1" applyAlignment="1" fontId="34" numFmtId="0" fillId="0" borderId="21" xfId="0">
      <alignment horizontal="center" vertical="center" wrapText="1"/>
    </xf>
    <xf applyFont="1" applyFill="1" applyBorder="1" applyAlignment="1" fontId="34" numFmtId="0" fillId="0" borderId="19" xfId="0">
      <alignment horizontal="center" vertical="center" wrapText="1"/>
    </xf>
    <xf applyFont="1" applyFill="1" applyBorder="1" applyAlignment="1" fontId="26" numFmtId="0" fillId="0" borderId="20" xfId="0">
      <alignment horizontal="center" vertical="center" wrapText="1"/>
    </xf>
    <xf applyFont="1" applyFill="1" applyBorder="1" applyAlignment="1" fontId="26" numFmtId="0" fillId="0" borderId="21" xfId="0">
      <alignment horizontal="center" vertical="center" wrapText="1"/>
    </xf>
    <xf applyFont="1" applyFill="1" applyBorder="1" applyAlignment="1" fontId="26" numFmtId="0" fillId="0" borderId="19" xfId="0">
      <alignment horizontal="center" vertical="center" wrapText="1"/>
    </xf>
    <xf applyFont="1" applyFill="1" applyBorder="1" applyAlignment="1" fontId="21" numFmtId="0" fillId="0" borderId="14" xfId="2">
      <alignment horizontal="center" vertical="center" wrapText="1"/>
    </xf>
    <xf applyFont="1" applyFill="1" applyBorder="1" applyAlignment="1" fontId="21" numFmtId="0" fillId="0" borderId="15" xfId="2">
      <alignment horizontal="center" vertical="center" wrapText="1"/>
    </xf>
    <xf applyNumberFormat="1" applyFont="1" applyFill="1" applyBorder="1" applyAlignment="1" fontId="31" numFmtId="2" fillId="4" borderId="14" xfId="2">
      <alignment horizontal="center" vertical="center" wrapText="1"/>
    </xf>
    <xf applyNumberFormat="1" applyFont="1" applyFill="1" applyBorder="1" applyAlignment="1" fontId="31" numFmtId="2" fillId="4" borderId="15" xfId="2">
      <alignment horizontal="center" vertical="center" wrapText="1"/>
    </xf>
    <xf applyFont="1" applyFill="1" applyBorder="1" applyAlignment="1" fontId="31" numFmtId="0" fillId="7" borderId="20" xfId="2">
      <alignment horizontal="center" vertical="center" wrapText="1"/>
    </xf>
    <xf applyFont="1" applyFill="1" applyBorder="1" applyAlignment="1" fontId="31" numFmtId="0" fillId="5" borderId="20" xfId="2">
      <alignment horizontal="center" vertical="center" wrapText="1"/>
    </xf>
    <xf applyFont="1" applyBorder="1" applyAlignment="1" fontId="20" numFmtId="0" fillId="0" borderId="13" xfId="0">
      <alignment horizontal="center" vertical="center" wrapText="1"/>
    </xf>
    <xf applyBorder="1" applyAlignment="1" fontId="0" numFmtId="0" fillId="0" borderId="13" xfId="0">
      <alignment horizontal="center" vertical="center" wrapText="1"/>
    </xf>
    <xf applyBorder="1" applyAlignment="1" fontId="0" numFmtId="0" fillId="0" borderId="13" xfId="0">
      <alignment horizontal="center" vertical="center"/>
    </xf>
    <xf applyFont="1" applyBorder="1" applyAlignment="1" fontId="16" numFmtId="0" fillId="0" borderId="13" xfId="0">
      <alignment horizontal="center" vertical="center" wrapText="1"/>
    </xf>
    <xf applyFont="1" applyBorder="1" applyAlignment="1" fontId="16" numFmtId="0" fillId="0" borderId="13" xfId="0"/>
  </cellXfs>
  <cellStyles count="4">
    <cellStyle name="Normal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&#65279;<?xml version="1.0" encoding="utf-8" standalone="yes"?><Relationships xmlns="http://schemas.openxmlformats.org/package/2006/relationships"><Relationship Id="flId32" Type="http://schemas.openxmlformats.org/officeDocument/2006/relationships/sharedStrings" Target="sharedStrings.xml" /><Relationship Id="flId34" Type="http://schemas.openxmlformats.org/officeDocument/2006/relationships/theme" Target="theme/theme1.xml" /><Relationship Id="flId33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Relationship Id="flId6" Type="http://schemas.openxmlformats.org/officeDocument/2006/relationships/worksheet" Target="worksheets/sheet6.xml" /><Relationship Id="flId7" Type="http://schemas.openxmlformats.org/officeDocument/2006/relationships/worksheet" Target="worksheets/sheet7.xml" /><Relationship Id="flId8" Type="http://schemas.openxmlformats.org/officeDocument/2006/relationships/worksheet" Target="worksheets/sheet8.xml" /><Relationship Id="flId9" Type="http://schemas.openxmlformats.org/officeDocument/2006/relationships/worksheet" Target="worksheets/sheet9.xml" /><Relationship Id="flId10" Type="http://schemas.openxmlformats.org/officeDocument/2006/relationships/worksheet" Target="worksheets/sheet10.xml" /><Relationship Id="flId11" Type="http://schemas.openxmlformats.org/officeDocument/2006/relationships/worksheet" Target="worksheets/sheet11.xml" /><Relationship Id="flId12" Type="http://schemas.openxmlformats.org/officeDocument/2006/relationships/worksheet" Target="worksheets/sheet12.xml" /><Relationship Id="flId13" Type="http://schemas.openxmlformats.org/officeDocument/2006/relationships/worksheet" Target="worksheets/sheet13.xml" /><Relationship Id="flId14" Type="http://schemas.openxmlformats.org/officeDocument/2006/relationships/worksheet" Target="worksheets/sheet14.xml" /><Relationship Id="flId15" Type="http://schemas.openxmlformats.org/officeDocument/2006/relationships/worksheet" Target="worksheets/sheet15.xml" /><Relationship Id="flId16" Type="http://schemas.openxmlformats.org/officeDocument/2006/relationships/worksheet" Target="worksheets/sheet16.xml" /><Relationship Id="flId17" Type="http://schemas.openxmlformats.org/officeDocument/2006/relationships/worksheet" Target="worksheets/sheet17.xml" /><Relationship Id="flId18" Type="http://schemas.openxmlformats.org/officeDocument/2006/relationships/worksheet" Target="worksheets/sheet18.xml" /><Relationship Id="flId19" Type="http://schemas.openxmlformats.org/officeDocument/2006/relationships/worksheet" Target="worksheets/sheet19.xml" /><Relationship Id="flId20" Type="http://schemas.openxmlformats.org/officeDocument/2006/relationships/worksheet" Target="worksheets/sheet20.xml" /><Relationship Id="flId21" Type="http://schemas.openxmlformats.org/officeDocument/2006/relationships/worksheet" Target="worksheets/sheet21.xml" /><Relationship Id="flId22" Type="http://schemas.openxmlformats.org/officeDocument/2006/relationships/worksheet" Target="worksheets/sheet22.xml" /><Relationship Id="flId23" Type="http://schemas.openxmlformats.org/officeDocument/2006/relationships/worksheet" Target="worksheets/sheet23.xml" /><Relationship Id="flId24" Type="http://schemas.openxmlformats.org/officeDocument/2006/relationships/worksheet" Target="worksheets/sheet24.xml" /><Relationship Id="flId25" Type="http://schemas.openxmlformats.org/officeDocument/2006/relationships/worksheet" Target="worksheets/sheet25.xml" /><Relationship Id="flId26" Type="http://schemas.openxmlformats.org/officeDocument/2006/relationships/worksheet" Target="worksheets/sheet26.xml" /><Relationship Id="flId27" Type="http://schemas.openxmlformats.org/officeDocument/2006/relationships/worksheet" Target="worksheets/sheet27.xml" /><Relationship Id="flId28" Type="http://schemas.openxmlformats.org/officeDocument/2006/relationships/worksheet" Target="worksheets/sheet28.xml" /><Relationship Id="flId29" Type="http://schemas.openxmlformats.org/officeDocument/2006/relationships/worksheet" Target="worksheets/sheet29.xml" /><Relationship Id="flId30" Type="http://schemas.openxmlformats.org/officeDocument/2006/relationships/worksheet" Target="worksheets/sheet30.xml" /><Relationship Id="flId31" Type="http://schemas.openxmlformats.org/officeDocument/2006/relationships/worksheet" Target="worksheets/sheet3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 standalone="yes"?><Relationships xmlns="http://schemas.openxmlformats.org/package/2006/relationships"><Relationship Id="flId1" Type="http://schemas.openxmlformats.org/officeDocument/2006/relationships/vmlDrawing" Target="../drawings/vmlDrawing1.vml" /></Relationships>
</file>

<file path=xl/worksheets/_rels/sheet13.xml.rels>&#65279;<?xml version="1.0" encoding="utf-8" standalone="yes"?><Relationships xmlns="http://schemas.openxmlformats.org/package/2006/relationships"><Relationship Id="flId1" Type="http://schemas.openxmlformats.org/officeDocument/2006/relationships/vmlDrawing" Target="../drawings/vmlDrawing2.vml" /></Relationships>
</file>

<file path=xl/worksheets/_rels/sheet17.xml.rels>&#65279;<?xml version="1.0" encoding="utf-8" standalone="yes"?><Relationships xmlns="http://schemas.openxmlformats.org/package/2006/relationships"><Relationship Id="flId1" Type="http://schemas.openxmlformats.org/officeDocument/2006/relationships/vmlDrawing" Target="../drawings/vmlDrawing3.vml" /></Relationships>
</file>

<file path=xl/worksheets/_rels/sheet19.xml.rels>&#65279;<?xml version="1.0" encoding="utf-8" standalone="yes"?><Relationships xmlns="http://schemas.openxmlformats.org/package/2006/relationships"><Relationship Id="flId1" Type="http://schemas.openxmlformats.org/officeDocument/2006/relationships/vmlDrawing" Target="../drawings/vmlDrawing4.vml" /></Relationships>
</file>

<file path=xl/worksheets/_rels/sheet28.xml.rels>&#65279;<?xml version="1.0" encoding="utf-8" standalone="yes"?><Relationships xmlns="http://schemas.openxmlformats.org/package/2006/relationships"><Relationship Id="flId1" Type="http://schemas.openxmlformats.org/officeDocument/2006/relationships/vmlDrawing" Target="../drawings/vmlDrawing5.v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"/>
  <sheetViews>
    <sheetView topLeftCell="A1" workbookViewId="0">
      <selection activeCell="H39" sqref="H39"/>
    </sheetView>
  </sheetViews>
  <sheetFormatPr defaultColWidth="8.7109375" defaultRowHeight="13"/>
  <cols>
    <col min="1" max="1" width="8.140625" style="85" customWidth="1"/>
    <col min="2" max="2" width="18.5703125" style="15" customWidth="1"/>
    <col min="3" max="3" width="21.42578125" style="15" bestFit="1" customWidth="1"/>
    <col min="4" max="4" width="12.42578125" style="92" customWidth="1"/>
    <col min="5" max="5" width="8.42578125" style="15" bestFit="1" customWidth="1"/>
    <col min="6" max="6" width="10.140625" style="15" customWidth="1"/>
    <col min="7" max="7" width="34.42578125" style="15" customWidth="1"/>
    <col min="8" max="10" width="5.5703125" style="15" bestFit="1" customWidth="1"/>
    <col min="11" max="11" width="4.5703125" style="15" bestFit="1" customWidth="1"/>
    <col min="12" max="14" width="5.5703125" style="15" bestFit="1" customWidth="1"/>
    <col min="15" max="15" width="4.5703125" style="15" bestFit="1" customWidth="1"/>
    <col min="16" max="19" width="5.5703125" style="15" bestFit="1" customWidth="1"/>
    <col min="20" max="20" width="7.85546875" style="85" bestFit="1" customWidth="1"/>
    <col min="21" max="21" width="8.5703125" style="85" bestFit="1" customWidth="1"/>
    <col min="22" max="22" width="15.42578125" style="15" customWidth="1"/>
  </cols>
  <sheetData>
    <row r="1" s="1" customFormat="1" ht="15" customHeight="1">
      <c r="A1" s="200" t="s">
        <v>634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2"/>
    </row>
    <row r="2" s="1" customFormat="1" ht="124" customHeight="1" thickBo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4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198" t="s">
        <v>532</v>
      </c>
      <c r="E3" s="190" t="s">
        <v>9</v>
      </c>
      <c r="F3" s="190" t="s">
        <v>7</v>
      </c>
      <c r="G3" s="190" t="s">
        <v>430</v>
      </c>
      <c r="H3" s="190" t="s">
        <v>1</v>
      </c>
      <c r="I3" s="190"/>
      <c r="J3" s="190"/>
      <c r="K3" s="190"/>
      <c r="L3" s="190" t="s">
        <v>2</v>
      </c>
      <c r="M3" s="190"/>
      <c r="N3" s="190"/>
      <c r="O3" s="190"/>
      <c r="P3" s="190" t="s">
        <v>3</v>
      </c>
      <c r="Q3" s="190"/>
      <c r="R3" s="190"/>
      <c r="S3" s="190"/>
      <c r="T3" s="190" t="s">
        <v>4</v>
      </c>
      <c r="U3" s="190" t="s">
        <v>6</v>
      </c>
      <c r="V3" s="192" t="s">
        <v>5</v>
      </c>
    </row>
    <row r="4" s="2" customFormat="1" ht="21" customHeight="1" thickBot="1">
      <c r="A4" s="196"/>
      <c r="B4" s="196"/>
      <c r="C4" s="191"/>
      <c r="D4" s="199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3">
        <v>1</v>
      </c>
      <c r="Q4" s="3">
        <v>2</v>
      </c>
      <c r="R4" s="3">
        <v>3</v>
      </c>
      <c r="S4" s="3" t="s">
        <v>8</v>
      </c>
      <c r="T4" s="191"/>
      <c r="U4" s="191"/>
      <c r="V4" s="193"/>
    </row>
    <row r="5" ht="16">
      <c r="A5" s="88"/>
      <c r="B5" s="194" t="s">
        <v>10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>
      <c r="A6" s="84" t="s">
        <v>330</v>
      </c>
      <c r="B6" s="16" t="s">
        <v>218</v>
      </c>
      <c r="C6" s="16" t="s">
        <v>219</v>
      </c>
      <c r="D6" s="91">
        <v>55.6</v>
      </c>
      <c r="E6" s="16" t="str">
        <f>"1,1832"</f>
        <v>1,1832</v>
      </c>
      <c r="F6" s="16" t="s">
        <v>14</v>
      </c>
      <c r="G6" s="16" t="s">
        <v>537</v>
      </c>
      <c r="H6" s="158" t="s">
        <v>220</v>
      </c>
      <c r="I6" s="158" t="s">
        <v>221</v>
      </c>
      <c r="J6" s="158" t="s">
        <v>21</v>
      </c>
      <c r="K6" s="69"/>
      <c r="L6" s="90" t="s">
        <v>105</v>
      </c>
      <c r="M6" s="90" t="s">
        <v>15</v>
      </c>
      <c r="N6" s="158" t="s">
        <v>15</v>
      </c>
      <c r="O6" s="69"/>
      <c r="P6" s="158" t="s">
        <v>121</v>
      </c>
      <c r="Q6" s="90" t="s">
        <v>122</v>
      </c>
      <c r="R6" s="90" t="s">
        <v>110</v>
      </c>
      <c r="S6" s="17"/>
      <c r="T6" s="84">
        <v>267.5</v>
      </c>
      <c r="U6" s="84" t="str">
        <f>"316,5060"</f>
        <v>316,5060</v>
      </c>
      <c r="V6" s="16" t="s">
        <v>514</v>
      </c>
    </row>
    <row r="8" ht="16">
      <c r="A8" s="88"/>
      <c r="B8" s="189" t="s">
        <v>106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</row>
    <row r="9">
      <c r="A9" s="84" t="s">
        <v>330</v>
      </c>
      <c r="B9" s="16" t="s">
        <v>222</v>
      </c>
      <c r="C9" s="16" t="s">
        <v>223</v>
      </c>
      <c r="D9" s="91">
        <v>72.6</v>
      </c>
      <c r="E9" s="16" t="str">
        <f>"0,7293"</f>
        <v>0,7293</v>
      </c>
      <c r="F9" s="16" t="s">
        <v>14</v>
      </c>
      <c r="G9" s="16" t="s">
        <v>537</v>
      </c>
      <c r="H9" s="90" t="s">
        <v>41</v>
      </c>
      <c r="I9" s="158" t="s">
        <v>117</v>
      </c>
      <c r="J9" s="90" t="s">
        <v>36</v>
      </c>
      <c r="K9" s="69"/>
      <c r="L9" s="158" t="s">
        <v>21</v>
      </c>
      <c r="M9" s="90" t="s">
        <v>22</v>
      </c>
      <c r="N9" s="90" t="s">
        <v>22</v>
      </c>
      <c r="O9" s="69"/>
      <c r="P9" s="158" t="s">
        <v>66</v>
      </c>
      <c r="Q9" s="158" t="s">
        <v>210</v>
      </c>
      <c r="R9" s="90" t="s">
        <v>68</v>
      </c>
      <c r="S9" s="17"/>
      <c r="T9" s="84">
        <v>450</v>
      </c>
      <c r="U9" s="84" t="str">
        <f>"328,1850"</f>
        <v>328,1850</v>
      </c>
      <c r="V9" s="16" t="s">
        <v>86</v>
      </c>
    </row>
    <row r="11" ht="16">
      <c r="B11" s="189" t="s">
        <v>25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</row>
    <row r="12">
      <c r="A12" s="84" t="s">
        <v>330</v>
      </c>
      <c r="B12" s="16" t="s">
        <v>224</v>
      </c>
      <c r="C12" s="16" t="s">
        <v>225</v>
      </c>
      <c r="D12" s="91">
        <v>79.9</v>
      </c>
      <c r="E12" s="16" t="str">
        <f>"0,6832"</f>
        <v>0,6832</v>
      </c>
      <c r="F12" s="16" t="s">
        <v>72</v>
      </c>
      <c r="G12" s="16" t="s">
        <v>46</v>
      </c>
      <c r="H12" s="158" t="s">
        <v>73</v>
      </c>
      <c r="I12" s="90" t="s">
        <v>41</v>
      </c>
      <c r="J12" s="158" t="s">
        <v>41</v>
      </c>
      <c r="K12" s="69"/>
      <c r="L12" s="158" t="s">
        <v>21</v>
      </c>
      <c r="M12" s="158" t="s">
        <v>122</v>
      </c>
      <c r="N12" s="90" t="s">
        <v>23</v>
      </c>
      <c r="O12" s="69"/>
      <c r="P12" s="158" t="s">
        <v>117</v>
      </c>
      <c r="Q12" s="158" t="s">
        <v>66</v>
      </c>
      <c r="R12" s="158" t="s">
        <v>210</v>
      </c>
      <c r="S12" s="17"/>
      <c r="T12" s="84">
        <v>452.5</v>
      </c>
      <c r="U12" s="84" t="str">
        <f>"309,1480"</f>
        <v>309,1480</v>
      </c>
      <c r="V12" s="16" t="s">
        <v>506</v>
      </c>
    </row>
    <row r="14" ht="16">
      <c r="B14" s="189" t="s">
        <v>30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</row>
    <row r="15">
      <c r="A15" s="84" t="s">
        <v>330</v>
      </c>
      <c r="B15" s="16" t="s">
        <v>226</v>
      </c>
      <c r="C15" s="16" t="s">
        <v>227</v>
      </c>
      <c r="D15" s="91">
        <v>85.1</v>
      </c>
      <c r="E15" s="16" t="str">
        <f>"0,6579"</f>
        <v>0,6579</v>
      </c>
      <c r="F15" s="16" t="s">
        <v>72</v>
      </c>
      <c r="G15" s="16" t="s">
        <v>537</v>
      </c>
      <c r="H15" s="90" t="s">
        <v>29</v>
      </c>
      <c r="I15" s="158" t="s">
        <v>35</v>
      </c>
      <c r="J15" s="158" t="s">
        <v>36</v>
      </c>
      <c r="K15" s="69"/>
      <c r="L15" s="158" t="s">
        <v>21</v>
      </c>
      <c r="M15" s="158" t="s">
        <v>127</v>
      </c>
      <c r="N15" s="158" t="s">
        <v>121</v>
      </c>
      <c r="O15" s="69"/>
      <c r="P15" s="158" t="s">
        <v>36</v>
      </c>
      <c r="Q15" s="158" t="s">
        <v>228</v>
      </c>
      <c r="R15" s="158" t="s">
        <v>189</v>
      </c>
      <c r="S15" s="162"/>
      <c r="T15" s="84">
        <v>467.5</v>
      </c>
      <c r="U15" s="84" t="str">
        <f>"307,5682"</f>
        <v>307,5682</v>
      </c>
      <c r="V15" s="16" t="s">
        <v>506</v>
      </c>
    </row>
    <row r="16">
      <c r="A16" s="84"/>
      <c r="B16" s="16" t="s">
        <v>229</v>
      </c>
      <c r="C16" s="16" t="s">
        <v>230</v>
      </c>
      <c r="D16" s="91">
        <v>89.5</v>
      </c>
      <c r="E16" s="16" t="str">
        <f>"0,6402"</f>
        <v>0,6402</v>
      </c>
      <c r="F16" s="16" t="s">
        <v>72</v>
      </c>
      <c r="G16" s="16" t="s">
        <v>537</v>
      </c>
      <c r="H16" s="158" t="s">
        <v>209</v>
      </c>
      <c r="I16" s="158" t="s">
        <v>189</v>
      </c>
      <c r="J16" s="69"/>
      <c r="K16" s="69"/>
      <c r="L16" s="90" t="s">
        <v>79</v>
      </c>
      <c r="M16" s="90" t="s">
        <v>79</v>
      </c>
      <c r="N16" s="90" t="s">
        <v>79</v>
      </c>
      <c r="O16" s="69"/>
      <c r="P16" s="182"/>
      <c r="Q16" s="182"/>
      <c r="R16" s="182"/>
      <c r="S16" s="182"/>
      <c r="T16" s="84">
        <v>0</v>
      </c>
      <c r="U16" s="84" t="s">
        <v>607</v>
      </c>
      <c r="V16" s="16" t="s">
        <v>441</v>
      </c>
    </row>
    <row r="18" ht="16">
      <c r="B18" s="189" t="s">
        <v>42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</row>
    <row r="19">
      <c r="A19" s="84" t="s">
        <v>330</v>
      </c>
      <c r="B19" s="16" t="s">
        <v>231</v>
      </c>
      <c r="C19" s="16" t="s">
        <v>232</v>
      </c>
      <c r="D19" s="91">
        <v>91.4</v>
      </c>
      <c r="E19" s="16" t="str">
        <f>"0,6335"</f>
        <v>0,6335</v>
      </c>
      <c r="F19" s="16" t="s">
        <v>14</v>
      </c>
      <c r="G19" s="16" t="s">
        <v>537</v>
      </c>
      <c r="H19" s="158" t="s">
        <v>35</v>
      </c>
      <c r="I19" s="158" t="s">
        <v>36</v>
      </c>
      <c r="J19" s="158" t="s">
        <v>209</v>
      </c>
      <c r="K19" s="69"/>
      <c r="L19" s="158" t="s">
        <v>47</v>
      </c>
      <c r="M19" s="158" t="s">
        <v>79</v>
      </c>
      <c r="N19" s="90" t="s">
        <v>48</v>
      </c>
      <c r="O19" s="69"/>
      <c r="P19" s="158" t="s">
        <v>209</v>
      </c>
      <c r="Q19" s="90" t="s">
        <v>189</v>
      </c>
      <c r="R19" s="158" t="s">
        <v>189</v>
      </c>
      <c r="S19" s="17"/>
      <c r="T19" s="84">
        <v>500</v>
      </c>
      <c r="U19" s="84" t="str">
        <f>"316,7500"</f>
        <v>316,7500</v>
      </c>
      <c r="V19" s="16" t="s">
        <v>86</v>
      </c>
    </row>
    <row r="20"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ht="16">
      <c r="B21" s="189" t="s">
        <v>55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</row>
    <row r="22">
      <c r="A22" s="84" t="s">
        <v>330</v>
      </c>
      <c r="B22" s="16" t="s">
        <v>233</v>
      </c>
      <c r="C22" s="16" t="s">
        <v>234</v>
      </c>
      <c r="D22" s="91">
        <v>103.1</v>
      </c>
      <c r="E22" s="16" t="str">
        <f>"0,6015"</f>
        <v>0,6015</v>
      </c>
      <c r="F22" s="16" t="s">
        <v>14</v>
      </c>
      <c r="G22" s="16" t="s">
        <v>537</v>
      </c>
      <c r="H22" s="158" t="s">
        <v>41</v>
      </c>
      <c r="I22" s="90" t="s">
        <v>117</v>
      </c>
      <c r="J22" s="90" t="s">
        <v>66</v>
      </c>
      <c r="K22" s="69"/>
      <c r="L22" s="90" t="s">
        <v>21</v>
      </c>
      <c r="M22" s="158" t="s">
        <v>127</v>
      </c>
      <c r="N22" s="90" t="s">
        <v>121</v>
      </c>
      <c r="O22" s="69"/>
      <c r="P22" s="158" t="s">
        <v>66</v>
      </c>
      <c r="Q22" s="158" t="s">
        <v>210</v>
      </c>
      <c r="R22" s="158" t="s">
        <v>60</v>
      </c>
      <c r="S22" s="17"/>
      <c r="T22" s="84">
        <v>455</v>
      </c>
      <c r="U22" s="84" t="str">
        <f>"273,6825"</f>
        <v>273,6825</v>
      </c>
      <c r="V22" s="16" t="s">
        <v>86</v>
      </c>
    </row>
    <row r="24" ht="16">
      <c r="B24" s="189" t="s">
        <v>74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</row>
    <row r="25">
      <c r="A25" s="84" t="s">
        <v>330</v>
      </c>
      <c r="B25" s="16" t="s">
        <v>193</v>
      </c>
      <c r="C25" s="16" t="s">
        <v>235</v>
      </c>
      <c r="D25" s="99" t="s">
        <v>236</v>
      </c>
      <c r="E25" s="16" t="str">
        <f>"0,5722"</f>
        <v>0,5722</v>
      </c>
      <c r="F25" s="16" t="s">
        <v>14</v>
      </c>
      <c r="G25" s="16" t="s">
        <v>537</v>
      </c>
      <c r="H25" s="90" t="s">
        <v>166</v>
      </c>
      <c r="I25" s="90" t="s">
        <v>167</v>
      </c>
      <c r="J25" s="158" t="s">
        <v>167</v>
      </c>
      <c r="K25" s="69"/>
      <c r="L25" s="158" t="s">
        <v>61</v>
      </c>
      <c r="M25" s="158" t="s">
        <v>237</v>
      </c>
      <c r="N25" s="158" t="s">
        <v>194</v>
      </c>
      <c r="O25" s="69"/>
      <c r="P25" s="158" t="s">
        <v>238</v>
      </c>
      <c r="Q25" s="158" t="s">
        <v>239</v>
      </c>
      <c r="R25" s="158" t="s">
        <v>240</v>
      </c>
      <c r="S25" s="17"/>
      <c r="T25" s="84">
        <v>750</v>
      </c>
      <c r="U25" s="84" t="str">
        <f>"429,1500"</f>
        <v>429,1500</v>
      </c>
      <c r="V25" s="16" t="s">
        <v>86</v>
      </c>
    </row>
    <row r="26">
      <c r="A26" s="96"/>
      <c r="B26" s="71"/>
      <c r="C26" s="71"/>
      <c r="D26" s="100"/>
      <c r="E26" s="71"/>
      <c r="F26" s="71"/>
      <c r="G26" s="71"/>
      <c r="H26" s="77"/>
      <c r="I26" s="77"/>
      <c r="J26" s="79"/>
      <c r="K26" s="80"/>
      <c r="L26" s="79"/>
      <c r="M26" s="79"/>
      <c r="N26" s="79"/>
      <c r="O26" s="80"/>
      <c r="P26" s="79"/>
      <c r="Q26" s="79"/>
      <c r="R26" s="79"/>
      <c r="S26" s="72"/>
      <c r="T26" s="96"/>
      <c r="U26" s="96"/>
      <c r="V26" s="71"/>
    </row>
    <row r="27" ht="14">
      <c r="B27" s="20" t="s">
        <v>528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ht="14">
      <c r="B28" s="19"/>
      <c r="C28" s="20"/>
    </row>
    <row r="29" ht="14">
      <c r="B29" s="21" t="s">
        <v>90</v>
      </c>
      <c r="C29" s="21" t="s">
        <v>91</v>
      </c>
      <c r="D29" s="21" t="s">
        <v>549</v>
      </c>
      <c r="E29" s="21" t="s">
        <v>92</v>
      </c>
      <c r="F29" s="21" t="s">
        <v>93</v>
      </c>
    </row>
    <row r="30">
      <c r="A30" s="85" t="s">
        <v>330</v>
      </c>
      <c r="B30" s="65" t="s">
        <v>193</v>
      </c>
      <c r="C30" s="54" t="s">
        <v>94</v>
      </c>
      <c r="D30" s="84" t="s">
        <v>611</v>
      </c>
      <c r="E30" s="84" t="s">
        <v>241</v>
      </c>
      <c r="F30" s="84" t="s">
        <v>242</v>
      </c>
    </row>
    <row r="31">
      <c r="A31" s="85" t="s">
        <v>331</v>
      </c>
      <c r="B31" s="65" t="s">
        <v>222</v>
      </c>
      <c r="C31" s="54" t="s">
        <v>94</v>
      </c>
      <c r="D31" s="84" t="s">
        <v>612</v>
      </c>
      <c r="E31" s="84" t="s">
        <v>245</v>
      </c>
      <c r="F31" s="84" t="s">
        <v>246</v>
      </c>
    </row>
    <row r="32">
      <c r="A32" s="85" t="s">
        <v>337</v>
      </c>
      <c r="B32" s="65" t="s">
        <v>231</v>
      </c>
      <c r="C32" s="54" t="s">
        <v>94</v>
      </c>
      <c r="D32" s="84" t="s">
        <v>613</v>
      </c>
      <c r="E32" s="84" t="s">
        <v>243</v>
      </c>
      <c r="F32" s="84" t="s">
        <v>244</v>
      </c>
    </row>
    <row r="35">
      <c r="G35" s="15" t="s">
        <v>630</v>
      </c>
    </row>
  </sheetData>
  <mergeCells>
    <mergeCell ref="A1:V2"/>
    <mergeCell ref="A3:A4"/>
    <mergeCell ref="B14:U14"/>
    <mergeCell ref="B18:U18"/>
    <mergeCell ref="B21:U21"/>
    <mergeCell ref="B24:U24"/>
    <mergeCell ref="T3:T4"/>
    <mergeCell ref="U3:U4"/>
    <mergeCell ref="V3:V4"/>
    <mergeCell ref="B5:U5"/>
    <mergeCell ref="B8:U8"/>
    <mergeCell ref="B11:U11"/>
    <mergeCell ref="B3:B4"/>
    <mergeCell ref="C3:C4"/>
    <mergeCell ref="D3:D4"/>
    <mergeCell ref="E3:E4"/>
    <mergeCell ref="F3:F4"/>
    <mergeCell ref="G3:G4"/>
    <mergeCell ref="H3:K3"/>
    <mergeCell ref="L3:O3"/>
    <mergeCell ref="P3:S3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N80"/>
  <sheetViews>
    <sheetView topLeftCell="A18" workbookViewId="0">
      <selection activeCell="G19" sqref="G19"/>
    </sheetView>
  </sheetViews>
  <sheetFormatPr defaultColWidth="8.7109375" defaultRowHeight="13"/>
  <cols>
    <col min="1" max="1" width="9.85546875" style="85" customWidth="1"/>
    <col min="2" max="2" width="22.42578125" style="15" customWidth="1"/>
    <col min="3" max="3" width="25.28515625" style="15" customWidth="1"/>
    <col min="4" max="4" width="12.140625" style="15" customWidth="1"/>
    <col min="5" max="5" width="8.42578125" style="15" bestFit="1" customWidth="1"/>
    <col min="6" max="6" width="11.7109375" style="15" customWidth="1"/>
    <col min="7" max="7" width="34" style="15" customWidth="1"/>
    <col min="8" max="11" width="5.5703125" style="15" bestFit="1" customWidth="1"/>
    <col min="12" max="12" width="7.85546875" style="176" bestFit="1" customWidth="1"/>
    <col min="13" max="13" width="8.5703125" style="85" bestFit="1" customWidth="1"/>
    <col min="14" max="14" width="19.42578125" style="15" customWidth="1"/>
  </cols>
  <sheetData>
    <row r="1" s="1" customFormat="1" ht="15" customHeight="1">
      <c r="A1" s="200" t="s">
        <v>638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5"/>
    </row>
    <row r="2" s="1" customFormat="1" ht="115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208" t="s">
        <v>4</v>
      </c>
      <c r="M3" s="190" t="s">
        <v>6</v>
      </c>
      <c r="N3" s="192" t="s">
        <v>5</v>
      </c>
    </row>
    <row r="4" s="2" customFormat="1" ht="21" customHeight="1" thickBot="1">
      <c r="A4" s="196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209"/>
      <c r="M4" s="191"/>
      <c r="N4" s="193"/>
    </row>
    <row r="5" ht="16">
      <c r="A5" s="88"/>
      <c r="B5" s="194" t="s">
        <v>10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>
      <c r="A6" s="84" t="s">
        <v>330</v>
      </c>
      <c r="B6" s="16" t="s">
        <v>95</v>
      </c>
      <c r="C6" s="16" t="s">
        <v>96</v>
      </c>
      <c r="D6" s="16" t="s">
        <v>97</v>
      </c>
      <c r="E6" s="16" t="str">
        <f>"1,2054"</f>
        <v>1,2054</v>
      </c>
      <c r="F6" s="16" t="s">
        <v>14</v>
      </c>
      <c r="G6" s="16" t="s">
        <v>537</v>
      </c>
      <c r="H6" s="90" t="s">
        <v>98</v>
      </c>
      <c r="I6" s="90" t="s">
        <v>98</v>
      </c>
      <c r="J6" s="90" t="s">
        <v>98</v>
      </c>
      <c r="K6" s="17"/>
      <c r="L6" s="108">
        <v>0</v>
      </c>
      <c r="M6" s="84" t="s">
        <v>607</v>
      </c>
      <c r="N6" s="16" t="s">
        <v>518</v>
      </c>
    </row>
    <row r="8" ht="16">
      <c r="B8" s="189" t="s">
        <v>99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>
      <c r="A9" s="84" t="s">
        <v>330</v>
      </c>
      <c r="B9" s="16" t="s">
        <v>100</v>
      </c>
      <c r="C9" s="16" t="s">
        <v>101</v>
      </c>
      <c r="D9" s="16" t="s">
        <v>102</v>
      </c>
      <c r="E9" s="16" t="str">
        <f>"1,1572"</f>
        <v>1,1572</v>
      </c>
      <c r="F9" s="16" t="s">
        <v>14</v>
      </c>
      <c r="G9" s="16" t="s">
        <v>103</v>
      </c>
      <c r="H9" s="158" t="s">
        <v>104</v>
      </c>
      <c r="I9" s="90" t="s">
        <v>105</v>
      </c>
      <c r="J9" s="158" t="s">
        <v>105</v>
      </c>
      <c r="K9" s="17"/>
      <c r="L9" s="175">
        <v>57.5</v>
      </c>
      <c r="M9" s="84" t="str">
        <f>"66,5390"</f>
        <v>66,5390</v>
      </c>
      <c r="N9" s="16" t="s">
        <v>519</v>
      </c>
    </row>
    <row r="11" ht="16">
      <c r="B11" s="189" t="s">
        <v>106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>
      <c r="A12" s="93">
        <v>1</v>
      </c>
      <c r="B12" s="16" t="s">
        <v>107</v>
      </c>
      <c r="C12" s="16" t="s">
        <v>108</v>
      </c>
      <c r="D12" s="16" t="s">
        <v>109</v>
      </c>
      <c r="E12" s="16" t="str">
        <f>"0,7139"</f>
        <v>0,7139</v>
      </c>
      <c r="F12" s="16" t="s">
        <v>72</v>
      </c>
      <c r="G12" s="16" t="s">
        <v>537</v>
      </c>
      <c r="H12" s="158" t="s">
        <v>22</v>
      </c>
      <c r="I12" s="158" t="s">
        <v>110</v>
      </c>
      <c r="J12" s="90" t="s">
        <v>78</v>
      </c>
      <c r="K12" s="17"/>
      <c r="L12" s="175">
        <v>117.5</v>
      </c>
      <c r="M12" s="84" t="str">
        <f>"83,8833"</f>
        <v>83,8833</v>
      </c>
      <c r="N12" s="16" t="s">
        <v>520</v>
      </c>
    </row>
    <row r="13">
      <c r="A13" s="93">
        <v>1</v>
      </c>
      <c r="B13" s="16" t="s">
        <v>111</v>
      </c>
      <c r="C13" s="16" t="s">
        <v>112</v>
      </c>
      <c r="D13" s="16" t="s">
        <v>113</v>
      </c>
      <c r="E13" s="16" t="str">
        <f>"0,7214"</f>
        <v>0,7214</v>
      </c>
      <c r="F13" s="16" t="s">
        <v>14</v>
      </c>
      <c r="G13" s="16" t="s">
        <v>114</v>
      </c>
      <c r="H13" s="158" t="s">
        <v>115</v>
      </c>
      <c r="I13" s="90" t="s">
        <v>116</v>
      </c>
      <c r="J13" s="158" t="s">
        <v>54</v>
      </c>
      <c r="K13" s="90" t="s">
        <v>117</v>
      </c>
      <c r="L13" s="175">
        <v>157.5</v>
      </c>
      <c r="M13" s="84" t="str">
        <f>"113,6205"</f>
        <v>113,6205</v>
      </c>
      <c r="N13" s="16" t="s">
        <v>86</v>
      </c>
    </row>
    <row r="14">
      <c r="A14" s="93">
        <v>2</v>
      </c>
      <c r="B14" s="16" t="s">
        <v>118</v>
      </c>
      <c r="C14" s="16" t="s">
        <v>119</v>
      </c>
      <c r="D14" s="16" t="s">
        <v>120</v>
      </c>
      <c r="E14" s="16" t="str">
        <f>"0,7307"</f>
        <v>0,7307</v>
      </c>
      <c r="F14" s="16" t="s">
        <v>14</v>
      </c>
      <c r="G14" s="16" t="s">
        <v>537</v>
      </c>
      <c r="H14" s="90" t="s">
        <v>121</v>
      </c>
      <c r="I14" s="158" t="s">
        <v>122</v>
      </c>
      <c r="J14" s="90" t="s">
        <v>110</v>
      </c>
      <c r="K14" s="17"/>
      <c r="L14" s="175">
        <v>112.5</v>
      </c>
      <c r="M14" s="84" t="str">
        <f>"82,2038"</f>
        <v>82,2038</v>
      </c>
      <c r="N14" s="16" t="s">
        <v>86</v>
      </c>
    </row>
    <row r="15">
      <c r="A15" s="93">
        <v>3</v>
      </c>
      <c r="B15" s="16" t="s">
        <v>123</v>
      </c>
      <c r="C15" s="16" t="s">
        <v>124</v>
      </c>
      <c r="D15" s="16" t="s">
        <v>125</v>
      </c>
      <c r="E15" s="16" t="str">
        <f>"0,7146"</f>
        <v>0,7146</v>
      </c>
      <c r="F15" s="16" t="s">
        <v>14</v>
      </c>
      <c r="G15" s="16" t="s">
        <v>126</v>
      </c>
      <c r="H15" s="158" t="s">
        <v>127</v>
      </c>
      <c r="I15" s="158" t="s">
        <v>22</v>
      </c>
      <c r="J15" s="90" t="s">
        <v>110</v>
      </c>
      <c r="K15" s="17"/>
      <c r="L15" s="175">
        <v>110</v>
      </c>
      <c r="M15" s="84" t="str">
        <f>"78,6060"</f>
        <v>78,6060</v>
      </c>
      <c r="N15" s="16" t="s">
        <v>86</v>
      </c>
    </row>
    <row r="16">
      <c r="A16" s="93">
        <v>1</v>
      </c>
      <c r="B16" s="16" t="s">
        <v>111</v>
      </c>
      <c r="C16" s="16" t="s">
        <v>128</v>
      </c>
      <c r="D16" s="16" t="s">
        <v>113</v>
      </c>
      <c r="E16" s="16" t="str">
        <f>"0,7214"</f>
        <v>0,7214</v>
      </c>
      <c r="F16" s="16" t="s">
        <v>14</v>
      </c>
      <c r="G16" s="16" t="s">
        <v>114</v>
      </c>
      <c r="H16" s="158" t="s">
        <v>115</v>
      </c>
      <c r="I16" s="90" t="s">
        <v>116</v>
      </c>
      <c r="J16" s="158" t="s">
        <v>54</v>
      </c>
      <c r="K16" s="90" t="s">
        <v>117</v>
      </c>
      <c r="L16" s="175">
        <v>157.5</v>
      </c>
      <c r="M16" s="84" t="str">
        <f>"113,6205"</f>
        <v>113,6205</v>
      </c>
      <c r="N16" s="16" t="s">
        <v>86</v>
      </c>
    </row>
    <row r="18" ht="16">
      <c r="B18" s="189" t="s">
        <v>25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>
      <c r="A19" s="93">
        <v>1</v>
      </c>
      <c r="B19" s="16" t="s">
        <v>129</v>
      </c>
      <c r="C19" s="16" t="s">
        <v>130</v>
      </c>
      <c r="D19" s="16" t="s">
        <v>131</v>
      </c>
      <c r="E19" s="16" t="str">
        <f>"0,6749"</f>
        <v>0,6749</v>
      </c>
      <c r="F19" s="16" t="s">
        <v>72</v>
      </c>
      <c r="G19" s="16" t="s">
        <v>537</v>
      </c>
      <c r="H19" s="158" t="s">
        <v>115</v>
      </c>
      <c r="I19" s="158" t="s">
        <v>41</v>
      </c>
      <c r="J19" s="158" t="s">
        <v>35</v>
      </c>
      <c r="K19" s="90" t="s">
        <v>117</v>
      </c>
      <c r="L19" s="175">
        <v>160</v>
      </c>
      <c r="M19" s="84" t="str">
        <f>"107,9840"</f>
        <v>107,9840</v>
      </c>
      <c r="N19" s="16" t="s">
        <v>518</v>
      </c>
    </row>
    <row r="20">
      <c r="A20" s="93">
        <v>1</v>
      </c>
      <c r="B20" s="16" t="s">
        <v>132</v>
      </c>
      <c r="C20" s="16" t="s">
        <v>133</v>
      </c>
      <c r="D20" s="16" t="s">
        <v>134</v>
      </c>
      <c r="E20" s="16" t="str">
        <f>"0,6822"</f>
        <v>0,6822</v>
      </c>
      <c r="F20" s="16" t="s">
        <v>14</v>
      </c>
      <c r="G20" s="16" t="s">
        <v>537</v>
      </c>
      <c r="H20" s="158" t="s">
        <v>127</v>
      </c>
      <c r="I20" s="158" t="s">
        <v>23</v>
      </c>
      <c r="J20" s="158" t="s">
        <v>78</v>
      </c>
      <c r="K20" s="17"/>
      <c r="L20" s="175">
        <v>120</v>
      </c>
      <c r="M20" s="84" t="str">
        <f>"81,8640"</f>
        <v>81,8640</v>
      </c>
      <c r="N20" s="16" t="s">
        <v>506</v>
      </c>
    </row>
    <row r="21">
      <c r="A21" s="93"/>
      <c r="B21" s="16" t="s">
        <v>135</v>
      </c>
      <c r="C21" s="16" t="s">
        <v>136</v>
      </c>
      <c r="D21" s="16" t="s">
        <v>137</v>
      </c>
      <c r="E21" s="16" t="str">
        <f>"0,6754"</f>
        <v>0,6754</v>
      </c>
      <c r="F21" s="16" t="s">
        <v>14</v>
      </c>
      <c r="G21" s="16" t="s">
        <v>545</v>
      </c>
      <c r="H21" s="90" t="s">
        <v>79</v>
      </c>
      <c r="I21" s="90" t="s">
        <v>79</v>
      </c>
      <c r="J21" s="90" t="s">
        <v>79</v>
      </c>
      <c r="K21" s="17"/>
      <c r="L21" s="108">
        <v>0</v>
      </c>
      <c r="M21" s="84" t="s">
        <v>607</v>
      </c>
      <c r="N21" s="16" t="s">
        <v>86</v>
      </c>
    </row>
    <row r="23" ht="16">
      <c r="B23" s="189" t="s">
        <v>30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>
      <c r="A24" s="93">
        <v>1</v>
      </c>
      <c r="B24" s="16" t="s">
        <v>138</v>
      </c>
      <c r="C24" s="16" t="s">
        <v>139</v>
      </c>
      <c r="D24" s="16" t="s">
        <v>140</v>
      </c>
      <c r="E24" s="16" t="str">
        <f>"0,6395"</f>
        <v>0,6395</v>
      </c>
      <c r="F24" s="16" t="s">
        <v>141</v>
      </c>
      <c r="G24" s="16" t="s">
        <v>544</v>
      </c>
      <c r="H24" s="158" t="s">
        <v>115</v>
      </c>
      <c r="I24" s="158" t="s">
        <v>53</v>
      </c>
      <c r="J24" s="158" t="s">
        <v>54</v>
      </c>
      <c r="K24" s="90" t="s">
        <v>143</v>
      </c>
      <c r="L24" s="175">
        <v>157.5</v>
      </c>
      <c r="M24" s="84" t="str">
        <f>"100,7213"</f>
        <v>100,7213</v>
      </c>
      <c r="N24" s="16" t="s">
        <v>86</v>
      </c>
    </row>
    <row r="25">
      <c r="A25" s="93">
        <v>1</v>
      </c>
      <c r="B25" s="16" t="s">
        <v>144</v>
      </c>
      <c r="C25" s="16" t="s">
        <v>145</v>
      </c>
      <c r="D25" s="16" t="s">
        <v>146</v>
      </c>
      <c r="E25" s="16" t="str">
        <f>"0,6463"</f>
        <v>0,6463</v>
      </c>
      <c r="F25" s="16" t="s">
        <v>14</v>
      </c>
      <c r="G25" s="16" t="s">
        <v>537</v>
      </c>
      <c r="H25" s="158" t="s">
        <v>121</v>
      </c>
      <c r="I25" s="158" t="s">
        <v>23</v>
      </c>
      <c r="J25" s="158" t="s">
        <v>78</v>
      </c>
      <c r="K25" s="17"/>
      <c r="L25" s="175">
        <v>120</v>
      </c>
      <c r="M25" s="84" t="str">
        <f>"77,5560"</f>
        <v>77,5560</v>
      </c>
      <c r="N25" s="16" t="s">
        <v>86</v>
      </c>
    </row>
    <row r="26">
      <c r="A26" s="93"/>
      <c r="B26" s="16" t="s">
        <v>147</v>
      </c>
      <c r="C26" s="16" t="s">
        <v>148</v>
      </c>
      <c r="D26" s="16" t="s">
        <v>140</v>
      </c>
      <c r="E26" s="16" t="str">
        <f>"0,6395"</f>
        <v>0,6395</v>
      </c>
      <c r="F26" s="16" t="s">
        <v>72</v>
      </c>
      <c r="G26" s="16" t="s">
        <v>537</v>
      </c>
      <c r="H26" s="90" t="s">
        <v>66</v>
      </c>
      <c r="I26" s="90" t="s">
        <v>66</v>
      </c>
      <c r="J26" s="90" t="s">
        <v>66</v>
      </c>
      <c r="K26" s="17"/>
      <c r="L26" s="108">
        <v>0</v>
      </c>
      <c r="M26" s="84" t="s">
        <v>607</v>
      </c>
      <c r="N26" s="16" t="s">
        <v>86</v>
      </c>
    </row>
    <row r="27">
      <c r="A27" s="93">
        <v>1</v>
      </c>
      <c r="B27" s="16" t="s">
        <v>149</v>
      </c>
      <c r="C27" s="16" t="s">
        <v>150</v>
      </c>
      <c r="D27" s="16" t="s">
        <v>151</v>
      </c>
      <c r="E27" s="16" t="str">
        <f>"0,6384"</f>
        <v>0,6384</v>
      </c>
      <c r="F27" s="16" t="s">
        <v>14</v>
      </c>
      <c r="G27" s="16" t="s">
        <v>537</v>
      </c>
      <c r="H27" s="90" t="s">
        <v>48</v>
      </c>
      <c r="I27" s="158" t="s">
        <v>48</v>
      </c>
      <c r="J27" s="158" t="s">
        <v>53</v>
      </c>
      <c r="K27" s="17"/>
      <c r="L27" s="175">
        <v>152.5</v>
      </c>
      <c r="M27" s="84" t="str">
        <f>"97,3560"</f>
        <v>97,3560</v>
      </c>
      <c r="N27" s="16" t="s">
        <v>86</v>
      </c>
    </row>
    <row r="29" ht="16">
      <c r="B29" s="189" t="s">
        <v>42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>
      <c r="A30" s="93">
        <v>1</v>
      </c>
      <c r="B30" s="16" t="s">
        <v>152</v>
      </c>
      <c r="C30" s="16" t="s">
        <v>153</v>
      </c>
      <c r="D30" s="16" t="s">
        <v>154</v>
      </c>
      <c r="E30" s="16" t="str">
        <f>"0,6163"</f>
        <v>0,6163</v>
      </c>
      <c r="F30" s="16" t="s">
        <v>14</v>
      </c>
      <c r="G30" s="16" t="s">
        <v>155</v>
      </c>
      <c r="H30" s="158" t="s">
        <v>80</v>
      </c>
      <c r="I30" s="158" t="s">
        <v>73</v>
      </c>
      <c r="J30" s="158" t="s">
        <v>115</v>
      </c>
      <c r="K30" s="17"/>
      <c r="L30" s="175">
        <v>145</v>
      </c>
      <c r="M30" s="84" t="str">
        <f>"89,3635"</f>
        <v>89,3635</v>
      </c>
      <c r="N30" s="16" t="s">
        <v>86</v>
      </c>
    </row>
    <row r="31">
      <c r="A31" s="93"/>
      <c r="B31" s="16" t="s">
        <v>156</v>
      </c>
      <c r="C31" s="16" t="s">
        <v>157</v>
      </c>
      <c r="D31" s="16" t="s">
        <v>158</v>
      </c>
      <c r="E31" s="16" t="str">
        <f>"0,6131"</f>
        <v>0,6131</v>
      </c>
      <c r="F31" s="16" t="s">
        <v>14</v>
      </c>
      <c r="G31" s="16" t="s">
        <v>540</v>
      </c>
      <c r="H31" s="90" t="s">
        <v>36</v>
      </c>
      <c r="I31" s="90" t="s">
        <v>36</v>
      </c>
      <c r="J31" s="90" t="s">
        <v>36</v>
      </c>
      <c r="K31" s="17"/>
      <c r="L31" s="108">
        <v>0</v>
      </c>
      <c r="M31" s="84" t="s">
        <v>607</v>
      </c>
      <c r="N31" s="16" t="s">
        <v>86</v>
      </c>
    </row>
    <row r="32">
      <c r="A32" s="93">
        <v>1</v>
      </c>
      <c r="B32" s="16" t="s">
        <v>159</v>
      </c>
      <c r="C32" s="16" t="s">
        <v>160</v>
      </c>
      <c r="D32" s="16" t="s">
        <v>161</v>
      </c>
      <c r="E32" s="16" t="str">
        <f>"0,6158"</f>
        <v>0,6158</v>
      </c>
      <c r="F32" s="16" t="s">
        <v>14</v>
      </c>
      <c r="G32" s="16" t="s">
        <v>162</v>
      </c>
      <c r="H32" s="158" t="s">
        <v>41</v>
      </c>
      <c r="I32" s="90" t="s">
        <v>117</v>
      </c>
      <c r="J32" s="90" t="s">
        <v>117</v>
      </c>
      <c r="K32" s="17"/>
      <c r="L32" s="175">
        <v>155</v>
      </c>
      <c r="M32" s="84" t="str">
        <f>"95,4490"</f>
        <v>95,4490</v>
      </c>
      <c r="N32" s="16" t="s">
        <v>508</v>
      </c>
    </row>
    <row r="34" ht="16">
      <c r="B34" s="189" t="s">
        <v>55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>
      <c r="A35" s="93">
        <v>1</v>
      </c>
      <c r="B35" s="16" t="s">
        <v>163</v>
      </c>
      <c r="C35" s="16" t="s">
        <v>164</v>
      </c>
      <c r="D35" s="16" t="s">
        <v>165</v>
      </c>
      <c r="E35" s="16" t="str">
        <f>"0,5984"</f>
        <v>0,5984</v>
      </c>
      <c r="F35" s="7" t="s">
        <v>72</v>
      </c>
      <c r="G35" s="16" t="s">
        <v>537</v>
      </c>
      <c r="H35" s="158" t="s">
        <v>166</v>
      </c>
      <c r="I35" s="90" t="s">
        <v>167</v>
      </c>
      <c r="J35" s="90" t="s">
        <v>168</v>
      </c>
      <c r="K35" s="17"/>
      <c r="L35" s="175">
        <v>230</v>
      </c>
      <c r="M35" s="84" t="str">
        <f>"137,6320"</f>
        <v>137,6320</v>
      </c>
      <c r="N35" s="16" t="s">
        <v>513</v>
      </c>
    </row>
    <row r="36">
      <c r="A36" s="93">
        <v>2</v>
      </c>
      <c r="B36" s="16" t="s">
        <v>169</v>
      </c>
      <c r="C36" s="16" t="s">
        <v>170</v>
      </c>
      <c r="D36" s="16" t="s">
        <v>171</v>
      </c>
      <c r="E36" s="16" t="str">
        <f>"0,5948"</f>
        <v>0,5948</v>
      </c>
      <c r="F36" s="16" t="s">
        <v>14</v>
      </c>
      <c r="G36" s="16" t="s">
        <v>537</v>
      </c>
      <c r="H36" s="158" t="s">
        <v>35</v>
      </c>
      <c r="I36" s="90" t="s">
        <v>172</v>
      </c>
      <c r="J36" s="158" t="s">
        <v>172</v>
      </c>
      <c r="K36" s="17"/>
      <c r="L36" s="175">
        <v>167.5</v>
      </c>
      <c r="M36" s="84" t="str">
        <f>"99,6290"</f>
        <v>99,6290</v>
      </c>
      <c r="N36" s="16" t="s">
        <v>521</v>
      </c>
    </row>
    <row r="37">
      <c r="A37" s="93">
        <v>3</v>
      </c>
      <c r="B37" s="16" t="s">
        <v>173</v>
      </c>
      <c r="C37" s="16" t="s">
        <v>174</v>
      </c>
      <c r="D37" s="16" t="s">
        <v>175</v>
      </c>
      <c r="E37" s="16" t="str">
        <f>"0,5990"</f>
        <v>0,5990</v>
      </c>
      <c r="F37" s="16" t="s">
        <v>14</v>
      </c>
      <c r="G37" s="16" t="s">
        <v>537</v>
      </c>
      <c r="H37" s="158" t="s">
        <v>35</v>
      </c>
      <c r="I37" s="90" t="s">
        <v>172</v>
      </c>
      <c r="J37" s="90" t="s">
        <v>172</v>
      </c>
      <c r="K37" s="17"/>
      <c r="L37" s="175">
        <v>160</v>
      </c>
      <c r="M37" s="84" t="str">
        <f>"95,8400"</f>
        <v>95,8400</v>
      </c>
      <c r="N37" s="16" t="s">
        <v>86</v>
      </c>
    </row>
    <row r="38">
      <c r="A38" s="93">
        <v>4</v>
      </c>
      <c r="B38" s="16" t="s">
        <v>176</v>
      </c>
      <c r="C38" s="16" t="s">
        <v>177</v>
      </c>
      <c r="D38" s="16" t="s">
        <v>178</v>
      </c>
      <c r="E38" s="16" t="str">
        <f>"0,6035"</f>
        <v>0,6035</v>
      </c>
      <c r="F38" s="16" t="s">
        <v>14</v>
      </c>
      <c r="G38" s="16" t="s">
        <v>537</v>
      </c>
      <c r="H38" s="90" t="s">
        <v>73</v>
      </c>
      <c r="I38" s="158" t="s">
        <v>179</v>
      </c>
      <c r="J38" s="158" t="s">
        <v>40</v>
      </c>
      <c r="K38" s="17"/>
      <c r="L38" s="175">
        <v>147.5</v>
      </c>
      <c r="M38" s="84" t="str">
        <f>"89,0163"</f>
        <v>89,0163</v>
      </c>
      <c r="N38" s="16" t="s">
        <v>86</v>
      </c>
    </row>
    <row r="39">
      <c r="A39" s="93">
        <v>5</v>
      </c>
      <c r="B39" s="16" t="s">
        <v>180</v>
      </c>
      <c r="C39" s="16" t="s">
        <v>181</v>
      </c>
      <c r="D39" s="16" t="s">
        <v>182</v>
      </c>
      <c r="E39" s="16" t="str">
        <f>"0,5921"</f>
        <v>0,5921</v>
      </c>
      <c r="F39" s="16" t="s">
        <v>14</v>
      </c>
      <c r="G39" s="16" t="s">
        <v>537</v>
      </c>
      <c r="H39" s="158" t="s">
        <v>79</v>
      </c>
      <c r="I39" s="90" t="s">
        <v>80</v>
      </c>
      <c r="J39" s="90" t="s">
        <v>80</v>
      </c>
      <c r="K39" s="17"/>
      <c r="L39" s="175">
        <v>130</v>
      </c>
      <c r="M39" s="84" t="str">
        <f>"76,9730"</f>
        <v>76,9730</v>
      </c>
      <c r="N39" s="16" t="s">
        <v>508</v>
      </c>
    </row>
    <row r="40">
      <c r="A40" s="84"/>
      <c r="B40" s="16" t="s">
        <v>183</v>
      </c>
      <c r="C40" s="16" t="s">
        <v>184</v>
      </c>
      <c r="D40" s="16" t="s">
        <v>185</v>
      </c>
      <c r="E40" s="16" t="str">
        <f>"0,5926"</f>
        <v>0,5926</v>
      </c>
      <c r="F40" s="16" t="s">
        <v>14</v>
      </c>
      <c r="G40" s="16" t="s">
        <v>537</v>
      </c>
      <c r="H40" s="90" t="s">
        <v>41</v>
      </c>
      <c r="I40" s="90" t="s">
        <v>117</v>
      </c>
      <c r="J40" s="90" t="s">
        <v>117</v>
      </c>
      <c r="K40" s="17"/>
      <c r="L40" s="108">
        <v>0</v>
      </c>
      <c r="M40" s="84" t="s">
        <v>607</v>
      </c>
      <c r="N40" s="16" t="s">
        <v>86</v>
      </c>
    </row>
    <row r="42" ht="16">
      <c r="B42" s="189" t="s">
        <v>74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>
      <c r="A43" s="93">
        <v>1</v>
      </c>
      <c r="B43" s="16" t="s">
        <v>186</v>
      </c>
      <c r="C43" s="16" t="s">
        <v>187</v>
      </c>
      <c r="D43" s="16" t="s">
        <v>188</v>
      </c>
      <c r="E43" s="16" t="str">
        <f>"0,5728"</f>
        <v>0,5728</v>
      </c>
      <c r="F43" s="16" t="s">
        <v>14</v>
      </c>
      <c r="G43" s="16" t="s">
        <v>537</v>
      </c>
      <c r="H43" s="158" t="s">
        <v>189</v>
      </c>
      <c r="I43" s="90" t="s">
        <v>60</v>
      </c>
      <c r="J43" s="90" t="s">
        <v>60</v>
      </c>
      <c r="K43" s="17"/>
      <c r="L43" s="175">
        <v>190</v>
      </c>
      <c r="M43" s="84" t="str">
        <f>"108,8320"</f>
        <v>108,8320</v>
      </c>
      <c r="N43" s="16" t="s">
        <v>86</v>
      </c>
    </row>
    <row r="45" ht="16">
      <c r="B45" s="189" t="s">
        <v>81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</row>
    <row r="46">
      <c r="A46" s="93">
        <v>1</v>
      </c>
      <c r="B46" s="16" t="s">
        <v>190</v>
      </c>
      <c r="C46" s="16" t="s">
        <v>191</v>
      </c>
      <c r="D46" s="16" t="s">
        <v>192</v>
      </c>
      <c r="E46" s="16" t="str">
        <f>"0,5622"</f>
        <v>0,5622</v>
      </c>
      <c r="F46" s="16" t="s">
        <v>14</v>
      </c>
      <c r="G46" s="16" t="s">
        <v>155</v>
      </c>
      <c r="H46" s="158" t="s">
        <v>80</v>
      </c>
      <c r="I46" s="158" t="s">
        <v>115</v>
      </c>
      <c r="J46" s="90" t="s">
        <v>29</v>
      </c>
      <c r="K46" s="17"/>
      <c r="L46" s="175">
        <v>145</v>
      </c>
      <c r="M46" s="84" t="str">
        <f>"87,8775"</f>
        <v>87,8775</v>
      </c>
      <c r="N46" s="16" t="s">
        <v>522</v>
      </c>
    </row>
    <row r="48" ht="14">
      <c r="B48" s="20" t="s">
        <v>528</v>
      </c>
    </row>
    <row r="49" ht="14">
      <c r="B49" s="19"/>
      <c r="C49" s="20"/>
    </row>
    <row r="50" ht="14">
      <c r="B50" s="21" t="s">
        <v>90</v>
      </c>
      <c r="C50" s="21" t="s">
        <v>91</v>
      </c>
      <c r="D50" s="21" t="s">
        <v>549</v>
      </c>
      <c r="E50" s="21" t="s">
        <v>92</v>
      </c>
      <c r="F50" s="21" t="s">
        <v>93</v>
      </c>
    </row>
    <row r="51">
      <c r="A51" s="85" t="s">
        <v>330</v>
      </c>
      <c r="B51" s="65" t="s">
        <v>163</v>
      </c>
      <c r="C51" s="54" t="s">
        <v>94</v>
      </c>
      <c r="D51" s="84" t="s">
        <v>614</v>
      </c>
      <c r="E51" s="84" t="s">
        <v>166</v>
      </c>
      <c r="F51" s="108">
        <v>137.632</v>
      </c>
    </row>
    <row r="52">
      <c r="A52" s="85" t="s">
        <v>331</v>
      </c>
      <c r="B52" s="65" t="s">
        <v>193</v>
      </c>
      <c r="C52" s="54" t="s">
        <v>94</v>
      </c>
      <c r="D52" s="84" t="s">
        <v>611</v>
      </c>
      <c r="E52" s="84" t="s">
        <v>194</v>
      </c>
      <c r="F52" s="108">
        <v>121.5925</v>
      </c>
    </row>
    <row r="53">
      <c r="A53" s="85" t="s">
        <v>337</v>
      </c>
      <c r="B53" s="65" t="s">
        <v>111</v>
      </c>
      <c r="C53" s="54" t="s">
        <v>94</v>
      </c>
      <c r="D53" s="84" t="s">
        <v>612</v>
      </c>
      <c r="E53" s="84" t="s">
        <v>54</v>
      </c>
      <c r="F53" s="108">
        <v>113.6205</v>
      </c>
    </row>
    <row r="54">
      <c r="J54"/>
      <c r="K54"/>
      <c r="M54" s="88"/>
      <c r="N54"/>
    </row>
    <row r="55">
      <c r="J55"/>
      <c r="K55"/>
      <c r="M55" s="88"/>
      <c r="N55"/>
    </row>
    <row r="56">
      <c r="J56"/>
      <c r="K56"/>
      <c r="M56" s="88"/>
      <c r="N56"/>
    </row>
    <row r="57">
      <c r="J57"/>
      <c r="K57"/>
      <c r="M57" s="88"/>
      <c r="N57"/>
    </row>
    <row r="58">
      <c r="J58"/>
      <c r="K58"/>
      <c r="M58" s="88"/>
      <c r="N58"/>
    </row>
    <row r="59">
      <c r="J59"/>
      <c r="K59"/>
      <c r="M59" s="88"/>
      <c r="N59"/>
    </row>
    <row r="60">
      <c r="J60"/>
      <c r="K60"/>
      <c r="M60" s="88"/>
      <c r="N60"/>
    </row>
    <row r="61">
      <c r="J61"/>
      <c r="K61"/>
      <c r="M61" s="88"/>
      <c r="N61"/>
    </row>
    <row r="71">
      <c r="I71"/>
      <c r="J71"/>
      <c r="K71"/>
      <c r="M71" s="88"/>
      <c r="N71"/>
    </row>
    <row r="72">
      <c r="I72"/>
      <c r="J72"/>
      <c r="K72"/>
      <c r="M72" s="88"/>
      <c r="N72"/>
    </row>
    <row r="73">
      <c r="I73"/>
      <c r="J73"/>
      <c r="K73"/>
      <c r="M73" s="88"/>
      <c r="N73"/>
    </row>
    <row r="74">
      <c r="I74"/>
      <c r="J74"/>
      <c r="K74"/>
      <c r="M74" s="88"/>
      <c r="N74"/>
    </row>
    <row r="75">
      <c r="I75"/>
      <c r="J75"/>
      <c r="K75"/>
      <c r="M75" s="88"/>
      <c r="N75"/>
    </row>
    <row r="76">
      <c r="I76"/>
      <c r="J76"/>
      <c r="K76"/>
      <c r="M76" s="88"/>
      <c r="N76"/>
    </row>
    <row r="77">
      <c r="I77"/>
      <c r="J77"/>
      <c r="K77"/>
      <c r="M77" s="88"/>
      <c r="N77"/>
    </row>
    <row r="78">
      <c r="I78"/>
      <c r="J78"/>
      <c r="K78"/>
      <c r="M78" s="88"/>
      <c r="N78"/>
    </row>
    <row r="79">
      <c r="I79"/>
      <c r="J79"/>
      <c r="K79"/>
      <c r="M79" s="88"/>
      <c r="N79"/>
    </row>
    <row r="80">
      <c r="I80"/>
      <c r="J80"/>
      <c r="K80"/>
      <c r="M80" s="88"/>
      <c r="N80"/>
    </row>
  </sheetData>
  <mergeCells>
    <mergeCell ref="A3:A4"/>
    <mergeCell ref="A1:N2"/>
    <mergeCell ref="B45:M45"/>
    <mergeCell ref="L3:L4"/>
    <mergeCell ref="M3:M4"/>
    <mergeCell ref="N3:N4"/>
    <mergeCell ref="B5:M5"/>
    <mergeCell ref="B8:M8"/>
    <mergeCell ref="B11:M11"/>
    <mergeCell ref="B18:M18"/>
    <mergeCell ref="B23:M23"/>
    <mergeCell ref="B29:M29"/>
    <mergeCell ref="B34:M34"/>
    <mergeCell ref="B42:M42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 codeName="Лист5">
    <pageSetUpPr fitToPage="1"/>
  </sheetPr>
  <dimension ref="A1:N53"/>
  <sheetViews>
    <sheetView topLeftCell="A1" workbookViewId="0">
      <selection activeCell="F16" sqref="F16"/>
    </sheetView>
  </sheetViews>
  <sheetFormatPr defaultColWidth="8.7109375" defaultRowHeight="13"/>
  <cols>
    <col min="1" max="1" width="9.85546875" style="85" customWidth="1"/>
    <col min="2" max="2" width="20.140625" style="4" customWidth="1"/>
    <col min="3" max="3" width="24.5703125" style="1" customWidth="1"/>
    <col min="4" max="4" width="12.140625" style="5" customWidth="1"/>
    <col min="5" max="5" width="8.42578125" style="1" bestFit="1" customWidth="1"/>
    <col min="6" max="6" width="11.5703125" style="5" customWidth="1"/>
    <col min="7" max="7" width="33.5703125" style="5" customWidth="1"/>
    <col min="8" max="10" width="5.5703125" style="1" bestFit="1" customWidth="1"/>
    <col min="11" max="11" width="4.5703125" style="1" bestFit="1" customWidth="1"/>
    <col min="12" max="12" width="10" style="106" customWidth="1"/>
    <col min="13" max="13" width="8.5703125" style="74" bestFit="1" customWidth="1"/>
    <col min="14" max="14" width="16.7109375" style="5" customWidth="1"/>
    <col min="15" max="16384" width="8.7109375" style="1"/>
  </cols>
  <sheetData>
    <row r="1" ht="15" customHeight="1">
      <c r="A1" s="200" t="s">
        <v>639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5"/>
    </row>
    <row r="2" ht="115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219" t="s">
        <v>533</v>
      </c>
      <c r="M3" s="190" t="s">
        <v>6</v>
      </c>
      <c r="N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220"/>
      <c r="M4" s="191"/>
      <c r="N4" s="193"/>
    </row>
    <row r="5" ht="16">
      <c r="A5" s="88"/>
      <c r="B5" s="221" t="s">
        <v>10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>
      <c r="A6" s="84" t="s">
        <v>330</v>
      </c>
      <c r="B6" s="58" t="s">
        <v>11</v>
      </c>
      <c r="C6" s="7" t="s">
        <v>12</v>
      </c>
      <c r="D6" s="7" t="s">
        <v>13</v>
      </c>
      <c r="E6" s="6" t="str">
        <f>"0,9250"</f>
        <v>0,9250</v>
      </c>
      <c r="F6" s="7" t="s">
        <v>14</v>
      </c>
      <c r="G6" s="16" t="s">
        <v>537</v>
      </c>
      <c r="H6" s="105" t="s">
        <v>15</v>
      </c>
      <c r="I6" s="159" t="s">
        <v>15</v>
      </c>
      <c r="J6" s="159" t="s">
        <v>16</v>
      </c>
      <c r="K6" s="8"/>
      <c r="L6" s="107">
        <v>70</v>
      </c>
      <c r="M6" s="73" t="str">
        <f>"64,7500"</f>
        <v>64,7500</v>
      </c>
      <c r="N6" s="7" t="s">
        <v>86</v>
      </c>
    </row>
    <row r="8" ht="16">
      <c r="B8" s="218" t="s">
        <v>17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</row>
    <row r="9">
      <c r="A9" s="84" t="s">
        <v>330</v>
      </c>
      <c r="B9" s="58" t="s">
        <v>18</v>
      </c>
      <c r="C9" s="7" t="s">
        <v>19</v>
      </c>
      <c r="D9" s="7" t="s">
        <v>20</v>
      </c>
      <c r="E9" s="6" t="str">
        <f>"0,7813"</f>
        <v>0,7813</v>
      </c>
      <c r="F9" s="7" t="s">
        <v>14</v>
      </c>
      <c r="G9" s="16" t="s">
        <v>537</v>
      </c>
      <c r="H9" s="159" t="s">
        <v>21</v>
      </c>
      <c r="I9" s="159" t="s">
        <v>22</v>
      </c>
      <c r="J9" s="105" t="s">
        <v>23</v>
      </c>
      <c r="K9" s="8"/>
      <c r="L9" s="107" t="str">
        <f>I9</f>
        <v>110,0</v>
      </c>
      <c r="M9" s="73" t="str">
        <f>"85,9430"</f>
        <v>85,9430</v>
      </c>
      <c r="N9" s="7" t="s">
        <v>24</v>
      </c>
    </row>
    <row r="11" ht="16">
      <c r="B11" s="218" t="s">
        <v>25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</row>
    <row r="12">
      <c r="A12" s="93">
        <v>1</v>
      </c>
      <c r="B12" s="58" t="s">
        <v>26</v>
      </c>
      <c r="C12" s="7" t="s">
        <v>27</v>
      </c>
      <c r="D12" s="7" t="s">
        <v>28</v>
      </c>
      <c r="E12" s="6" t="str">
        <f>"0,6769"</f>
        <v>0,6769</v>
      </c>
      <c r="F12" s="7" t="s">
        <v>72</v>
      </c>
      <c r="G12" s="16" t="s">
        <v>537</v>
      </c>
      <c r="H12" s="159" t="s">
        <v>29</v>
      </c>
      <c r="I12" s="8"/>
      <c r="J12" s="8"/>
      <c r="K12" s="8"/>
      <c r="L12" s="107" t="str">
        <f>H12</f>
        <v>150,0</v>
      </c>
      <c r="M12" s="73" t="str">
        <f>"101,5350"</f>
        <v>101,5350</v>
      </c>
      <c r="N12" s="7" t="s">
        <v>86</v>
      </c>
    </row>
    <row r="13">
      <c r="A13" s="103"/>
    </row>
    <row r="14" ht="16">
      <c r="A14" s="103"/>
      <c r="B14" s="218" t="s">
        <v>30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</row>
    <row r="15">
      <c r="A15" s="73" t="s">
        <v>330</v>
      </c>
      <c r="B15" s="58" t="s">
        <v>31</v>
      </c>
      <c r="C15" s="7" t="s">
        <v>32</v>
      </c>
      <c r="D15" s="7" t="s">
        <v>33</v>
      </c>
      <c r="E15" s="6" t="str">
        <f>"0,6619"</f>
        <v>0,6619</v>
      </c>
      <c r="F15" s="7" t="s">
        <v>14</v>
      </c>
      <c r="G15" s="7" t="s">
        <v>34</v>
      </c>
      <c r="H15" s="159" t="s">
        <v>35</v>
      </c>
      <c r="I15" s="159" t="s">
        <v>36</v>
      </c>
      <c r="J15" s="70"/>
      <c r="K15" s="8"/>
      <c r="L15" s="107" t="str">
        <f>I15</f>
        <v>170,0</v>
      </c>
      <c r="M15" s="73" t="str">
        <f>"112,5230"</f>
        <v>112,5230</v>
      </c>
      <c r="N15" s="7" t="s">
        <v>86</v>
      </c>
    </row>
    <row r="16">
      <c r="A16" s="73" t="s">
        <v>331</v>
      </c>
      <c r="B16" s="58" t="s">
        <v>37</v>
      </c>
      <c r="C16" s="7" t="s">
        <v>38</v>
      </c>
      <c r="D16" s="7" t="s">
        <v>39</v>
      </c>
      <c r="E16" s="6" t="str">
        <f>"0,6557"</f>
        <v>0,6557</v>
      </c>
      <c r="F16" s="7" t="s">
        <v>14</v>
      </c>
      <c r="G16" s="7" t="s">
        <v>34</v>
      </c>
      <c r="H16" s="159" t="s">
        <v>40</v>
      </c>
      <c r="I16" s="159" t="s">
        <v>41</v>
      </c>
      <c r="J16" s="105" t="s">
        <v>35</v>
      </c>
      <c r="K16" s="8"/>
      <c r="L16" s="107" t="str">
        <f>I16</f>
        <v>155,0</v>
      </c>
      <c r="M16" s="73" t="str">
        <f>"101,6335"</f>
        <v>101,6335</v>
      </c>
      <c r="N16" s="7" t="s">
        <v>86</v>
      </c>
    </row>
    <row r="18" ht="16">
      <c r="B18" s="218" t="s">
        <v>42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</row>
    <row r="19">
      <c r="A19" s="93">
        <v>1</v>
      </c>
      <c r="B19" s="58" t="s">
        <v>43</v>
      </c>
      <c r="C19" s="7" t="s">
        <v>44</v>
      </c>
      <c r="D19" s="7" t="s">
        <v>45</v>
      </c>
      <c r="E19" s="6" t="str">
        <f>"0,6172"</f>
        <v>0,6172</v>
      </c>
      <c r="F19" s="7" t="s">
        <v>14</v>
      </c>
      <c r="G19" s="7" t="s">
        <v>46</v>
      </c>
      <c r="H19" s="159" t="s">
        <v>47</v>
      </c>
      <c r="I19" s="159" t="s">
        <v>48</v>
      </c>
      <c r="J19" s="159" t="s">
        <v>49</v>
      </c>
      <c r="K19" s="8"/>
      <c r="L19" s="107" t="str">
        <f>J19</f>
        <v>137,5</v>
      </c>
      <c r="M19" s="73" t="str">
        <f>"84,8650"</f>
        <v>84,8650</v>
      </c>
      <c r="N19" s="7" t="s">
        <v>506</v>
      </c>
    </row>
    <row r="20">
      <c r="A20" s="93">
        <v>1</v>
      </c>
      <c r="B20" s="58" t="s">
        <v>50</v>
      </c>
      <c r="C20" s="7" t="s">
        <v>51</v>
      </c>
      <c r="D20" s="7" t="s">
        <v>52</v>
      </c>
      <c r="E20" s="6" t="str">
        <f>"0,6108"</f>
        <v>0,6108</v>
      </c>
      <c r="F20" s="7" t="s">
        <v>72</v>
      </c>
      <c r="G20" s="7" t="s">
        <v>34</v>
      </c>
      <c r="H20" s="159" t="s">
        <v>40</v>
      </c>
      <c r="I20" s="159" t="s">
        <v>53</v>
      </c>
      <c r="J20" s="105" t="s">
        <v>54</v>
      </c>
      <c r="K20" s="8"/>
      <c r="L20" s="107" t="str">
        <f>J20</f>
        <v>157,5</v>
      </c>
      <c r="M20" s="73" t="str">
        <f>"93,6127"</f>
        <v>93,6127</v>
      </c>
      <c r="N20" s="7" t="s">
        <v>86</v>
      </c>
    </row>
    <row r="21">
      <c r="A21" s="103"/>
    </row>
    <row r="22" ht="16">
      <c r="B22" s="218" t="s">
        <v>55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</row>
    <row r="23">
      <c r="A23" s="73" t="s">
        <v>330</v>
      </c>
      <c r="B23" s="58" t="s">
        <v>56</v>
      </c>
      <c r="C23" s="7" t="s">
        <v>57</v>
      </c>
      <c r="D23" s="7" t="s">
        <v>58</v>
      </c>
      <c r="E23" s="6" t="str">
        <f>"0,5976"</f>
        <v>0,5976</v>
      </c>
      <c r="F23" s="7" t="s">
        <v>14</v>
      </c>
      <c r="G23" s="7" t="s">
        <v>59</v>
      </c>
      <c r="H23" s="159" t="s">
        <v>60</v>
      </c>
      <c r="I23" s="159" t="s">
        <v>61</v>
      </c>
      <c r="J23" s="105" t="s">
        <v>62</v>
      </c>
      <c r="K23" s="8"/>
      <c r="L23" s="107" t="str">
        <f>I23</f>
        <v>200,0</v>
      </c>
      <c r="M23" s="73" t="str">
        <f>"119,5200"</f>
        <v>119,5200</v>
      </c>
      <c r="N23" s="7" t="s">
        <v>523</v>
      </c>
    </row>
    <row r="24">
      <c r="A24" s="73" t="s">
        <v>331</v>
      </c>
      <c r="B24" s="58" t="s">
        <v>63</v>
      </c>
      <c r="C24" s="7" t="s">
        <v>64</v>
      </c>
      <c r="D24" s="7" t="s">
        <v>65</v>
      </c>
      <c r="E24" s="6" t="str">
        <f>"0,5966"</f>
        <v>0,5966</v>
      </c>
      <c r="F24" s="7" t="s">
        <v>141</v>
      </c>
      <c r="G24" s="7" t="s">
        <v>546</v>
      </c>
      <c r="H24" s="105" t="s">
        <v>66</v>
      </c>
      <c r="I24" s="159" t="s">
        <v>67</v>
      </c>
      <c r="J24" s="105" t="s">
        <v>68</v>
      </c>
      <c r="K24" s="8"/>
      <c r="L24" s="107" t="str">
        <f>I24</f>
        <v>177,5</v>
      </c>
      <c r="M24" s="73" t="str">
        <f>"105,8965"</f>
        <v>105,8965</v>
      </c>
      <c r="N24" s="7" t="s">
        <v>86</v>
      </c>
    </row>
    <row r="25">
      <c r="A25" s="73" t="s">
        <v>330</v>
      </c>
      <c r="B25" s="58" t="s">
        <v>69</v>
      </c>
      <c r="C25" s="7" t="s">
        <v>70</v>
      </c>
      <c r="D25" s="7" t="s">
        <v>71</v>
      </c>
      <c r="E25" s="6" t="str">
        <f>"0,6024"</f>
        <v>0,6024</v>
      </c>
      <c r="F25" s="7" t="s">
        <v>72</v>
      </c>
      <c r="G25" s="16" t="s">
        <v>537</v>
      </c>
      <c r="H25" s="159" t="s">
        <v>47</v>
      </c>
      <c r="I25" s="159" t="s">
        <v>49</v>
      </c>
      <c r="J25" s="159" t="s">
        <v>73</v>
      </c>
      <c r="K25" s="8"/>
      <c r="L25" s="107" t="str">
        <f>I25</f>
        <v>137,5</v>
      </c>
      <c r="M25" s="73" t="str">
        <f>"118,9138"</f>
        <v>118,9138</v>
      </c>
      <c r="N25" s="7" t="s">
        <v>518</v>
      </c>
    </row>
    <row r="26">
      <c r="A26" s="103"/>
    </row>
    <row r="27" ht="16">
      <c r="A27" s="103"/>
      <c r="B27" s="218" t="s">
        <v>74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</row>
    <row r="28">
      <c r="A28" s="93">
        <v>1</v>
      </c>
      <c r="B28" s="58" t="s">
        <v>75</v>
      </c>
      <c r="C28" s="7" t="s">
        <v>76</v>
      </c>
      <c r="D28" s="7" t="s">
        <v>77</v>
      </c>
      <c r="E28" s="6" t="str">
        <f>"0,5721"</f>
        <v>0,5721</v>
      </c>
      <c r="F28" s="7" t="s">
        <v>14</v>
      </c>
      <c r="G28" s="7" t="s">
        <v>34</v>
      </c>
      <c r="H28" s="159" t="s">
        <v>78</v>
      </c>
      <c r="I28" s="159" t="s">
        <v>79</v>
      </c>
      <c r="J28" s="105" t="s">
        <v>80</v>
      </c>
      <c r="K28" s="8"/>
      <c r="L28" s="107" t="str">
        <f>I28</f>
        <v>130,0</v>
      </c>
      <c r="M28" s="73" t="str">
        <f>"75,4142"</f>
        <v>75,4142</v>
      </c>
      <c r="N28" s="7" t="s">
        <v>524</v>
      </c>
    </row>
    <row r="30" ht="16">
      <c r="A30" s="103"/>
      <c r="B30" s="218" t="s">
        <v>81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</row>
    <row r="31">
      <c r="A31" s="93">
        <v>1</v>
      </c>
      <c r="B31" s="58" t="s">
        <v>82</v>
      </c>
      <c r="C31" s="7" t="s">
        <v>83</v>
      </c>
      <c r="D31" s="7" t="s">
        <v>84</v>
      </c>
      <c r="E31" s="6" t="str">
        <f>"0,5589"</f>
        <v>0,5589</v>
      </c>
      <c r="F31" s="7" t="s">
        <v>14</v>
      </c>
      <c r="G31" s="16" t="s">
        <v>537</v>
      </c>
      <c r="H31" s="159" t="s">
        <v>60</v>
      </c>
      <c r="I31" s="159" t="s">
        <v>62</v>
      </c>
      <c r="J31" s="105" t="s">
        <v>85</v>
      </c>
      <c r="K31" s="8"/>
      <c r="L31" s="107" t="str">
        <f>I31</f>
        <v>205,0</v>
      </c>
      <c r="M31" s="73" t="str">
        <f>"114,5745"</f>
        <v>114,5745</v>
      </c>
      <c r="N31" s="7" t="s">
        <v>86</v>
      </c>
    </row>
    <row r="33" ht="14">
      <c r="B33" s="81" t="s">
        <v>528</v>
      </c>
      <c r="K33" s="4"/>
      <c r="N33" s="1"/>
    </row>
    <row r="34" ht="14">
      <c r="B34" s="12"/>
      <c r="C34" s="13"/>
      <c r="K34" s="4"/>
      <c r="N34" s="1"/>
    </row>
    <row r="35" ht="14">
      <c r="B35" s="14" t="s">
        <v>90</v>
      </c>
      <c r="C35" s="14" t="s">
        <v>91</v>
      </c>
      <c r="D35" s="14" t="s">
        <v>549</v>
      </c>
      <c r="E35" s="14" t="s">
        <v>92</v>
      </c>
      <c r="F35" s="14" t="s">
        <v>93</v>
      </c>
      <c r="K35" s="4"/>
      <c r="N35" s="1"/>
    </row>
    <row r="36">
      <c r="A36" s="85" t="s">
        <v>330</v>
      </c>
      <c r="B36" s="76" t="s">
        <v>56</v>
      </c>
      <c r="C36" s="6" t="s">
        <v>94</v>
      </c>
      <c r="D36" s="73" t="s">
        <v>614</v>
      </c>
      <c r="E36" s="73" t="s">
        <v>61</v>
      </c>
      <c r="F36" s="113">
        <v>119.52</v>
      </c>
      <c r="K36" s="4"/>
      <c r="N36" s="1"/>
    </row>
    <row r="37">
      <c r="A37" s="85" t="s">
        <v>331</v>
      </c>
      <c r="B37" s="76" t="s">
        <v>82</v>
      </c>
      <c r="C37" s="6" t="s">
        <v>94</v>
      </c>
      <c r="D37" s="73" t="s">
        <v>615</v>
      </c>
      <c r="E37" s="73" t="s">
        <v>62</v>
      </c>
      <c r="F37" s="113">
        <v>114.5745</v>
      </c>
      <c r="K37" s="4"/>
      <c r="N37" s="1"/>
    </row>
    <row r="38">
      <c r="A38" s="85" t="s">
        <v>337</v>
      </c>
      <c r="B38" s="76" t="s">
        <v>31</v>
      </c>
      <c r="C38" s="6" t="s">
        <v>94</v>
      </c>
      <c r="D38" s="73" t="s">
        <v>616</v>
      </c>
      <c r="E38" s="73" t="s">
        <v>36</v>
      </c>
      <c r="F38" s="113">
        <v>112.523</v>
      </c>
      <c r="K38" s="4"/>
      <c r="N38" s="1"/>
    </row>
    <row r="39">
      <c r="B39" s="5"/>
      <c r="D39" s="1"/>
      <c r="F39" s="4"/>
      <c r="G39" s="62"/>
      <c r="H39" s="5"/>
      <c r="L39" s="74"/>
      <c r="N39" s="1"/>
    </row>
    <row r="40">
      <c r="B40" s="5"/>
      <c r="D40" s="1"/>
      <c r="F40" s="1"/>
      <c r="G40" s="61"/>
      <c r="I40" s="5"/>
      <c r="L40" s="74"/>
      <c r="N40" s="1"/>
    </row>
    <row r="41">
      <c r="B41" s="5"/>
      <c r="D41" s="1"/>
      <c r="F41" s="1"/>
      <c r="G41" s="61"/>
      <c r="I41" s="5"/>
      <c r="L41" s="74"/>
      <c r="N41" s="1"/>
    </row>
    <row r="42">
      <c r="B42" s="5"/>
      <c r="D42" s="1"/>
      <c r="F42" s="1"/>
      <c r="G42" s="61"/>
      <c r="I42" s="5"/>
      <c r="L42" s="74"/>
      <c r="N42" s="1"/>
    </row>
    <row r="43">
      <c r="B43" s="5"/>
      <c r="D43" s="1"/>
      <c r="F43" s="1"/>
      <c r="G43" s="61"/>
      <c r="I43" s="5"/>
      <c r="L43" s="74"/>
      <c r="N43" s="1"/>
    </row>
    <row r="45">
      <c r="A45" s="74"/>
      <c r="B45" s="1"/>
      <c r="D45" s="1"/>
      <c r="E45" s="61"/>
      <c r="F45" s="1"/>
      <c r="L45" s="74"/>
      <c r="N45" s="1"/>
    </row>
    <row r="46">
      <c r="A46" s="74"/>
      <c r="B46" s="1"/>
      <c r="D46" s="1"/>
      <c r="E46" s="61"/>
      <c r="F46" s="1"/>
      <c r="L46" s="74"/>
      <c r="N46" s="1"/>
    </row>
    <row r="47">
      <c r="A47" s="74"/>
      <c r="B47" s="1"/>
      <c r="D47" s="1"/>
      <c r="E47" s="61"/>
      <c r="F47" s="1"/>
      <c r="L47" s="74"/>
      <c r="N47" s="1"/>
    </row>
    <row r="48">
      <c r="A48" s="74"/>
      <c r="B48" s="1"/>
      <c r="D48" s="1"/>
      <c r="E48" s="61"/>
      <c r="F48" s="1"/>
      <c r="L48" s="74"/>
      <c r="N48" s="1"/>
    </row>
    <row r="49">
      <c r="A49" s="74"/>
      <c r="B49" s="1"/>
      <c r="D49" s="1"/>
      <c r="E49" s="61"/>
      <c r="F49" s="1"/>
      <c r="L49" s="74"/>
      <c r="N49" s="1"/>
    </row>
    <row r="50">
      <c r="A50" s="74"/>
      <c r="B50" s="1"/>
      <c r="D50" s="1"/>
      <c r="E50" s="61"/>
      <c r="F50" s="1"/>
      <c r="L50" s="74"/>
      <c r="N50" s="1"/>
    </row>
    <row r="51">
      <c r="A51" s="74"/>
      <c r="B51" s="1"/>
      <c r="D51" s="1"/>
      <c r="E51" s="61"/>
      <c r="F51" s="1"/>
      <c r="L51" s="74"/>
      <c r="N51" s="1"/>
    </row>
    <row r="52">
      <c r="A52" s="74"/>
      <c r="B52" s="1"/>
      <c r="D52" s="1"/>
      <c r="E52" s="61"/>
      <c r="F52" s="1"/>
      <c r="L52" s="74"/>
      <c r="N52" s="1"/>
    </row>
    <row r="53">
      <c r="A53" s="74"/>
      <c r="B53" s="1"/>
      <c r="D53" s="1"/>
      <c r="E53" s="61"/>
      <c r="F53" s="1"/>
      <c r="L53" s="74"/>
      <c r="N53" s="1"/>
    </row>
  </sheetData>
  <mergeCells>
    <mergeCell ref="A3:A4"/>
    <mergeCell ref="A1:N2"/>
    <mergeCell ref="B14:M14"/>
    <mergeCell ref="B18:M18"/>
    <mergeCell ref="B22:M22"/>
    <mergeCell ref="N3:N4"/>
    <mergeCell ref="B27:M27"/>
    <mergeCell ref="B30:M30"/>
    <mergeCell ref="B11:M11"/>
    <mergeCell ref="E3:E4"/>
    <mergeCell ref="L3:L4"/>
    <mergeCell ref="M3:M4"/>
    <mergeCell ref="H3:K3"/>
    <mergeCell ref="B3:B4"/>
    <mergeCell ref="C3:C4"/>
    <mergeCell ref="D3:D4"/>
    <mergeCell ref="G3:G4"/>
    <mergeCell ref="F3:F4"/>
    <mergeCell ref="B5:M5"/>
    <mergeCell ref="B8:M8"/>
  </mergeCells>
  <pageMargins left="0.196850393700787" right="0.47244094488189" top="0.433070866141732" bottom="0.47244094488189" header="0.511811023622047" footer="0.511811023622047"/>
  <pageSetup scale="58" fitToHeight="100" orientation="landscape" horizontalDpi="300" verticalDpi="300"/>
  <headerFooter alignWithMargins="0">
    <oddFooter>&amp;L&amp;G&amp;R&amp;D&amp;T&amp;P</oddFooter>
  </headerFooter>
  <legacyDrawingHF r:id="fl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L37"/>
  <sheetViews>
    <sheetView topLeftCell="A1" workbookViewId="0">
      <selection activeCell="F15" sqref="F15"/>
    </sheetView>
  </sheetViews>
  <sheetFormatPr defaultColWidth="8.7109375" defaultRowHeight="13"/>
  <cols>
    <col min="1" max="1" width="9.85546875" style="85" customWidth="1"/>
    <col min="2" max="2" width="22.85546875" style="15" customWidth="1"/>
    <col min="3" max="3" width="24.140625" style="15" customWidth="1"/>
    <col min="4" max="4" width="10.5703125" style="15" bestFit="1" customWidth="1"/>
    <col min="5" max="5" width="8.42578125" style="15" bestFit="1" customWidth="1"/>
    <col min="6" max="6" width="20.140625" style="15" customWidth="1"/>
    <col min="7" max="7" width="27.28515625" style="15" customWidth="1"/>
    <col min="8" max="8" width="5.5703125" style="22" bestFit="1" customWidth="1"/>
    <col min="9" max="9" width="9.5703125" style="85" bestFit="1" customWidth="1"/>
    <col min="10" max="10" width="10.140625" style="176" customWidth="1"/>
    <col min="11" max="11" width="9.5703125" style="22" bestFit="1" customWidth="1"/>
    <col min="12" max="12" width="17" style="15" bestFit="1" customWidth="1"/>
  </cols>
  <sheetData>
    <row r="1" s="1" customFormat="1" ht="15" customHeight="1">
      <c r="A1" s="200" t="s">
        <v>650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5"/>
    </row>
    <row r="2" s="1" customFormat="1" ht="121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336</v>
      </c>
      <c r="F3" s="190" t="s">
        <v>7</v>
      </c>
      <c r="G3" s="190" t="s">
        <v>430</v>
      </c>
      <c r="H3" s="190" t="s">
        <v>2</v>
      </c>
      <c r="I3" s="190"/>
      <c r="J3" s="208" t="s">
        <v>539</v>
      </c>
      <c r="K3" s="190" t="s">
        <v>6</v>
      </c>
      <c r="L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101" t="s">
        <v>398</v>
      </c>
      <c r="I4" s="101" t="s">
        <v>397</v>
      </c>
      <c r="J4" s="209"/>
      <c r="K4" s="191"/>
      <c r="L4" s="193"/>
    </row>
    <row r="5" ht="16">
      <c r="A5" s="88"/>
      <c r="B5" s="194" t="s">
        <v>106</v>
      </c>
      <c r="C5" s="194"/>
      <c r="D5" s="194"/>
      <c r="E5" s="194"/>
      <c r="F5" s="194"/>
      <c r="G5" s="194"/>
      <c r="H5" s="194"/>
      <c r="I5" s="194"/>
      <c r="J5" s="194"/>
      <c r="K5" s="194"/>
    </row>
    <row r="6">
      <c r="A6" s="84" t="s">
        <v>330</v>
      </c>
      <c r="B6" s="16" t="s">
        <v>396</v>
      </c>
      <c r="C6" s="16" t="s">
        <v>395</v>
      </c>
      <c r="D6" s="91">
        <v>69.5</v>
      </c>
      <c r="E6" s="16" t="str">
        <f>"0,7304"</f>
        <v>0,7304</v>
      </c>
      <c r="F6" s="16" t="s">
        <v>14</v>
      </c>
      <c r="G6" s="16" t="s">
        <v>394</v>
      </c>
      <c r="H6" s="66" t="s">
        <v>16</v>
      </c>
      <c r="I6" s="108">
        <v>22</v>
      </c>
      <c r="J6" s="175">
        <v>1540</v>
      </c>
      <c r="K6" s="66" t="str">
        <f>"1124,8930"</f>
        <v>1124,8930</v>
      </c>
      <c r="L6" s="16" t="s">
        <v>86</v>
      </c>
    </row>
    <row r="7">
      <c r="A7" s="96"/>
    </row>
    <row r="8" ht="16">
      <c r="A8" s="74"/>
      <c r="B8" s="189" t="s">
        <v>30</v>
      </c>
      <c r="C8" s="189"/>
      <c r="D8" s="189"/>
      <c r="E8" s="189"/>
      <c r="F8" s="189"/>
      <c r="G8" s="189"/>
      <c r="H8" s="189"/>
      <c r="I8" s="189"/>
      <c r="J8" s="189"/>
      <c r="K8" s="189"/>
    </row>
    <row r="9">
      <c r="A9" s="73" t="s">
        <v>330</v>
      </c>
      <c r="B9" s="16" t="s">
        <v>393</v>
      </c>
      <c r="C9" s="16" t="s">
        <v>392</v>
      </c>
      <c r="D9" s="91">
        <v>88.9</v>
      </c>
      <c r="E9" s="16" t="str">
        <f>"0,6161"</f>
        <v>0,6161</v>
      </c>
      <c r="F9" s="16" t="s">
        <v>387</v>
      </c>
      <c r="G9" s="16" t="s">
        <v>386</v>
      </c>
      <c r="H9" s="66" t="s">
        <v>274</v>
      </c>
      <c r="I9" s="108">
        <v>30</v>
      </c>
      <c r="J9" s="175">
        <v>2700</v>
      </c>
      <c r="K9" s="66" t="str">
        <f>"1679,9684"</f>
        <v>1679,9684</v>
      </c>
      <c r="L9" s="16" t="s">
        <v>86</v>
      </c>
    </row>
    <row r="10">
      <c r="A10" s="74"/>
    </row>
    <row r="11" ht="16">
      <c r="A11" s="74"/>
      <c r="B11" s="189" t="s">
        <v>42</v>
      </c>
      <c r="C11" s="189"/>
      <c r="D11" s="189"/>
      <c r="E11" s="189"/>
      <c r="F11" s="189"/>
      <c r="G11" s="189"/>
      <c r="H11" s="189"/>
      <c r="I11" s="189"/>
      <c r="J11" s="189"/>
      <c r="K11" s="189"/>
    </row>
    <row r="12">
      <c r="A12" s="73" t="s">
        <v>330</v>
      </c>
      <c r="B12" s="16" t="s">
        <v>391</v>
      </c>
      <c r="C12" s="16" t="s">
        <v>390</v>
      </c>
      <c r="D12" s="91">
        <v>91.4</v>
      </c>
      <c r="E12" s="16" t="str">
        <f>"0,6068"</f>
        <v>0,6068</v>
      </c>
      <c r="F12" s="16" t="s">
        <v>387</v>
      </c>
      <c r="G12" s="16" t="s">
        <v>386</v>
      </c>
      <c r="H12" s="66" t="s">
        <v>220</v>
      </c>
      <c r="I12" s="108">
        <v>38</v>
      </c>
      <c r="J12" s="175">
        <v>3515</v>
      </c>
      <c r="K12" s="66" t="str">
        <f>"2132,9021"</f>
        <v>2132,9021</v>
      </c>
      <c r="L12" s="16" t="s">
        <v>86</v>
      </c>
    </row>
    <row r="13">
      <c r="A13" s="74"/>
    </row>
    <row r="14" ht="16">
      <c r="A14" s="74"/>
      <c r="B14" s="189" t="s">
        <v>55</v>
      </c>
      <c r="C14" s="189"/>
      <c r="D14" s="189"/>
      <c r="E14" s="189"/>
      <c r="F14" s="189"/>
      <c r="G14" s="189"/>
      <c r="H14" s="189"/>
      <c r="I14" s="189"/>
      <c r="J14" s="189"/>
      <c r="K14" s="189"/>
    </row>
    <row r="15">
      <c r="A15" s="84" t="s">
        <v>330</v>
      </c>
      <c r="B15" s="16" t="s">
        <v>56</v>
      </c>
      <c r="C15" s="16" t="s">
        <v>57</v>
      </c>
      <c r="D15" s="94">
        <v>105</v>
      </c>
      <c r="E15" s="16" t="str">
        <f>"0,5706"</f>
        <v>0,5706</v>
      </c>
      <c r="F15" s="16" t="s">
        <v>14</v>
      </c>
      <c r="G15" s="16" t="s">
        <v>651</v>
      </c>
      <c r="H15" s="66" t="s">
        <v>127</v>
      </c>
      <c r="I15" s="108">
        <v>33</v>
      </c>
      <c r="J15" s="175">
        <v>3465</v>
      </c>
      <c r="K15" s="66" t="str">
        <f>"1977,3022"</f>
        <v>1977,3022</v>
      </c>
      <c r="L15" s="16" t="s">
        <v>526</v>
      </c>
    </row>
    <row r="16">
      <c r="A16" s="84" t="s">
        <v>331</v>
      </c>
      <c r="B16" s="16" t="s">
        <v>389</v>
      </c>
      <c r="C16" s="16" t="s">
        <v>388</v>
      </c>
      <c r="D16" s="91">
        <v>106.9</v>
      </c>
      <c r="E16" s="16" t="str">
        <f>"0,5673"</f>
        <v>0,5673</v>
      </c>
      <c r="F16" s="16" t="s">
        <v>387</v>
      </c>
      <c r="G16" s="16" t="s">
        <v>386</v>
      </c>
      <c r="H16" s="66" t="s">
        <v>121</v>
      </c>
      <c r="I16" s="108">
        <v>33</v>
      </c>
      <c r="J16" s="175">
        <v>3547.5</v>
      </c>
      <c r="K16" s="66" t="str">
        <f>"2012,4968"</f>
        <v>2012,4968</v>
      </c>
      <c r="L16" s="16" t="s">
        <v>86</v>
      </c>
    </row>
    <row r="17">
      <c r="A17" s="74"/>
    </row>
    <row r="18">
      <c r="A18" s="74"/>
      <c r="B18"/>
      <c r="C18"/>
      <c r="D18"/>
      <c r="E18"/>
      <c r="F18"/>
      <c r="G18"/>
      <c r="H18" s="87"/>
      <c r="I18" s="88"/>
      <c r="K18" s="87"/>
      <c r="L18"/>
    </row>
    <row r="19">
      <c r="A19" s="74"/>
      <c r="B19"/>
      <c r="C19"/>
      <c r="D19"/>
      <c r="E19"/>
      <c r="F19"/>
      <c r="G19"/>
      <c r="H19" s="87"/>
      <c r="I19" s="88"/>
      <c r="K19" s="87"/>
      <c r="L19"/>
    </row>
    <row r="20">
      <c r="A20" s="74"/>
      <c r="B20"/>
      <c r="C20"/>
      <c r="D20"/>
      <c r="E20"/>
      <c r="F20"/>
      <c r="G20"/>
      <c r="H20" s="87"/>
      <c r="I20" s="88"/>
      <c r="K20" s="87"/>
      <c r="L20"/>
    </row>
    <row r="21">
      <c r="A21" s="74"/>
      <c r="B21"/>
      <c r="C21"/>
      <c r="D21"/>
      <c r="E21"/>
      <c r="F21"/>
      <c r="G21"/>
      <c r="H21" s="87"/>
      <c r="I21" s="88"/>
      <c r="K21" s="87"/>
      <c r="L21"/>
    </row>
    <row r="22">
      <c r="A22" s="74"/>
      <c r="B22"/>
      <c r="C22"/>
      <c r="D22"/>
      <c r="E22"/>
      <c r="F22"/>
      <c r="G22"/>
      <c r="H22" s="87"/>
      <c r="I22" s="88"/>
      <c r="K22" s="87"/>
      <c r="L22"/>
    </row>
    <row r="23">
      <c r="A23" s="74"/>
      <c r="B23"/>
      <c r="C23"/>
      <c r="D23"/>
      <c r="E23"/>
      <c r="F23"/>
      <c r="G23"/>
      <c r="H23" s="87"/>
      <c r="I23" s="88"/>
      <c r="K23" s="87"/>
      <c r="L23"/>
    </row>
    <row r="24">
      <c r="A24" s="74"/>
      <c r="B24"/>
      <c r="C24"/>
      <c r="D24"/>
      <c r="E24"/>
      <c r="F24"/>
      <c r="G24"/>
      <c r="H24" s="87"/>
      <c r="I24" s="88"/>
      <c r="K24" s="87"/>
      <c r="L24"/>
    </row>
    <row r="25">
      <c r="A25" s="74"/>
      <c r="B25"/>
      <c r="C25"/>
      <c r="D25"/>
      <c r="E25"/>
      <c r="F25"/>
      <c r="G25"/>
      <c r="H25" s="87"/>
      <c r="I25" s="88"/>
      <c r="K25" s="87"/>
      <c r="L25"/>
    </row>
    <row r="26">
      <c r="A26" s="74"/>
      <c r="B26"/>
      <c r="C26"/>
      <c r="D26"/>
      <c r="E26"/>
      <c r="F26"/>
      <c r="G26"/>
      <c r="H26" s="87"/>
      <c r="I26" s="88"/>
      <c r="K26" s="87"/>
      <c r="L26"/>
    </row>
    <row r="27">
      <c r="A27" s="74"/>
      <c r="B27"/>
      <c r="C27"/>
      <c r="D27"/>
      <c r="E27"/>
      <c r="F27"/>
      <c r="G27"/>
      <c r="H27" s="87"/>
      <c r="I27" s="88"/>
      <c r="K27" s="87"/>
      <c r="L27"/>
    </row>
    <row r="28">
      <c r="A28" s="88"/>
      <c r="B28"/>
      <c r="C28"/>
      <c r="D28"/>
      <c r="E28"/>
      <c r="F28"/>
      <c r="G28"/>
      <c r="H28" s="87"/>
      <c r="I28" s="88"/>
      <c r="K28" s="87"/>
      <c r="L28"/>
    </row>
    <row r="29">
      <c r="A29" s="88"/>
      <c r="B29"/>
      <c r="C29"/>
      <c r="D29"/>
      <c r="E29"/>
      <c r="F29"/>
      <c r="G29"/>
      <c r="H29" s="87"/>
      <c r="I29" s="88"/>
      <c r="K29" s="87"/>
      <c r="L29"/>
    </row>
    <row r="30">
      <c r="B30"/>
      <c r="C30"/>
      <c r="D30"/>
      <c r="E30"/>
      <c r="F30"/>
      <c r="G30"/>
      <c r="H30" s="87"/>
      <c r="I30" s="88"/>
      <c r="K30" s="87"/>
      <c r="L30"/>
    </row>
    <row r="31">
      <c r="B31"/>
      <c r="C31"/>
      <c r="D31"/>
      <c r="E31"/>
      <c r="F31"/>
      <c r="G31"/>
      <c r="H31" s="87"/>
      <c r="I31" s="88"/>
      <c r="K31" s="87"/>
      <c r="L31"/>
    </row>
    <row r="32">
      <c r="B32"/>
      <c r="C32"/>
      <c r="D32"/>
      <c r="E32"/>
      <c r="F32"/>
      <c r="G32"/>
      <c r="H32" s="87"/>
      <c r="I32" s="88"/>
      <c r="K32" s="87"/>
      <c r="L32"/>
    </row>
    <row r="33">
      <c r="B33"/>
      <c r="C33"/>
      <c r="D33"/>
      <c r="E33"/>
      <c r="F33"/>
      <c r="G33"/>
      <c r="H33" s="87"/>
      <c r="I33" s="88"/>
      <c r="K33" s="87"/>
      <c r="L33"/>
    </row>
    <row r="34">
      <c r="B34"/>
      <c r="C34"/>
      <c r="D34"/>
      <c r="E34"/>
      <c r="F34"/>
      <c r="G34"/>
      <c r="H34" s="87"/>
      <c r="I34" s="88"/>
      <c r="K34" s="87"/>
      <c r="L34"/>
    </row>
    <row r="35">
      <c r="B35"/>
      <c r="C35"/>
      <c r="D35"/>
      <c r="E35"/>
      <c r="F35"/>
      <c r="G35"/>
      <c r="H35" s="87"/>
      <c r="I35" s="88"/>
      <c r="K35" s="87"/>
      <c r="L35"/>
    </row>
    <row r="36">
      <c r="B36"/>
      <c r="C36"/>
      <c r="D36"/>
      <c r="E36"/>
      <c r="F36"/>
      <c r="G36"/>
      <c r="H36" s="87"/>
      <c r="I36" s="88"/>
      <c r="K36" s="87"/>
      <c r="L36"/>
    </row>
    <row r="37">
      <c r="B37"/>
      <c r="C37"/>
      <c r="D37"/>
      <c r="E37"/>
      <c r="F37"/>
      <c r="G37"/>
      <c r="H37" s="87"/>
      <c r="I37" s="88"/>
      <c r="K37" s="87"/>
      <c r="L37"/>
    </row>
  </sheetData>
  <mergeCells>
    <mergeCell ref="A3:A4"/>
    <mergeCell ref="A1:L2"/>
    <mergeCell ref="B14:K14"/>
    <mergeCell ref="J3:J4"/>
    <mergeCell ref="K3:K4"/>
    <mergeCell ref="L3:L4"/>
    <mergeCell ref="B5:K5"/>
    <mergeCell ref="B8:K8"/>
    <mergeCell ref="B11:K11"/>
    <mergeCell ref="B3:B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56"/>
  <sheetViews>
    <sheetView topLeftCell="B1" workbookViewId="0">
      <selection activeCell="E43" sqref="E43"/>
    </sheetView>
  </sheetViews>
  <sheetFormatPr defaultColWidth="8.7109375" defaultRowHeight="13"/>
  <cols>
    <col min="1" max="1" width="9.85546875" style="85" customWidth="1"/>
    <col min="2" max="2" width="23" style="4" customWidth="1"/>
    <col min="3" max="3" width="24.42578125" style="5" customWidth="1"/>
    <col min="4" max="4" width="16.85546875" style="5" customWidth="1"/>
    <col min="5" max="5" width="8.42578125" style="1" bestFit="1" customWidth="1"/>
    <col min="6" max="6" width="19.28515625" style="5" customWidth="1"/>
    <col min="7" max="7" width="33.7109375" style="5" customWidth="1"/>
    <col min="8" max="8" width="5.5703125" style="74" bestFit="1" customWidth="1"/>
    <col min="9" max="9" width="10.28515625" style="74" customWidth="1"/>
    <col min="10" max="10" width="9.140625" style="106" customWidth="1"/>
    <col min="11" max="11" width="9.5703125" style="74" bestFit="1" customWidth="1"/>
    <col min="12" max="12" width="19.85546875" style="5" customWidth="1"/>
    <col min="13" max="16384" width="8.7109375" style="1"/>
  </cols>
  <sheetData>
    <row r="1" ht="15" customHeight="1">
      <c r="A1" s="200" t="s">
        <v>653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5"/>
    </row>
    <row r="2" ht="86.25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="2" customFormat="1" ht="12.75" customHeight="1">
      <c r="A3" s="222" t="s">
        <v>460</v>
      </c>
      <c r="B3" s="195" t="s">
        <v>0</v>
      </c>
      <c r="C3" s="224" t="s">
        <v>531</v>
      </c>
      <c r="D3" s="210" t="s">
        <v>532</v>
      </c>
      <c r="E3" s="190" t="s">
        <v>336</v>
      </c>
      <c r="F3" s="190" t="s">
        <v>7</v>
      </c>
      <c r="G3" s="190" t="s">
        <v>430</v>
      </c>
      <c r="H3" s="190" t="s">
        <v>2</v>
      </c>
      <c r="I3" s="190"/>
      <c r="J3" s="208" t="s">
        <v>539</v>
      </c>
      <c r="K3" s="190" t="s">
        <v>6</v>
      </c>
      <c r="L3" s="192" t="s">
        <v>5</v>
      </c>
    </row>
    <row r="4" s="2" customFormat="1" ht="21" customHeight="1" thickBot="1">
      <c r="A4" s="223"/>
      <c r="B4" s="196"/>
      <c r="C4" s="225"/>
      <c r="D4" s="211"/>
      <c r="E4" s="191"/>
      <c r="F4" s="191"/>
      <c r="G4" s="191"/>
      <c r="H4" s="101" t="s">
        <v>398</v>
      </c>
      <c r="I4" s="101" t="s">
        <v>397</v>
      </c>
      <c r="J4" s="209"/>
      <c r="K4" s="191"/>
      <c r="L4" s="193"/>
    </row>
    <row r="5" ht="16">
      <c r="A5" s="88"/>
      <c r="B5" s="221" t="s">
        <v>106</v>
      </c>
      <c r="C5" s="221"/>
      <c r="D5" s="221"/>
      <c r="E5" s="221"/>
      <c r="F5" s="221"/>
      <c r="G5" s="221"/>
      <c r="H5" s="221"/>
      <c r="I5" s="221"/>
      <c r="J5" s="221"/>
      <c r="K5" s="221"/>
      <c r="L5" s="67"/>
    </row>
    <row r="6" s="6" customFormat="1">
      <c r="A6" s="73" t="s">
        <v>330</v>
      </c>
      <c r="B6" s="58" t="s">
        <v>401</v>
      </c>
      <c r="C6" s="7" t="s">
        <v>400</v>
      </c>
      <c r="D6" s="104">
        <v>71.3</v>
      </c>
      <c r="E6" s="6" t="str">
        <f>"0,7157"</f>
        <v>0,7157</v>
      </c>
      <c r="F6" s="7" t="s">
        <v>141</v>
      </c>
      <c r="G6" s="16" t="s">
        <v>297</v>
      </c>
      <c r="H6" s="73" t="s">
        <v>419</v>
      </c>
      <c r="I6" s="113">
        <v>25</v>
      </c>
      <c r="J6" s="107" t="e">
        <f>H6*I6</f>
        <v>#VALUE!</v>
      </c>
      <c r="K6" s="73" t="str">
        <f>"1297,1157"</f>
        <v>1297,1157</v>
      </c>
      <c r="L6" s="16" t="s">
        <v>510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111" t="s">
        <v>330</v>
      </c>
      <c r="B7" s="60" t="s">
        <v>410</v>
      </c>
      <c r="C7" s="10" t="s">
        <v>420</v>
      </c>
      <c r="D7" s="112">
        <v>72.5</v>
      </c>
      <c r="E7" s="9" t="str">
        <f>"0,7064"</f>
        <v>0,7064</v>
      </c>
      <c r="F7" s="10" t="s">
        <v>141</v>
      </c>
      <c r="G7" s="16" t="s">
        <v>297</v>
      </c>
      <c r="H7" s="111" t="s">
        <v>419</v>
      </c>
      <c r="I7" s="114">
        <v>25</v>
      </c>
      <c r="J7" s="107" t="e">
        <f>H7*I7</f>
        <v>#VALUE!</v>
      </c>
      <c r="K7" s="111" t="str">
        <f>"1280,3500"</f>
        <v>1280,3500</v>
      </c>
      <c r="L7" s="16" t="s">
        <v>510</v>
      </c>
    </row>
    <row r="8">
      <c r="A8" s="74"/>
      <c r="L8" s="68"/>
    </row>
    <row r="9" ht="16">
      <c r="A9" s="74"/>
      <c r="B9" s="218" t="s">
        <v>25</v>
      </c>
      <c r="C9" s="218"/>
      <c r="D9" s="218"/>
      <c r="E9" s="218"/>
      <c r="F9" s="218"/>
      <c r="G9" s="218"/>
      <c r="H9" s="218"/>
      <c r="I9" s="218"/>
      <c r="J9" s="218"/>
      <c r="K9" s="218"/>
      <c r="L9" s="68"/>
    </row>
    <row r="10">
      <c r="A10" s="73" t="s">
        <v>330</v>
      </c>
      <c r="B10" s="58" t="s">
        <v>418</v>
      </c>
      <c r="C10" s="7" t="s">
        <v>417</v>
      </c>
      <c r="D10" s="104">
        <v>77.4</v>
      </c>
      <c r="E10" s="6" t="str">
        <f>"0,6730"</f>
        <v>0,6730</v>
      </c>
      <c r="F10" s="7" t="s">
        <v>141</v>
      </c>
      <c r="G10" s="16" t="s">
        <v>297</v>
      </c>
      <c r="H10" s="73" t="s">
        <v>323</v>
      </c>
      <c r="I10" s="113">
        <v>20</v>
      </c>
      <c r="J10" s="107" t="e">
        <f>H10*I10</f>
        <v>#VALUE!</v>
      </c>
      <c r="K10" s="73" t="str">
        <f>"1075,5675"</f>
        <v>1075,5675</v>
      </c>
      <c r="L10" s="7" t="s">
        <v>86</v>
      </c>
    </row>
    <row r="11">
      <c r="A11" s="74"/>
      <c r="L11" s="68"/>
    </row>
    <row r="12" ht="16">
      <c r="A12" s="74"/>
      <c r="B12" s="218" t="s">
        <v>30</v>
      </c>
      <c r="C12" s="218"/>
      <c r="D12" s="218"/>
      <c r="E12" s="218"/>
      <c r="F12" s="218"/>
      <c r="G12" s="218"/>
      <c r="H12" s="218"/>
      <c r="I12" s="218"/>
      <c r="J12" s="218"/>
      <c r="K12" s="218"/>
      <c r="L12" s="68"/>
    </row>
    <row r="13" s="6" customFormat="1">
      <c r="A13" s="73" t="s">
        <v>330</v>
      </c>
      <c r="B13" s="58" t="s">
        <v>147</v>
      </c>
      <c r="C13" s="7" t="s">
        <v>148</v>
      </c>
      <c r="D13" s="104">
        <v>89.7</v>
      </c>
      <c r="E13" s="6" t="str">
        <f>"0,6130"</f>
        <v>0,6130</v>
      </c>
      <c r="F13" s="7" t="s">
        <v>72</v>
      </c>
      <c r="G13" s="7" t="s">
        <v>537</v>
      </c>
      <c r="H13" s="73" t="s">
        <v>274</v>
      </c>
      <c r="I13" s="113">
        <v>29</v>
      </c>
      <c r="J13" s="107" t="e">
        <f>H13*I13</f>
        <v>#VALUE!</v>
      </c>
      <c r="K13" s="73" t="str">
        <f>"1599,9299"</f>
        <v>1599,9299</v>
      </c>
      <c r="L13" s="7" t="s">
        <v>86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="6" customFormat="1">
      <c r="A14" s="73" t="s">
        <v>330</v>
      </c>
      <c r="B14" s="58" t="s">
        <v>149</v>
      </c>
      <c r="C14" s="7" t="s">
        <v>416</v>
      </c>
      <c r="D14" s="185">
        <v>90</v>
      </c>
      <c r="E14" s="6" t="str">
        <f>"0,6119"</f>
        <v>0,6119</v>
      </c>
      <c r="F14" s="7" t="s">
        <v>14</v>
      </c>
      <c r="G14" s="7" t="s">
        <v>537</v>
      </c>
      <c r="H14" s="73" t="s">
        <v>274</v>
      </c>
      <c r="I14" s="113">
        <v>29</v>
      </c>
      <c r="J14" s="107" t="e">
        <f>H14*I14</f>
        <v>#VALUE!</v>
      </c>
      <c r="K14" s="73" t="str">
        <f>"1596,9286"</f>
        <v>1596,9286</v>
      </c>
      <c r="L14" s="7" t="s">
        <v>86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74"/>
      <c r="L15" s="68"/>
    </row>
    <row r="16" ht="16">
      <c r="A16" s="74"/>
      <c r="B16" s="218" t="s">
        <v>42</v>
      </c>
      <c r="C16" s="218"/>
      <c r="D16" s="218"/>
      <c r="E16" s="218"/>
      <c r="F16" s="218"/>
      <c r="G16" s="218"/>
      <c r="H16" s="218"/>
      <c r="I16" s="218"/>
      <c r="J16" s="218"/>
      <c r="K16" s="218"/>
      <c r="L16" s="68"/>
    </row>
    <row r="17" s="6" customFormat="1">
      <c r="A17" s="73" t="s">
        <v>330</v>
      </c>
      <c r="B17" s="58" t="s">
        <v>365</v>
      </c>
      <c r="C17" s="7" t="s">
        <v>415</v>
      </c>
      <c r="D17" s="104">
        <v>95.6</v>
      </c>
      <c r="E17" s="6" t="str">
        <f>"0,5932"</f>
        <v>0,5932</v>
      </c>
      <c r="F17" s="7" t="s">
        <v>141</v>
      </c>
      <c r="G17" s="16" t="s">
        <v>297</v>
      </c>
      <c r="H17" s="73" t="s">
        <v>221</v>
      </c>
      <c r="I17" s="113">
        <v>15</v>
      </c>
      <c r="J17" s="107" t="e">
        <f>H17*I17</f>
        <v>#VALUE!</v>
      </c>
      <c r="K17" s="73" t="str">
        <f>"867,4819"</f>
        <v>867,4819</v>
      </c>
      <c r="L17" s="16" t="s">
        <v>510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="6" customFormat="1">
      <c r="A18" s="73" t="s">
        <v>330</v>
      </c>
      <c r="B18" s="58" t="s">
        <v>156</v>
      </c>
      <c r="C18" s="7" t="s">
        <v>157</v>
      </c>
      <c r="D18" s="104">
        <v>98.2</v>
      </c>
      <c r="E18" s="6" t="str">
        <f>"0,5859"</f>
        <v>0,5859</v>
      </c>
      <c r="F18" s="7" t="s">
        <v>14</v>
      </c>
      <c r="G18" s="7" t="s">
        <v>540</v>
      </c>
      <c r="H18" s="73" t="s">
        <v>21</v>
      </c>
      <c r="I18" s="113">
        <v>22</v>
      </c>
      <c r="J18" s="107" t="e">
        <f>H18*I18</f>
        <v>#VALUE!</v>
      </c>
      <c r="K18" s="73" t="str">
        <f>"1288,8700"</f>
        <v>1288,8700</v>
      </c>
      <c r="L18" s="7" t="s">
        <v>86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>
      <c r="A19" s="74"/>
      <c r="L19" s="68"/>
    </row>
    <row r="20" ht="16">
      <c r="A20" s="74"/>
      <c r="B20" s="218" t="s">
        <v>55</v>
      </c>
      <c r="C20" s="218"/>
      <c r="D20" s="218"/>
      <c r="E20" s="218"/>
      <c r="F20" s="218"/>
      <c r="G20" s="218"/>
      <c r="H20" s="218"/>
      <c r="I20" s="218"/>
      <c r="J20" s="218"/>
      <c r="K20" s="218"/>
      <c r="L20" s="68"/>
    </row>
    <row r="21" s="6" customFormat="1">
      <c r="A21" s="73" t="s">
        <v>330</v>
      </c>
      <c r="B21" s="58" t="s">
        <v>169</v>
      </c>
      <c r="C21" s="7" t="s">
        <v>170</v>
      </c>
      <c r="D21" s="104">
        <v>106.4</v>
      </c>
      <c r="E21" s="6" t="str">
        <f>"0,5681"</f>
        <v>0,5681</v>
      </c>
      <c r="F21" s="7" t="s">
        <v>14</v>
      </c>
      <c r="G21" s="7" t="s">
        <v>537</v>
      </c>
      <c r="H21" s="73" t="s">
        <v>121</v>
      </c>
      <c r="I21" s="113">
        <v>17</v>
      </c>
      <c r="J21" s="107">
        <f>H21*I21</f>
        <v>-11130886</v>
      </c>
      <c r="K21" s="73" t="str">
        <f>"1038,2027"</f>
        <v>1038,2027</v>
      </c>
      <c r="L21" s="7" t="s">
        <v>521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>
      <c r="A22" s="74"/>
      <c r="L22" s="68"/>
    </row>
    <row r="23" ht="16">
      <c r="A23" s="74"/>
      <c r="B23" s="218" t="s">
        <v>74</v>
      </c>
      <c r="C23" s="218"/>
      <c r="D23" s="218"/>
      <c r="E23" s="218"/>
      <c r="F23" s="218"/>
      <c r="G23" s="218"/>
      <c r="H23" s="218"/>
      <c r="I23" s="218"/>
      <c r="J23" s="218"/>
      <c r="K23" s="218"/>
      <c r="L23" s="68"/>
    </row>
    <row r="24">
      <c r="A24" s="73" t="s">
        <v>330</v>
      </c>
      <c r="B24" s="58" t="s">
        <v>186</v>
      </c>
      <c r="C24" s="7" t="s">
        <v>187</v>
      </c>
      <c r="D24" s="185">
        <v>122</v>
      </c>
      <c r="E24" s="6" t="str">
        <f>"0,5488"</f>
        <v>0,5488</v>
      </c>
      <c r="F24" s="7" t="s">
        <v>14</v>
      </c>
      <c r="G24" s="7" t="s">
        <v>537</v>
      </c>
      <c r="H24" s="73" t="s">
        <v>414</v>
      </c>
      <c r="I24" s="113">
        <v>20</v>
      </c>
      <c r="J24" s="107">
        <f>H24*I24</f>
        <v>-12985580</v>
      </c>
      <c r="K24" s="73" t="str">
        <f>"1344,6825"</f>
        <v>1344,6825</v>
      </c>
      <c r="L24" s="7" t="s">
        <v>86</v>
      </c>
    </row>
    <row r="25">
      <c r="A25" s="74"/>
      <c r="B25" s="75"/>
    </row>
    <row r="26" ht="14">
      <c r="A26" s="74"/>
      <c r="B26" s="81" t="s">
        <v>528</v>
      </c>
    </row>
    <row r="27" ht="14">
      <c r="A27" s="74"/>
      <c r="B27" s="12"/>
    </row>
    <row r="28" ht="14">
      <c r="A28" s="74"/>
      <c r="B28" s="14" t="s">
        <v>90</v>
      </c>
      <c r="C28" s="14" t="s">
        <v>91</v>
      </c>
      <c r="D28" s="14" t="s">
        <v>549</v>
      </c>
      <c r="E28" s="14" t="s">
        <v>539</v>
      </c>
      <c r="F28" s="14" t="s">
        <v>357</v>
      </c>
    </row>
    <row r="29">
      <c r="A29" s="88">
        <v>1</v>
      </c>
      <c r="B29" s="76" t="s">
        <v>147</v>
      </c>
      <c r="C29" s="6" t="s">
        <v>94</v>
      </c>
      <c r="D29" s="73" t="s">
        <v>616</v>
      </c>
      <c r="E29" s="73" t="s">
        <v>413</v>
      </c>
      <c r="F29" s="113">
        <v>1599.9299</v>
      </c>
    </row>
    <row r="30">
      <c r="A30" s="88">
        <v>2</v>
      </c>
      <c r="B30" s="76" t="s">
        <v>186</v>
      </c>
      <c r="C30" s="6" t="s">
        <v>94</v>
      </c>
      <c r="D30" s="73" t="s">
        <v>611</v>
      </c>
      <c r="E30" s="73" t="s">
        <v>412</v>
      </c>
      <c r="F30" s="113">
        <v>1344.6825</v>
      </c>
    </row>
    <row r="31">
      <c r="A31" s="85" t="s">
        <v>337</v>
      </c>
      <c r="B31" s="76" t="s">
        <v>156</v>
      </c>
      <c r="C31" s="6" t="s">
        <v>94</v>
      </c>
      <c r="D31" s="73" t="s">
        <v>613</v>
      </c>
      <c r="E31" s="73" t="s">
        <v>411</v>
      </c>
      <c r="F31" s="113">
        <v>1288.87</v>
      </c>
    </row>
    <row r="32">
      <c r="B32" s="5"/>
      <c r="C32" s="74"/>
      <c r="D32" s="74"/>
      <c r="E32" s="63"/>
      <c r="F32" s="1"/>
      <c r="H32" s="1"/>
      <c r="I32" s="1"/>
      <c r="J32" s="74"/>
      <c r="L32" s="1"/>
    </row>
    <row r="33">
      <c r="B33" s="5"/>
      <c r="C33" s="74"/>
      <c r="D33" s="74"/>
      <c r="E33" s="63"/>
      <c r="F33" s="1"/>
      <c r="H33" s="1"/>
      <c r="I33" s="1"/>
      <c r="J33" s="74"/>
      <c r="L33" s="1"/>
    </row>
    <row r="34">
      <c r="B34" s="5"/>
      <c r="C34" s="74"/>
      <c r="D34" s="74"/>
      <c r="E34" s="63"/>
      <c r="F34" s="1"/>
      <c r="H34" s="1"/>
      <c r="I34" s="1"/>
      <c r="J34" s="74"/>
      <c r="L34" s="1"/>
    </row>
    <row r="35">
      <c r="B35" s="1"/>
      <c r="C35" s="74"/>
      <c r="D35" s="74"/>
      <c r="E35" s="106"/>
      <c r="F35" s="1"/>
      <c r="G35" s="1"/>
      <c r="H35" s="1"/>
      <c r="I35" s="1"/>
      <c r="J35" s="74"/>
      <c r="L35" s="1"/>
    </row>
    <row r="36">
      <c r="B36" s="1"/>
      <c r="C36" s="74"/>
      <c r="D36" s="74"/>
      <c r="E36" s="106"/>
      <c r="F36" s="1"/>
      <c r="G36" s="1"/>
      <c r="H36" s="1"/>
      <c r="I36" s="1"/>
      <c r="J36" s="74"/>
      <c r="L36" s="1"/>
    </row>
    <row r="37">
      <c r="B37" s="1"/>
      <c r="C37" s="4"/>
      <c r="E37" s="5"/>
      <c r="F37" s="1"/>
      <c r="G37" s="1"/>
      <c r="L37" s="1"/>
    </row>
    <row r="38">
      <c r="B38" s="1"/>
      <c r="C38" s="4"/>
      <c r="E38" s="5"/>
      <c r="F38" s="1"/>
      <c r="G38" s="1"/>
      <c r="L38" s="1"/>
    </row>
    <row r="53">
      <c r="B53" s="1"/>
      <c r="F53" s="1"/>
      <c r="G53" s="1"/>
      <c r="L53" s="1"/>
    </row>
    <row r="54">
      <c r="B54" s="1"/>
      <c r="F54" s="1"/>
      <c r="G54" s="1"/>
      <c r="L54" s="1"/>
    </row>
    <row r="55">
      <c r="B55" s="1"/>
      <c r="F55" s="1"/>
      <c r="G55" s="1"/>
      <c r="L55" s="1"/>
    </row>
    <row r="56">
      <c r="B56" s="1"/>
      <c r="F56" s="1"/>
      <c r="G56" s="1"/>
      <c r="L56" s="1"/>
    </row>
  </sheetData>
  <mergeCells>
    <mergeCell ref="A3:A4"/>
    <mergeCell ref="A1:L2"/>
    <mergeCell ref="B20:K20"/>
    <mergeCell ref="B23:K23"/>
    <mergeCell ref="L3:L4"/>
    <mergeCell ref="G3:G4"/>
    <mergeCell ref="F3:F4"/>
    <mergeCell ref="B5:K5"/>
    <mergeCell ref="B9:K9"/>
    <mergeCell ref="B12:K12"/>
    <mergeCell ref="E3:E4"/>
    <mergeCell ref="J3:J4"/>
    <mergeCell ref="H3:I3"/>
    <mergeCell ref="B3:B4"/>
    <mergeCell ref="C3:C4"/>
    <mergeCell ref="D3:D4"/>
    <mergeCell ref="B16:K16"/>
    <mergeCell ref="K3:K4"/>
  </mergeCells>
  <pageMargins left="0.196850393700787" right="0.47244094488189" top="0.433070866141732" bottom="0.47244094488189" header="0.511811023622047" footer="0.511811023622047"/>
  <pageSetup scale="58" fitToHeight="100" orientation="landscape" horizontalDpi="300" verticalDpi="300"/>
  <headerFooter alignWithMargins="0">
    <oddFooter>&amp;L&amp;G&amp;R&amp;D&amp;T&amp;P</oddFooter>
  </headerFooter>
  <legacyDrawingHF r:id="fl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L38"/>
  <sheetViews>
    <sheetView topLeftCell="A1" workbookViewId="0">
      <selection activeCell="G7" sqref="G7"/>
    </sheetView>
  </sheetViews>
  <sheetFormatPr defaultColWidth="8.7109375" defaultRowHeight="13"/>
  <cols>
    <col min="1" max="1" width="9.85546875" style="85" customWidth="1"/>
    <col min="2" max="2" width="22.5703125" style="15" customWidth="1"/>
    <col min="3" max="3" width="25" style="15" customWidth="1"/>
    <col min="4" max="4" width="10.5703125" style="110" bestFit="1" customWidth="1"/>
    <col min="5" max="5" width="8.42578125" style="15" bestFit="1" customWidth="1"/>
    <col min="6" max="6" width="20.140625" style="15" customWidth="1"/>
    <col min="7" max="7" width="29.28515625" style="15" customWidth="1"/>
    <col min="8" max="8" width="6.42578125" style="85" customWidth="1"/>
    <col min="9" max="9" width="10" style="85" customWidth="1"/>
    <col min="10" max="10" width="11.140625" style="176" customWidth="1"/>
    <col min="11" max="11" width="9.5703125" style="15" bestFit="1" customWidth="1"/>
    <col min="12" max="12" width="25" style="15" customWidth="1"/>
  </cols>
  <sheetData>
    <row r="1" s="1" customFormat="1" ht="15" customHeight="1">
      <c r="A1" s="200" t="s">
        <v>652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5"/>
    </row>
    <row r="2" s="1" customFormat="1" ht="86.25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336</v>
      </c>
      <c r="F3" s="190" t="s">
        <v>7</v>
      </c>
      <c r="G3" s="190" t="s">
        <v>430</v>
      </c>
      <c r="H3" s="190" t="s">
        <v>2</v>
      </c>
      <c r="I3" s="190"/>
      <c r="J3" s="208" t="s">
        <v>539</v>
      </c>
      <c r="K3" s="190" t="s">
        <v>6</v>
      </c>
      <c r="L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101" t="s">
        <v>398</v>
      </c>
      <c r="I4" s="101" t="s">
        <v>397</v>
      </c>
      <c r="J4" s="209"/>
      <c r="K4" s="191"/>
      <c r="L4" s="193"/>
    </row>
    <row r="5" ht="16">
      <c r="A5" s="88"/>
      <c r="B5" s="194" t="s">
        <v>17</v>
      </c>
      <c r="C5" s="194"/>
      <c r="D5" s="194"/>
      <c r="E5" s="194"/>
      <c r="F5" s="194"/>
      <c r="G5" s="194"/>
      <c r="H5" s="194"/>
      <c r="I5" s="194"/>
      <c r="J5" s="194"/>
      <c r="K5" s="194"/>
    </row>
    <row r="6">
      <c r="A6" s="84" t="s">
        <v>330</v>
      </c>
      <c r="B6" s="16" t="s">
        <v>409</v>
      </c>
      <c r="C6" s="16" t="s">
        <v>408</v>
      </c>
      <c r="D6" s="186">
        <v>63</v>
      </c>
      <c r="E6" s="16" t="str">
        <f>"0,9499"</f>
        <v>0,9499</v>
      </c>
      <c r="F6" s="16" t="s">
        <v>141</v>
      </c>
      <c r="G6" s="16" t="s">
        <v>297</v>
      </c>
      <c r="H6" s="84" t="s">
        <v>407</v>
      </c>
      <c r="I6" s="84" t="s">
        <v>621</v>
      </c>
      <c r="J6" s="175">
        <v>780</v>
      </c>
      <c r="K6" s="16" t="str">
        <f>"740,8830"</f>
        <v>740,8830</v>
      </c>
      <c r="L6" s="16" t="s">
        <v>510</v>
      </c>
    </row>
    <row r="7">
      <c r="A7" s="96"/>
    </row>
    <row r="8" ht="16">
      <c r="A8" s="74"/>
      <c r="B8" s="189" t="s">
        <v>10</v>
      </c>
      <c r="C8" s="189"/>
      <c r="D8" s="189"/>
      <c r="E8" s="189"/>
      <c r="F8" s="189"/>
      <c r="G8" s="189"/>
      <c r="H8" s="189"/>
      <c r="I8" s="189"/>
      <c r="J8" s="189"/>
      <c r="K8" s="189"/>
    </row>
    <row r="9">
      <c r="A9" s="73" t="s">
        <v>330</v>
      </c>
      <c r="B9" s="16" t="s">
        <v>289</v>
      </c>
      <c r="C9" s="16" t="s">
        <v>406</v>
      </c>
      <c r="D9" s="109">
        <v>53.4</v>
      </c>
      <c r="E9" s="16" t="str">
        <f>"0,9387"</f>
        <v>0,9387</v>
      </c>
      <c r="F9" s="16" t="s">
        <v>141</v>
      </c>
      <c r="G9" s="16" t="s">
        <v>297</v>
      </c>
      <c r="H9" s="84" t="s">
        <v>405</v>
      </c>
      <c r="I9" s="84" t="s">
        <v>622</v>
      </c>
      <c r="J9" s="175">
        <v>2557.5</v>
      </c>
      <c r="K9" s="16" t="str">
        <f>"2400,7253"</f>
        <v>2400,7253</v>
      </c>
      <c r="L9" s="16" t="s">
        <v>510</v>
      </c>
    </row>
    <row r="10">
      <c r="A10" s="74"/>
    </row>
    <row r="11" ht="16">
      <c r="A11" s="74"/>
      <c r="B11" s="189" t="s">
        <v>17</v>
      </c>
      <c r="C11" s="189"/>
      <c r="D11" s="189"/>
      <c r="E11" s="189"/>
      <c r="F11" s="189"/>
      <c r="G11" s="189"/>
      <c r="H11" s="189"/>
      <c r="I11" s="189"/>
      <c r="J11" s="189"/>
      <c r="K11" s="189"/>
    </row>
    <row r="12">
      <c r="A12" s="73" t="s">
        <v>330</v>
      </c>
      <c r="B12" s="16" t="s">
        <v>404</v>
      </c>
      <c r="C12" s="16" t="s">
        <v>403</v>
      </c>
      <c r="D12" s="109">
        <v>65.5</v>
      </c>
      <c r="E12" s="16" t="str">
        <f>"0,7681"</f>
        <v>0,7681</v>
      </c>
      <c r="F12" s="16" t="s">
        <v>14</v>
      </c>
      <c r="G12" s="16" t="s">
        <v>297</v>
      </c>
      <c r="H12" s="84" t="s">
        <v>402</v>
      </c>
      <c r="I12" s="84" t="s">
        <v>623</v>
      </c>
      <c r="J12" s="175">
        <v>3570</v>
      </c>
      <c r="K12" s="16" t="str">
        <f>"2741,9386"</f>
        <v>2741,9386</v>
      </c>
      <c r="L12" s="16" t="s">
        <v>510</v>
      </c>
    </row>
    <row r="13">
      <c r="A13" s="74"/>
    </row>
    <row r="14" ht="16">
      <c r="A14" s="74"/>
      <c r="B14" s="189" t="s">
        <v>106</v>
      </c>
      <c r="C14" s="189"/>
      <c r="D14" s="189"/>
      <c r="E14" s="189"/>
      <c r="F14" s="189"/>
      <c r="G14" s="189"/>
      <c r="H14" s="189"/>
      <c r="I14" s="189"/>
      <c r="J14" s="189"/>
      <c r="K14" s="189"/>
    </row>
    <row r="15">
      <c r="A15" s="84" t="s">
        <v>330</v>
      </c>
      <c r="B15" s="16" t="s">
        <v>538</v>
      </c>
      <c r="C15" s="16" t="s">
        <v>400</v>
      </c>
      <c r="D15" s="109">
        <v>71.3</v>
      </c>
      <c r="E15" s="16" t="str">
        <f>"0,7157"</f>
        <v>0,7157</v>
      </c>
      <c r="F15" s="16" t="s">
        <v>141</v>
      </c>
      <c r="G15" s="16" t="s">
        <v>297</v>
      </c>
      <c r="H15" s="84" t="s">
        <v>399</v>
      </c>
      <c r="I15" s="84" t="s">
        <v>624</v>
      </c>
      <c r="J15" s="175">
        <v>4125</v>
      </c>
      <c r="K15" s="16" t="str">
        <f>"2952,0563"</f>
        <v>2952,0563</v>
      </c>
      <c r="L15" s="16" t="s">
        <v>510</v>
      </c>
    </row>
    <row r="16">
      <c r="A16" s="22"/>
      <c r="L16"/>
    </row>
    <row r="17">
      <c r="A17" s="74"/>
      <c r="G17"/>
      <c r="H17" s="88"/>
      <c r="I17" s="88"/>
      <c r="K17"/>
      <c r="L17"/>
    </row>
    <row r="18">
      <c r="A18" s="74"/>
      <c r="G18"/>
      <c r="H18" s="88"/>
      <c r="I18" s="88"/>
      <c r="K18"/>
      <c r="L18"/>
    </row>
    <row r="19">
      <c r="A19" s="74"/>
      <c r="G19"/>
      <c r="H19" s="88"/>
      <c r="I19" s="88"/>
      <c r="K19"/>
      <c r="L19"/>
    </row>
    <row r="20">
      <c r="A20" s="74"/>
      <c r="G20"/>
      <c r="H20" s="88"/>
      <c r="I20" s="88"/>
      <c r="K20"/>
      <c r="L20"/>
    </row>
    <row r="21">
      <c r="A21" s="74"/>
      <c r="G21"/>
      <c r="H21" s="88"/>
      <c r="I21" s="88"/>
      <c r="K21"/>
      <c r="L21"/>
    </row>
    <row r="22">
      <c r="A22" s="74"/>
      <c r="G22"/>
      <c r="H22" s="88"/>
      <c r="I22" s="88"/>
      <c r="K22"/>
      <c r="L22"/>
    </row>
    <row r="23">
      <c r="A23" s="74"/>
      <c r="G23"/>
      <c r="H23" s="88"/>
      <c r="I23" s="88"/>
      <c r="K23"/>
      <c r="L23"/>
    </row>
    <row r="24">
      <c r="A24" s="74"/>
      <c r="G24"/>
      <c r="H24" s="88"/>
      <c r="I24" s="88"/>
      <c r="K24"/>
      <c r="L24"/>
    </row>
    <row r="25">
      <c r="A25" s="74"/>
      <c r="G25"/>
      <c r="H25" s="88"/>
      <c r="I25" s="88"/>
      <c r="K25"/>
      <c r="L25"/>
    </row>
    <row r="26">
      <c r="A26" s="74"/>
      <c r="G26"/>
      <c r="H26" s="88"/>
      <c r="I26" s="88"/>
      <c r="K26"/>
      <c r="L26"/>
    </row>
    <row r="27">
      <c r="A27" s="74"/>
      <c r="G27"/>
      <c r="H27" s="88"/>
      <c r="I27" s="88"/>
      <c r="K27"/>
      <c r="L27"/>
    </row>
    <row r="28">
      <c r="A28" s="88"/>
      <c r="G28"/>
      <c r="H28" s="88"/>
      <c r="I28" s="88"/>
      <c r="K28"/>
      <c r="L28"/>
    </row>
    <row r="29">
      <c r="A29" s="88"/>
      <c r="G29"/>
      <c r="H29" s="88"/>
      <c r="I29" s="88"/>
      <c r="K29"/>
      <c r="L29"/>
    </row>
    <row r="30">
      <c r="G30"/>
      <c r="H30" s="88"/>
      <c r="I30" s="88"/>
      <c r="K30"/>
      <c r="L30"/>
    </row>
    <row r="31">
      <c r="G31"/>
      <c r="H31" s="88"/>
      <c r="I31" s="88"/>
      <c r="K31"/>
      <c r="L31"/>
    </row>
    <row r="32">
      <c r="G32"/>
      <c r="H32" s="88"/>
      <c r="I32" s="88"/>
      <c r="K32"/>
      <c r="L32"/>
    </row>
    <row r="33">
      <c r="G33"/>
      <c r="H33" s="88"/>
      <c r="I33" s="88"/>
      <c r="K33"/>
      <c r="L33"/>
    </row>
    <row r="34">
      <c r="G34"/>
      <c r="H34" s="88"/>
      <c r="I34" s="88"/>
      <c r="K34"/>
      <c r="L34"/>
    </row>
    <row r="35">
      <c r="G35"/>
      <c r="H35" s="88"/>
      <c r="I35" s="88"/>
      <c r="K35"/>
      <c r="L35"/>
    </row>
    <row r="36">
      <c r="G36"/>
      <c r="H36" s="88"/>
      <c r="I36" s="88"/>
      <c r="K36"/>
      <c r="L36"/>
    </row>
    <row r="37">
      <c r="G37"/>
      <c r="H37" s="88"/>
      <c r="I37" s="88"/>
      <c r="K37"/>
      <c r="L37"/>
    </row>
    <row r="38">
      <c r="G38"/>
      <c r="H38" s="88"/>
      <c r="I38" s="88"/>
      <c r="K38"/>
      <c r="L38"/>
    </row>
  </sheetData>
  <mergeCells>
    <mergeCell ref="A3:A4"/>
    <mergeCell ref="A1:L2"/>
    <mergeCell ref="B14:K14"/>
    <mergeCell ref="J3:J4"/>
    <mergeCell ref="K3:K4"/>
    <mergeCell ref="L3:L4"/>
    <mergeCell ref="B5:K5"/>
    <mergeCell ref="B8:K8"/>
    <mergeCell ref="B11:K11"/>
    <mergeCell ref="B3:B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N42"/>
  <sheetViews>
    <sheetView topLeftCell="B1" workbookViewId="0">
      <selection activeCell="B8" sqref="B8:M8"/>
    </sheetView>
  </sheetViews>
  <sheetFormatPr defaultColWidth="8.7109375" defaultRowHeight="13"/>
  <cols>
    <col min="1" max="1" width="9.85546875" style="85" customWidth="1"/>
    <col min="2" max="2" width="20.5703125" style="15" customWidth="1"/>
    <col min="3" max="3" width="25" style="15" customWidth="1"/>
    <col min="4" max="4" width="10.5703125" style="92" bestFit="1" customWidth="1"/>
    <col min="5" max="5" width="8.42578125" style="15" bestFit="1" customWidth="1"/>
    <col min="6" max="6" width="10.42578125" style="15" customWidth="1"/>
    <col min="7" max="7" width="34.5703125" style="15" customWidth="1"/>
    <col min="8" max="10" width="5.5703125" style="15" bestFit="1" customWidth="1"/>
    <col min="11" max="11" width="4.5703125" style="15" bestFit="1" customWidth="1"/>
    <col min="12" max="12" width="13.28515625" style="176" customWidth="1"/>
    <col min="13" max="13" width="8.5703125" style="85" bestFit="1" customWidth="1"/>
    <col min="14" max="14" width="20.140625" style="15" customWidth="1"/>
  </cols>
  <sheetData>
    <row r="1" s="1" customFormat="1" ht="15" customHeight="1">
      <c r="A1" s="200" t="s">
        <v>629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5"/>
    </row>
    <row r="2" s="1" customFormat="1" ht="115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3</v>
      </c>
      <c r="I3" s="190"/>
      <c r="J3" s="190"/>
      <c r="K3" s="190"/>
      <c r="L3" s="208" t="s">
        <v>533</v>
      </c>
      <c r="M3" s="190" t="s">
        <v>6</v>
      </c>
      <c r="N3" s="192" t="s">
        <v>5</v>
      </c>
    </row>
    <row r="4" s="2" customFormat="1" ht="21" customHeight="1" thickBot="1">
      <c r="A4" s="196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209"/>
      <c r="M4" s="191"/>
      <c r="N4" s="193"/>
    </row>
    <row r="5" ht="16">
      <c r="A5" s="88"/>
      <c r="B5" s="194" t="s">
        <v>30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>
      <c r="A6" s="84" t="s">
        <v>330</v>
      </c>
      <c r="B6" s="16" t="s">
        <v>272</v>
      </c>
      <c r="C6" s="16" t="s">
        <v>273</v>
      </c>
      <c r="D6" s="91">
        <v>87.6</v>
      </c>
      <c r="E6" s="16" t="str">
        <f>"0,8742"</f>
        <v>0,8742</v>
      </c>
      <c r="F6" s="16" t="s">
        <v>14</v>
      </c>
      <c r="G6" s="16" t="s">
        <v>537</v>
      </c>
      <c r="H6" s="158" t="s">
        <v>21</v>
      </c>
      <c r="I6" s="158" t="s">
        <v>22</v>
      </c>
      <c r="J6" s="90" t="s">
        <v>122</v>
      </c>
      <c r="K6" s="17"/>
      <c r="L6" s="175">
        <v>110</v>
      </c>
      <c r="M6" s="84" t="str">
        <f>"100,3931"</f>
        <v>100,3931</v>
      </c>
      <c r="N6" s="16" t="s">
        <v>512</v>
      </c>
    </row>
    <row r="8" ht="16">
      <c r="A8" s="88"/>
      <c r="B8" s="189" t="s">
        <v>10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>
      <c r="A9" s="84" t="s">
        <v>330</v>
      </c>
      <c r="B9" s="16" t="s">
        <v>11</v>
      </c>
      <c r="C9" s="16" t="s">
        <v>12</v>
      </c>
      <c r="D9" s="91">
        <v>55.1</v>
      </c>
      <c r="E9" s="16" t="str">
        <f>"0,9250"</f>
        <v>0,9250</v>
      </c>
      <c r="F9" s="16" t="s">
        <v>14</v>
      </c>
      <c r="G9" s="16" t="s">
        <v>537</v>
      </c>
      <c r="H9" s="159" t="s">
        <v>274</v>
      </c>
      <c r="I9" s="89" t="s">
        <v>275</v>
      </c>
      <c r="J9" s="89" t="s">
        <v>21</v>
      </c>
      <c r="K9" s="17"/>
      <c r="L9" s="175">
        <v>90</v>
      </c>
      <c r="M9" s="84" t="str">
        <f>"83,2500"</f>
        <v>83,2500</v>
      </c>
      <c r="N9" s="16" t="s">
        <v>86</v>
      </c>
    </row>
    <row r="11" ht="16">
      <c r="B11" s="189" t="s">
        <v>42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>
      <c r="A12" s="84" t="s">
        <v>330</v>
      </c>
      <c r="B12" s="16" t="s">
        <v>276</v>
      </c>
      <c r="C12" s="16" t="s">
        <v>277</v>
      </c>
      <c r="D12" s="91">
        <v>99.4</v>
      </c>
      <c r="E12" s="16" t="str">
        <f>"0,6101"</f>
        <v>0,6101</v>
      </c>
      <c r="F12" s="16" t="s">
        <v>14</v>
      </c>
      <c r="G12" s="16" t="s">
        <v>537</v>
      </c>
      <c r="H12" s="158" t="s">
        <v>214</v>
      </c>
      <c r="I12" s="158" t="s">
        <v>238</v>
      </c>
      <c r="J12" s="90" t="s">
        <v>278</v>
      </c>
      <c r="K12" s="17"/>
      <c r="L12" s="175">
        <v>260</v>
      </c>
      <c r="M12" s="84" t="str">
        <f>"158,6260"</f>
        <v>158,6260</v>
      </c>
      <c r="N12" s="16" t="s">
        <v>86</v>
      </c>
    </row>
    <row r="14" ht="16">
      <c r="B14" s="189" t="s">
        <v>74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>
      <c r="A15" s="93">
        <v>1</v>
      </c>
      <c r="B15" s="16" t="s">
        <v>279</v>
      </c>
      <c r="C15" s="16" t="s">
        <v>280</v>
      </c>
      <c r="D15" s="91">
        <v>113.9</v>
      </c>
      <c r="E15" s="16" t="str">
        <f>"0,5826"</f>
        <v>0,5826</v>
      </c>
      <c r="F15" s="16" t="s">
        <v>14</v>
      </c>
      <c r="G15" s="16" t="s">
        <v>281</v>
      </c>
      <c r="H15" s="158" t="s">
        <v>282</v>
      </c>
      <c r="I15" s="158" t="s">
        <v>283</v>
      </c>
      <c r="J15" s="69"/>
      <c r="K15" s="17"/>
      <c r="L15" s="175">
        <v>310</v>
      </c>
      <c r="M15" s="84" t="str">
        <f>"180,6060"</f>
        <v>180,6060</v>
      </c>
      <c r="N15" s="16" t="s">
        <v>86</v>
      </c>
    </row>
    <row r="16">
      <c r="A16" s="93"/>
      <c r="B16" s="16" t="s">
        <v>284</v>
      </c>
      <c r="C16" s="16" t="s">
        <v>285</v>
      </c>
      <c r="D16" s="91">
        <v>115.7</v>
      </c>
      <c r="E16" s="16" t="str">
        <f>"0,5801"</f>
        <v>0,5801</v>
      </c>
      <c r="F16" s="16" t="s">
        <v>14</v>
      </c>
      <c r="G16" s="16" t="s">
        <v>155</v>
      </c>
      <c r="H16" s="90" t="s">
        <v>286</v>
      </c>
      <c r="I16" s="90" t="s">
        <v>286</v>
      </c>
      <c r="J16" s="90" t="s">
        <v>286</v>
      </c>
      <c r="K16" s="17"/>
      <c r="L16" s="108">
        <v>0</v>
      </c>
      <c r="M16" s="84" t="s">
        <v>607</v>
      </c>
      <c r="N16" s="16" t="s">
        <v>86</v>
      </c>
    </row>
    <row r="17">
      <c r="A17" s="22"/>
      <c r="N17"/>
    </row>
    <row r="18">
      <c r="J18"/>
      <c r="K18"/>
      <c r="M18" s="88"/>
      <c r="N18"/>
    </row>
    <row r="19">
      <c r="J19"/>
      <c r="K19"/>
      <c r="M19" s="88"/>
      <c r="N19"/>
    </row>
    <row r="20">
      <c r="A20" s="22"/>
      <c r="H20"/>
      <c r="I20"/>
      <c r="J20"/>
      <c r="K20"/>
      <c r="M20" s="88"/>
      <c r="N20"/>
    </row>
    <row r="21">
      <c r="A21" s="22"/>
      <c r="H21"/>
      <c r="I21"/>
      <c r="J21"/>
      <c r="K21"/>
      <c r="M21" s="88"/>
      <c r="N21"/>
    </row>
    <row r="22">
      <c r="A22" s="22"/>
      <c r="G22" s="98"/>
      <c r="H22"/>
      <c r="I22"/>
      <c r="J22"/>
      <c r="K22"/>
      <c r="M22" s="88"/>
      <c r="N22"/>
    </row>
    <row r="23">
      <c r="A23" s="22"/>
      <c r="H23"/>
      <c r="I23"/>
      <c r="J23"/>
      <c r="K23"/>
      <c r="M23" s="88"/>
      <c r="N23"/>
    </row>
    <row r="24">
      <c r="A24" s="22"/>
      <c r="H24"/>
      <c r="I24"/>
      <c r="J24"/>
      <c r="K24"/>
      <c r="M24" s="88"/>
      <c r="N24"/>
    </row>
    <row r="25">
      <c r="A25" s="22"/>
      <c r="G25" s="15" t="s">
        <v>630</v>
      </c>
      <c r="H25"/>
      <c r="I25"/>
      <c r="J25"/>
      <c r="K25"/>
      <c r="M25" s="88"/>
      <c r="N25"/>
    </row>
    <row r="26">
      <c r="A26" s="22"/>
      <c r="H26"/>
      <c r="I26"/>
      <c r="J26"/>
      <c r="K26"/>
      <c r="M26" s="88"/>
      <c r="N26"/>
    </row>
    <row r="27">
      <c r="A27" s="22"/>
      <c r="H27"/>
      <c r="I27"/>
      <c r="J27"/>
      <c r="K27"/>
      <c r="M27" s="88"/>
      <c r="N27"/>
    </row>
    <row r="28">
      <c r="A28" s="22"/>
      <c r="H28"/>
      <c r="I28"/>
      <c r="J28"/>
      <c r="K28"/>
      <c r="M28" s="88"/>
      <c r="N28"/>
    </row>
    <row r="29">
      <c r="J29"/>
      <c r="K29"/>
      <c r="M29" s="88"/>
      <c r="N29"/>
    </row>
    <row r="30">
      <c r="J30"/>
      <c r="K30"/>
      <c r="M30" s="88"/>
      <c r="N30"/>
    </row>
    <row r="31">
      <c r="J31"/>
      <c r="K31"/>
      <c r="M31" s="88"/>
      <c r="N31"/>
    </row>
    <row r="32">
      <c r="J32"/>
      <c r="K32"/>
      <c r="M32" s="88"/>
      <c r="N32"/>
    </row>
    <row r="33">
      <c r="J33"/>
      <c r="K33"/>
      <c r="M33" s="88"/>
      <c r="N33"/>
    </row>
    <row r="34">
      <c r="J34"/>
      <c r="K34"/>
      <c r="M34" s="88"/>
      <c r="N34"/>
    </row>
    <row r="35">
      <c r="J35"/>
      <c r="K35"/>
      <c r="M35" s="88"/>
      <c r="N35"/>
    </row>
    <row r="36">
      <c r="J36"/>
      <c r="K36"/>
      <c r="M36" s="88"/>
      <c r="N36"/>
    </row>
    <row r="37">
      <c r="J37"/>
      <c r="K37"/>
      <c r="M37" s="88"/>
      <c r="N37"/>
    </row>
    <row r="38">
      <c r="J38"/>
      <c r="K38"/>
      <c r="M38" s="88"/>
      <c r="N38"/>
    </row>
    <row r="39">
      <c r="J39"/>
      <c r="K39"/>
      <c r="M39" s="88"/>
      <c r="N39"/>
    </row>
    <row r="40">
      <c r="J40"/>
      <c r="K40"/>
      <c r="M40" s="88"/>
      <c r="N40"/>
    </row>
    <row r="41">
      <c r="J41"/>
      <c r="K41"/>
      <c r="M41" s="88"/>
      <c r="N41"/>
    </row>
    <row r="42">
      <c r="J42"/>
      <c r="K42"/>
      <c r="M42" s="88"/>
      <c r="N42"/>
    </row>
  </sheetData>
  <mergeCells>
    <mergeCell ref="A3:A4"/>
    <mergeCell ref="A1:N2"/>
    <mergeCell ref="B14:M14"/>
    <mergeCell ref="L3:L4"/>
    <mergeCell ref="M3:M4"/>
    <mergeCell ref="N3:N4"/>
    <mergeCell ref="B5:M5"/>
    <mergeCell ref="B8:M8"/>
    <mergeCell ref="B11:M11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P35"/>
  <sheetViews>
    <sheetView topLeftCell="A1" workbookViewId="0">
      <selection activeCell="G35" sqref="G35"/>
    </sheetView>
  </sheetViews>
  <sheetFormatPr defaultColWidth="8.7109375" defaultRowHeight="13"/>
  <cols>
    <col min="1" max="1" width="9.85546875" style="85" customWidth="1"/>
    <col min="2" max="2" width="22.85546875" style="15" customWidth="1"/>
    <col min="3" max="3" width="25.7109375" style="15" customWidth="1"/>
    <col min="4" max="4" width="11.7109375" style="95" customWidth="1"/>
    <col min="5" max="5" width="8.42578125" style="15" bestFit="1" customWidth="1"/>
    <col min="6" max="6" width="11" style="15" customWidth="1"/>
    <col min="7" max="7" width="34.7109375" style="15" customWidth="1"/>
    <col min="8" max="11" width="5.5703125" style="15" bestFit="1" customWidth="1"/>
    <col min="12" max="12" width="13.28515625" style="176" customWidth="1"/>
    <col min="13" max="13" width="8.5703125" style="85" bestFit="1" customWidth="1"/>
    <col min="14" max="14" width="19" style="15" customWidth="1"/>
  </cols>
  <sheetData>
    <row r="1" s="1" customFormat="1" ht="51" customHeight="1">
      <c r="A1" s="200" t="s">
        <v>628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64"/>
      <c r="P1" s="164"/>
    </row>
    <row r="2" s="1" customFormat="1" ht="63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164"/>
      <c r="P2" s="164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3</v>
      </c>
      <c r="I3" s="190"/>
      <c r="J3" s="190"/>
      <c r="K3" s="190"/>
      <c r="L3" s="208" t="s">
        <v>533</v>
      </c>
      <c r="M3" s="190" t="s">
        <v>6</v>
      </c>
      <c r="N3" s="192" t="s">
        <v>5</v>
      </c>
    </row>
    <row r="4" s="2" customFormat="1" ht="21" customHeight="1" thickBot="1">
      <c r="A4" s="196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174" t="s">
        <v>8</v>
      </c>
      <c r="L4" s="209"/>
      <c r="M4" s="191"/>
      <c r="N4" s="193"/>
    </row>
    <row r="5" ht="16">
      <c r="A5" s="88"/>
      <c r="B5" s="226" t="s">
        <v>106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>
      <c r="A6" s="84" t="s">
        <v>330</v>
      </c>
      <c r="B6" s="16" t="s">
        <v>287</v>
      </c>
      <c r="C6" s="16" t="s">
        <v>288</v>
      </c>
      <c r="D6" s="94">
        <v>70.4</v>
      </c>
      <c r="E6" s="16" t="str">
        <f>"0,9910"</f>
        <v>0,9910</v>
      </c>
      <c r="F6" s="16" t="s">
        <v>14</v>
      </c>
      <c r="G6" s="16" t="s">
        <v>537</v>
      </c>
      <c r="H6" s="158" t="s">
        <v>220</v>
      </c>
      <c r="I6" s="90" t="s">
        <v>221</v>
      </c>
      <c r="J6" s="90" t="s">
        <v>221</v>
      </c>
      <c r="K6" s="17"/>
      <c r="L6" s="175">
        <v>92.5</v>
      </c>
      <c r="M6" s="84" t="str">
        <f>"91,6675"</f>
        <v>91,6675</v>
      </c>
      <c r="N6" s="16" t="s">
        <v>86</v>
      </c>
    </row>
    <row r="8" ht="16">
      <c r="A8" s="88"/>
      <c r="B8" s="189" t="s">
        <v>10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>
      <c r="A9" s="84" t="s">
        <v>330</v>
      </c>
      <c r="B9" s="16" t="s">
        <v>289</v>
      </c>
      <c r="C9" s="16" t="s">
        <v>290</v>
      </c>
      <c r="D9" s="94">
        <v>53.4</v>
      </c>
      <c r="E9" s="16" t="str">
        <f>"0,9547"</f>
        <v>0,9547</v>
      </c>
      <c r="F9" s="16" t="s">
        <v>141</v>
      </c>
      <c r="G9" s="16" t="s">
        <v>544</v>
      </c>
      <c r="H9" s="158" t="s">
        <v>78</v>
      </c>
      <c r="I9" s="158" t="s">
        <v>79</v>
      </c>
      <c r="J9" s="158" t="s">
        <v>73</v>
      </c>
      <c r="K9" s="17"/>
      <c r="L9" s="175">
        <v>140</v>
      </c>
      <c r="M9" s="84" t="str">
        <f>"133,6580"</f>
        <v>133,6580</v>
      </c>
      <c r="N9" s="16" t="s">
        <v>510</v>
      </c>
    </row>
    <row r="11" ht="16">
      <c r="B11" s="189" t="s">
        <v>17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>
      <c r="A12" s="84"/>
      <c r="B12" s="16" t="s">
        <v>291</v>
      </c>
      <c r="C12" s="16" t="s">
        <v>292</v>
      </c>
      <c r="D12" s="91">
        <v>61.2</v>
      </c>
      <c r="E12" s="16" t="str">
        <f>"0,8378"</f>
        <v>0,8378</v>
      </c>
      <c r="F12" s="16" t="s">
        <v>141</v>
      </c>
      <c r="G12" s="16" t="s">
        <v>544</v>
      </c>
      <c r="H12" s="90" t="s">
        <v>35</v>
      </c>
      <c r="I12" s="90" t="s">
        <v>117</v>
      </c>
      <c r="J12" s="90" t="s">
        <v>117</v>
      </c>
      <c r="K12" s="17"/>
      <c r="L12" s="108">
        <v>0</v>
      </c>
      <c r="M12" s="84" t="s">
        <v>607</v>
      </c>
      <c r="N12" s="16" t="s">
        <v>510</v>
      </c>
    </row>
    <row r="14" ht="16">
      <c r="B14" s="227" t="s">
        <v>25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</row>
    <row r="15">
      <c r="A15" s="93">
        <v>1</v>
      </c>
      <c r="B15" s="16" t="s">
        <v>293</v>
      </c>
      <c r="C15" s="16" t="s">
        <v>294</v>
      </c>
      <c r="D15" s="91">
        <v>78.3</v>
      </c>
      <c r="E15" s="16" t="str">
        <f>"0,6922"</f>
        <v>0,6922</v>
      </c>
      <c r="F15" s="16" t="s">
        <v>14</v>
      </c>
      <c r="G15" s="16" t="s">
        <v>537</v>
      </c>
      <c r="H15" s="158" t="s">
        <v>61</v>
      </c>
      <c r="I15" s="158" t="s">
        <v>85</v>
      </c>
      <c r="J15" s="90" t="s">
        <v>215</v>
      </c>
      <c r="K15" s="17"/>
      <c r="L15" s="175">
        <v>210</v>
      </c>
      <c r="M15" s="84" t="str">
        <f>"145,3620"</f>
        <v>145,3620</v>
      </c>
      <c r="N15" s="16" t="s">
        <v>86</v>
      </c>
    </row>
    <row r="16">
      <c r="A16" s="93">
        <v>2</v>
      </c>
      <c r="B16" s="16" t="s">
        <v>295</v>
      </c>
      <c r="C16" s="16" t="s">
        <v>296</v>
      </c>
      <c r="D16" s="94">
        <v>79</v>
      </c>
      <c r="E16" s="16" t="str">
        <f>"0,6882"</f>
        <v>0,6882</v>
      </c>
      <c r="F16" s="16" t="s">
        <v>141</v>
      </c>
      <c r="G16" s="16" t="s">
        <v>297</v>
      </c>
      <c r="H16" s="158" t="s">
        <v>210</v>
      </c>
      <c r="I16" s="158" t="s">
        <v>60</v>
      </c>
      <c r="J16" s="90" t="s">
        <v>61</v>
      </c>
      <c r="K16" s="17"/>
      <c r="L16" s="175">
        <v>195</v>
      </c>
      <c r="M16" s="84" t="str">
        <f>"134,1990"</f>
        <v>134,1990</v>
      </c>
      <c r="N16" s="16" t="s">
        <v>510</v>
      </c>
    </row>
    <row r="17">
      <c r="A17" s="93">
        <v>1</v>
      </c>
      <c r="B17" s="16" t="s">
        <v>258</v>
      </c>
      <c r="C17" s="16" t="s">
        <v>259</v>
      </c>
      <c r="D17" s="91">
        <v>79.6</v>
      </c>
      <c r="E17" s="16" t="str">
        <f>"0,6849"</f>
        <v>0,6849</v>
      </c>
      <c r="F17" s="16" t="s">
        <v>14</v>
      </c>
      <c r="G17" s="16" t="s">
        <v>260</v>
      </c>
      <c r="H17" s="158" t="s">
        <v>61</v>
      </c>
      <c r="I17" s="160"/>
      <c r="J17" s="69"/>
      <c r="K17" s="17"/>
      <c r="L17" s="175">
        <v>200</v>
      </c>
      <c r="M17" s="84" t="str">
        <f>"136,9800"</f>
        <v>136,9800</v>
      </c>
      <c r="N17" s="16" t="s">
        <v>86</v>
      </c>
    </row>
    <row r="19" ht="16">
      <c r="B19" s="189" t="s">
        <v>30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>
      <c r="A20" s="93">
        <v>1</v>
      </c>
      <c r="B20" s="16" t="s">
        <v>229</v>
      </c>
      <c r="C20" s="16" t="s">
        <v>298</v>
      </c>
      <c r="D20" s="91">
        <v>89.5</v>
      </c>
      <c r="E20" s="16" t="str">
        <f>"0,6402"</f>
        <v>0,6402</v>
      </c>
      <c r="F20" s="16" t="s">
        <v>72</v>
      </c>
      <c r="G20" s="16" t="s">
        <v>537</v>
      </c>
      <c r="H20" s="158" t="s">
        <v>215</v>
      </c>
      <c r="I20" s="158" t="s">
        <v>166</v>
      </c>
      <c r="J20" s="158" t="s">
        <v>167</v>
      </c>
      <c r="K20" s="158" t="s">
        <v>214</v>
      </c>
      <c r="L20" s="175">
        <v>235</v>
      </c>
      <c r="M20" s="84" t="str">
        <f>"150,4470"</f>
        <v>150,4470</v>
      </c>
      <c r="N20" s="16" t="s">
        <v>441</v>
      </c>
    </row>
    <row r="21">
      <c r="A21" s="93">
        <v>1</v>
      </c>
      <c r="B21" s="16" t="s">
        <v>299</v>
      </c>
      <c r="C21" s="16" t="s">
        <v>300</v>
      </c>
      <c r="D21" s="91">
        <v>89.2</v>
      </c>
      <c r="E21" s="16" t="str">
        <f>"0,6413"</f>
        <v>0,6413</v>
      </c>
      <c r="F21" s="16" t="s">
        <v>141</v>
      </c>
      <c r="G21" s="16" t="s">
        <v>297</v>
      </c>
      <c r="H21" s="158" t="s">
        <v>166</v>
      </c>
      <c r="I21" s="158" t="s">
        <v>214</v>
      </c>
      <c r="J21" s="90" t="s">
        <v>204</v>
      </c>
      <c r="K21" s="69"/>
      <c r="L21" s="175">
        <v>240</v>
      </c>
      <c r="M21" s="84" t="str">
        <f>"153,9120"</f>
        <v>153,9120</v>
      </c>
      <c r="N21" s="16" t="s">
        <v>510</v>
      </c>
    </row>
    <row r="22">
      <c r="A22" s="93">
        <v>1</v>
      </c>
      <c r="B22" s="16" t="s">
        <v>301</v>
      </c>
      <c r="C22" s="16" t="s">
        <v>302</v>
      </c>
      <c r="D22" s="91">
        <v>88.5</v>
      </c>
      <c r="E22" s="16" t="str">
        <f>"0,6440"</f>
        <v>0,6440</v>
      </c>
      <c r="F22" s="16" t="s">
        <v>14</v>
      </c>
      <c r="G22" s="16" t="s">
        <v>537</v>
      </c>
      <c r="H22" s="158" t="s">
        <v>204</v>
      </c>
      <c r="I22" s="158" t="s">
        <v>303</v>
      </c>
      <c r="J22" s="90" t="s">
        <v>278</v>
      </c>
      <c r="K22" s="69"/>
      <c r="L22" s="175">
        <v>262.5</v>
      </c>
      <c r="M22" s="84" t="str">
        <f>"169,0500"</f>
        <v>169,0500</v>
      </c>
      <c r="N22" s="16" t="s">
        <v>86</v>
      </c>
    </row>
    <row r="23">
      <c r="A23" s="93">
        <v>2</v>
      </c>
      <c r="B23" s="16" t="s">
        <v>229</v>
      </c>
      <c r="C23" s="16" t="s">
        <v>230</v>
      </c>
      <c r="D23" s="91">
        <v>89.5</v>
      </c>
      <c r="E23" s="16" t="str">
        <f>"0,6402"</f>
        <v>0,6402</v>
      </c>
      <c r="F23" s="16" t="s">
        <v>72</v>
      </c>
      <c r="G23" s="16" t="s">
        <v>537</v>
      </c>
      <c r="H23" s="158" t="s">
        <v>167</v>
      </c>
      <c r="I23" s="180"/>
      <c r="J23" s="69"/>
      <c r="K23" s="69"/>
      <c r="L23" s="175">
        <v>235</v>
      </c>
      <c r="M23" s="84" t="str">
        <f>"150,4470"</f>
        <v>150,4470</v>
      </c>
      <c r="N23" s="16" t="s">
        <v>441</v>
      </c>
    </row>
    <row r="24">
      <c r="A24" s="93">
        <v>3</v>
      </c>
      <c r="B24" s="16" t="s">
        <v>304</v>
      </c>
      <c r="C24" s="16" t="s">
        <v>305</v>
      </c>
      <c r="D24" s="94">
        <v>90</v>
      </c>
      <c r="E24" s="16" t="str">
        <f>"0,6384"</f>
        <v>0,6384</v>
      </c>
      <c r="F24" s="16" t="s">
        <v>14</v>
      </c>
      <c r="G24" s="16" t="s">
        <v>155</v>
      </c>
      <c r="H24" s="158" t="s">
        <v>61</v>
      </c>
      <c r="I24" s="158" t="s">
        <v>62</v>
      </c>
      <c r="J24" s="158" t="s">
        <v>85</v>
      </c>
      <c r="K24" s="69"/>
      <c r="L24" s="175">
        <v>210</v>
      </c>
      <c r="M24" s="84" t="str">
        <f>"134,0640"</f>
        <v>134,0640</v>
      </c>
      <c r="N24" s="16" t="s">
        <v>507</v>
      </c>
    </row>
    <row r="25">
      <c r="A25" s="93">
        <v>4</v>
      </c>
      <c r="B25" s="16" t="s">
        <v>306</v>
      </c>
      <c r="C25" s="16" t="s">
        <v>307</v>
      </c>
      <c r="D25" s="91">
        <v>85.7</v>
      </c>
      <c r="E25" s="16" t="str">
        <f>"0,6553"</f>
        <v>0,6553</v>
      </c>
      <c r="F25" s="16" t="s">
        <v>14</v>
      </c>
      <c r="G25" s="16" t="s">
        <v>34</v>
      </c>
      <c r="H25" s="158" t="s">
        <v>209</v>
      </c>
      <c r="I25" s="90" t="s">
        <v>255</v>
      </c>
      <c r="J25" s="90" t="s">
        <v>255</v>
      </c>
      <c r="K25" s="69"/>
      <c r="L25" s="175">
        <v>180</v>
      </c>
      <c r="M25" s="84" t="str">
        <f>"117,9540"</f>
        <v>117,9540</v>
      </c>
      <c r="N25" s="16" t="s">
        <v>86</v>
      </c>
    </row>
    <row r="27" ht="16">
      <c r="B27" s="189" t="s">
        <v>55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>
      <c r="A28" s="84" t="s">
        <v>330</v>
      </c>
      <c r="B28" s="16" t="s">
        <v>180</v>
      </c>
      <c r="C28" s="16" t="s">
        <v>181</v>
      </c>
      <c r="D28" s="91">
        <v>107.9</v>
      </c>
      <c r="E28" s="16" t="str">
        <f>"0,5921"</f>
        <v>0,5921</v>
      </c>
      <c r="F28" s="16" t="s">
        <v>14</v>
      </c>
      <c r="G28" s="16" t="s">
        <v>537</v>
      </c>
      <c r="H28" s="158" t="s">
        <v>189</v>
      </c>
      <c r="I28" s="158" t="s">
        <v>62</v>
      </c>
      <c r="J28" s="158" t="s">
        <v>308</v>
      </c>
      <c r="K28" s="17"/>
      <c r="L28" s="175">
        <v>215</v>
      </c>
      <c r="M28" s="84" t="str">
        <f>"127,3015"</f>
        <v>127,3015</v>
      </c>
      <c r="N28" s="16" t="s">
        <v>511</v>
      </c>
    </row>
    <row r="29">
      <c r="A29" s="96"/>
      <c r="B29" s="71"/>
      <c r="C29" s="71"/>
      <c r="D29" s="97"/>
      <c r="E29" s="71"/>
      <c r="F29" s="71"/>
      <c r="G29" s="161"/>
      <c r="H29" s="79"/>
      <c r="I29" s="79"/>
      <c r="J29" s="79"/>
      <c r="K29" s="72"/>
      <c r="L29" s="181"/>
      <c r="M29" s="96"/>
      <c r="N29" s="71"/>
    </row>
    <row r="30" ht="14">
      <c r="B30" s="20" t="s">
        <v>528</v>
      </c>
    </row>
    <row r="31" ht="14">
      <c r="B31" s="19"/>
      <c r="C31" s="20"/>
    </row>
    <row r="32" ht="14">
      <c r="B32" s="21" t="s">
        <v>90</v>
      </c>
      <c r="C32" s="21" t="s">
        <v>91</v>
      </c>
      <c r="D32" s="115" t="s">
        <v>550</v>
      </c>
      <c r="E32" s="21" t="s">
        <v>92</v>
      </c>
      <c r="F32" s="21" t="s">
        <v>93</v>
      </c>
    </row>
    <row r="33">
      <c r="A33" s="85" t="s">
        <v>330</v>
      </c>
      <c r="B33" s="65" t="s">
        <v>301</v>
      </c>
      <c r="C33" s="54" t="s">
        <v>94</v>
      </c>
      <c r="D33" s="175">
        <v>90</v>
      </c>
      <c r="E33" s="84" t="s">
        <v>303</v>
      </c>
      <c r="F33" s="84" t="s">
        <v>310</v>
      </c>
    </row>
    <row r="34">
      <c r="A34" s="85" t="s">
        <v>331</v>
      </c>
      <c r="B34" s="65" t="s">
        <v>229</v>
      </c>
      <c r="C34" s="54" t="s">
        <v>94</v>
      </c>
      <c r="D34" s="175">
        <v>90</v>
      </c>
      <c r="E34" s="84" t="s">
        <v>167</v>
      </c>
      <c r="F34" s="84" t="s">
        <v>309</v>
      </c>
    </row>
    <row r="35">
      <c r="A35" s="85" t="s">
        <v>337</v>
      </c>
      <c r="B35" s="65" t="s">
        <v>258</v>
      </c>
      <c r="C35" s="54" t="s">
        <v>94</v>
      </c>
      <c r="D35" s="175">
        <v>82.5</v>
      </c>
      <c r="E35" s="84" t="s">
        <v>61</v>
      </c>
      <c r="F35" s="84" t="s">
        <v>311</v>
      </c>
    </row>
  </sheetData>
  <mergeCells>
    <mergeCell ref="A1:N2"/>
    <mergeCell ref="A3:A4"/>
    <mergeCell ref="B19:M19"/>
    <mergeCell ref="B27:M27"/>
    <mergeCell ref="L3:L4"/>
    <mergeCell ref="M3:M4"/>
    <mergeCell ref="N3:N4"/>
    <mergeCell ref="B5:M5"/>
    <mergeCell ref="B8:M8"/>
    <mergeCell ref="B11:M11"/>
    <mergeCell ref="B3:B4"/>
    <mergeCell ref="C3:C4"/>
    <mergeCell ref="D3:D4"/>
    <mergeCell ref="E3:E4"/>
    <mergeCell ref="F3:F4"/>
    <mergeCell ref="G3:G4"/>
    <mergeCell ref="H3:K3"/>
    <mergeCell ref="B14:M1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9"/>
  <sheetViews>
    <sheetView topLeftCell="A1" workbookViewId="0">
      <selection activeCell="K9" sqref="K9"/>
    </sheetView>
  </sheetViews>
  <sheetFormatPr defaultColWidth="8.7109375" defaultRowHeight="13"/>
  <cols>
    <col min="1" max="1" width="9.85546875" style="55" customWidth="1"/>
    <col min="2" max="2" width="18.28515625" style="4" customWidth="1"/>
    <col min="3" max="3" width="24" style="1" customWidth="1"/>
    <col min="4" max="4" width="10.5703125" style="1" bestFit="1" customWidth="1"/>
    <col min="5" max="5" width="8.42578125" style="1" bestFit="1" customWidth="1"/>
    <col min="6" max="6" width="17.5703125" style="5" customWidth="1"/>
    <col min="7" max="7" width="32.5703125" style="5" customWidth="1"/>
    <col min="8" max="15" width="4.5703125" style="1" bestFit="1" customWidth="1"/>
    <col min="16" max="16" width="7.85546875" style="63" bestFit="1" customWidth="1"/>
    <col min="17" max="17" width="8.5703125" style="1" bestFit="1" customWidth="1"/>
    <col min="18" max="18" width="15.42578125" style="5" bestFit="1" customWidth="1"/>
    <col min="19" max="16384" width="8.7109375" style="1"/>
  </cols>
  <sheetData>
    <row r="1" ht="15" customHeight="1">
      <c r="A1" s="1"/>
      <c r="B1" s="212" t="s">
        <v>657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9"/>
    </row>
    <row r="2" ht="87.75" customHeight="1" thickBot="1">
      <c r="A2" s="1"/>
      <c r="B2" s="230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336</v>
      </c>
      <c r="F3" s="190" t="s">
        <v>7</v>
      </c>
      <c r="G3" s="190" t="s">
        <v>430</v>
      </c>
      <c r="H3" s="190" t="s">
        <v>429</v>
      </c>
      <c r="I3" s="190"/>
      <c r="J3" s="190"/>
      <c r="K3" s="190"/>
      <c r="L3" s="190" t="s">
        <v>656</v>
      </c>
      <c r="M3" s="190"/>
      <c r="N3" s="190"/>
      <c r="O3" s="190"/>
      <c r="P3" s="208" t="s">
        <v>4</v>
      </c>
      <c r="Q3" s="190" t="s">
        <v>6</v>
      </c>
      <c r="R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209"/>
      <c r="Q4" s="191"/>
      <c r="R4" s="193"/>
    </row>
    <row r="5" ht="16">
      <c r="A5" s="57"/>
      <c r="B5" s="221" t="s">
        <v>25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</row>
    <row r="6">
      <c r="A6" s="93">
        <v>1</v>
      </c>
      <c r="B6" s="58" t="s">
        <v>26</v>
      </c>
      <c r="C6" s="7" t="s">
        <v>27</v>
      </c>
      <c r="D6" s="185">
        <v>81</v>
      </c>
      <c r="E6" s="6" t="str">
        <f>"0,6524"</f>
        <v>0,6524</v>
      </c>
      <c r="F6" s="7" t="s">
        <v>141</v>
      </c>
      <c r="G6" s="7" t="s">
        <v>537</v>
      </c>
      <c r="H6" s="159" t="s">
        <v>249</v>
      </c>
      <c r="I6" s="159" t="s">
        <v>250</v>
      </c>
      <c r="J6" s="105" t="s">
        <v>220</v>
      </c>
      <c r="K6" s="8"/>
      <c r="L6" s="159" t="s">
        <v>15</v>
      </c>
      <c r="M6" s="159" t="s">
        <v>375</v>
      </c>
      <c r="N6" s="159" t="s">
        <v>16</v>
      </c>
      <c r="O6" s="8"/>
      <c r="P6" s="107" t="e">
        <f>N6+I6</f>
        <v>#VALUE!</v>
      </c>
      <c r="Q6" s="73" t="str">
        <f>"102,7451"</f>
        <v>102,7451</v>
      </c>
      <c r="R6" s="7" t="s">
        <v>86</v>
      </c>
    </row>
    <row r="7">
      <c r="A7" s="4"/>
      <c r="B7" s="1"/>
      <c r="E7" s="5"/>
      <c r="G7" s="1"/>
      <c r="H7" s="74"/>
      <c r="I7" s="74"/>
      <c r="J7" s="74"/>
      <c r="O7" s="4"/>
      <c r="P7" s="64"/>
      <c r="Q7" s="5"/>
      <c r="R7" s="1"/>
    </row>
    <row r="8">
      <c r="A8" s="1"/>
      <c r="B8" s="1"/>
      <c r="F8" s="1"/>
      <c r="G8" s="1"/>
      <c r="I8" s="4"/>
      <c r="K8" s="5"/>
      <c r="P8" s="64"/>
      <c r="R8" s="1"/>
    </row>
    <row r="9">
      <c r="A9" s="1"/>
      <c r="B9" s="1"/>
      <c r="F9" s="1"/>
      <c r="G9" s="1"/>
      <c r="I9" s="4"/>
      <c r="K9" s="5"/>
      <c r="P9" s="64"/>
      <c r="R9" s="1"/>
    </row>
    <row r="10">
      <c r="A10" s="1"/>
      <c r="B10" s="1"/>
      <c r="F10" s="1"/>
      <c r="G10" s="1"/>
      <c r="I10" s="4"/>
      <c r="K10" s="5"/>
      <c r="P10" s="64"/>
      <c r="R10" s="1"/>
    </row>
    <row r="11">
      <c r="A11" s="1"/>
      <c r="B11" s="1"/>
      <c r="F11" s="1"/>
      <c r="G11" s="1"/>
      <c r="I11" s="4"/>
      <c r="K11" s="5"/>
      <c r="P11" s="64"/>
      <c r="R11" s="1"/>
    </row>
    <row r="12">
      <c r="A12" s="1"/>
      <c r="B12" s="1"/>
      <c r="F12" s="1"/>
      <c r="G12" s="1"/>
      <c r="I12" s="4"/>
      <c r="K12" s="5"/>
      <c r="P12" s="64"/>
      <c r="R12" s="1"/>
    </row>
    <row r="13">
      <c r="A13" s="1"/>
      <c r="B13" s="1"/>
      <c r="F13" s="1"/>
      <c r="G13" s="1"/>
      <c r="I13" s="4"/>
      <c r="K13" s="5"/>
      <c r="P13" s="64"/>
      <c r="R13" s="1"/>
    </row>
    <row r="14">
      <c r="A14" s="1"/>
      <c r="B14" s="1"/>
      <c r="F14" s="1"/>
      <c r="G14" s="1"/>
      <c r="I14" s="4"/>
      <c r="K14" s="5"/>
      <c r="P14" s="64"/>
      <c r="R14" s="1"/>
    </row>
    <row r="15">
      <c r="A15" s="1"/>
      <c r="B15" s="1"/>
      <c r="F15" s="1"/>
      <c r="G15" s="1"/>
      <c r="I15" s="4"/>
      <c r="K15" s="5"/>
      <c r="P15" s="64"/>
      <c r="R15" s="1"/>
    </row>
    <row r="16">
      <c r="A16" s="1"/>
      <c r="B16" s="1"/>
      <c r="F16" s="1"/>
      <c r="G16" s="1"/>
      <c r="I16" s="4"/>
      <c r="K16" s="5"/>
      <c r="P16" s="64"/>
      <c r="R16" s="1"/>
    </row>
    <row r="17">
      <c r="A17" s="15"/>
      <c r="B17" s="1"/>
      <c r="F17" s="1"/>
      <c r="G17" s="1"/>
      <c r="J17" s="4"/>
      <c r="L17" s="5"/>
      <c r="P17" s="64"/>
      <c r="R17" s="1"/>
    </row>
    <row r="18">
      <c r="A18"/>
      <c r="B18" s="1"/>
      <c r="F18" s="1"/>
      <c r="G18" s="1"/>
      <c r="J18" s="4"/>
      <c r="L18" s="5"/>
      <c r="P18" s="64"/>
      <c r="R18" s="1"/>
    </row>
    <row r="19">
      <c r="A19"/>
      <c r="B19" s="1"/>
      <c r="F19" s="1"/>
      <c r="G19" s="1"/>
      <c r="J19" s="4"/>
      <c r="L19" s="5"/>
      <c r="P19" s="64"/>
      <c r="R19" s="1"/>
    </row>
    <row r="20">
      <c r="A20"/>
      <c r="B20" s="1"/>
      <c r="F20" s="1"/>
      <c r="G20" s="1"/>
      <c r="J20" s="4"/>
      <c r="L20" s="5"/>
      <c r="P20" s="64"/>
      <c r="R20" s="1"/>
    </row>
    <row r="21">
      <c r="A21"/>
    </row>
    <row r="22">
      <c r="A22"/>
    </row>
    <row r="23">
      <c r="A23"/>
    </row>
    <row r="24">
      <c r="A24"/>
    </row>
    <row r="25">
      <c r="A25" s="1"/>
    </row>
    <row r="26">
      <c r="A26" s="1"/>
    </row>
    <row r="27">
      <c r="A27" s="1"/>
    </row>
    <row r="28">
      <c r="A28" s="57"/>
    </row>
    <row r="29">
      <c r="A29" s="57"/>
    </row>
  </sheetData>
  <mergeCells>
    <mergeCell ref="A3:A4"/>
    <mergeCell ref="B5:Q5"/>
    <mergeCell ref="B1:R2"/>
    <mergeCell ref="H3:K3"/>
    <mergeCell ref="L3:O3"/>
    <mergeCell ref="B3:B4"/>
    <mergeCell ref="C3:C4"/>
    <mergeCell ref="D3:D4"/>
    <mergeCell ref="R3:R4"/>
    <mergeCell ref="G3:G4"/>
    <mergeCell ref="F3:F4"/>
    <mergeCell ref="E3:E4"/>
    <mergeCell ref="P3:P4"/>
    <mergeCell ref="Q3:Q4"/>
  </mergeCells>
  <pageMargins left="0.196850393700787" right="0.47244094488189" top="0.433070866141732" bottom="0.47244094488189" header="0.511811023622047" footer="0.511811023622047"/>
  <pageSetup scale="58" fitToHeight="100" orientation="landscape" horizontalDpi="300" verticalDpi="300"/>
  <headerFooter alignWithMargins="0">
    <oddFooter>&amp;L&amp;G&amp;R&amp;D&amp;T&amp;P</oddFooter>
  </headerFooter>
  <legacyDrawingHF r:id="fl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V43"/>
  <sheetViews>
    <sheetView topLeftCell="A1" workbookViewId="0">
      <selection activeCell="K21" sqref="K21"/>
    </sheetView>
  </sheetViews>
  <sheetFormatPr defaultColWidth="8.7109375" defaultRowHeight="13"/>
  <cols>
    <col min="1" max="1" width="9.85546875" style="85" customWidth="1"/>
    <col min="2" max="2" width="20.7109375" style="15" customWidth="1"/>
    <col min="3" max="3" width="24.5703125" style="15" customWidth="1"/>
    <col min="4" max="4" width="10.5703125" style="92" bestFit="1" customWidth="1"/>
    <col min="5" max="5" width="8.42578125" style="15" bestFit="1" customWidth="1"/>
    <col min="6" max="6" width="16.140625" style="15" customWidth="1"/>
    <col min="7" max="7" width="32.85546875" style="15" customWidth="1"/>
    <col min="8" max="15" width="4.5703125" style="15" bestFit="1" customWidth="1"/>
    <col min="16" max="16" width="7.85546875" style="176" bestFit="1" customWidth="1"/>
    <col min="17" max="17" width="7.5703125" style="85" bestFit="1" customWidth="1"/>
    <col min="18" max="18" width="20.5703125" style="15" customWidth="1"/>
  </cols>
  <sheetData>
    <row r="1" s="1" customFormat="1" ht="15" customHeight="1">
      <c r="A1" s="200" t="s">
        <v>654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5"/>
    </row>
    <row r="2" s="1" customFormat="1" ht="87.75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336</v>
      </c>
      <c r="F3" s="190" t="s">
        <v>7</v>
      </c>
      <c r="G3" s="190" t="s">
        <v>430</v>
      </c>
      <c r="H3" s="190" t="s">
        <v>429</v>
      </c>
      <c r="I3" s="190"/>
      <c r="J3" s="190"/>
      <c r="K3" s="190"/>
      <c r="L3" s="190" t="s">
        <v>656</v>
      </c>
      <c r="M3" s="190"/>
      <c r="N3" s="190"/>
      <c r="O3" s="190"/>
      <c r="P3" s="208" t="s">
        <v>4</v>
      </c>
      <c r="Q3" s="190" t="s">
        <v>6</v>
      </c>
      <c r="R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209"/>
      <c r="Q4" s="191"/>
      <c r="R4" s="193"/>
      <c r="S4"/>
      <c r="T4"/>
      <c r="U4"/>
      <c r="V4"/>
    </row>
    <row r="5" ht="16">
      <c r="A5" s="88"/>
      <c r="B5" s="194" t="s">
        <v>106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</row>
    <row r="6" s="56" customFormat="1">
      <c r="A6" s="93">
        <v>1</v>
      </c>
      <c r="B6" s="16" t="s">
        <v>354</v>
      </c>
      <c r="C6" s="16" t="s">
        <v>428</v>
      </c>
      <c r="D6" s="91">
        <v>73.2</v>
      </c>
      <c r="E6" s="16" t="str">
        <f>"0,7012"</f>
        <v>0,7012</v>
      </c>
      <c r="F6" s="7" t="s">
        <v>141</v>
      </c>
      <c r="G6" s="16" t="s">
        <v>297</v>
      </c>
      <c r="H6" s="158" t="s">
        <v>384</v>
      </c>
      <c r="I6" s="158" t="s">
        <v>427</v>
      </c>
      <c r="J6" s="90" t="s">
        <v>374</v>
      </c>
      <c r="K6" s="17"/>
      <c r="L6" s="158" t="s">
        <v>378</v>
      </c>
      <c r="M6" s="158" t="s">
        <v>98</v>
      </c>
      <c r="N6" s="90" t="s">
        <v>384</v>
      </c>
      <c r="O6" s="17"/>
      <c r="P6" s="175">
        <v>112.5</v>
      </c>
      <c r="Q6" s="84" t="str">
        <f>"78,8794"</f>
        <v>78,8794</v>
      </c>
      <c r="R6" s="16" t="s">
        <v>379</v>
      </c>
      <c r="S6"/>
      <c r="T6"/>
      <c r="U6"/>
      <c r="V6"/>
    </row>
    <row r="7" s="56" customFormat="1">
      <c r="A7" s="93">
        <v>2</v>
      </c>
      <c r="B7" s="16" t="s">
        <v>426</v>
      </c>
      <c r="C7" s="16" t="s">
        <v>425</v>
      </c>
      <c r="D7" s="91">
        <v>74.4</v>
      </c>
      <c r="E7" s="16" t="str">
        <f>"0,6927"</f>
        <v>0,6927</v>
      </c>
      <c r="F7" s="16" t="s">
        <v>14</v>
      </c>
      <c r="G7" s="16" t="s">
        <v>541</v>
      </c>
      <c r="H7" s="158" t="s">
        <v>384</v>
      </c>
      <c r="I7" s="158" t="s">
        <v>15</v>
      </c>
      <c r="J7" s="158" t="s">
        <v>375</v>
      </c>
      <c r="K7" s="17"/>
      <c r="L7" s="158" t="s">
        <v>364</v>
      </c>
      <c r="M7" s="158" t="s">
        <v>402</v>
      </c>
      <c r="N7" s="158" t="s">
        <v>346</v>
      </c>
      <c r="O7" s="17"/>
      <c r="P7" s="175">
        <v>105</v>
      </c>
      <c r="Q7" s="84" t="str">
        <f>"72,7283"</f>
        <v>72,7283</v>
      </c>
      <c r="R7" s="16" t="s">
        <v>86</v>
      </c>
      <c r="S7"/>
      <c r="T7"/>
      <c r="U7"/>
      <c r="V7"/>
    </row>
    <row r="8">
      <c r="A8" s="88"/>
    </row>
    <row r="9" ht="16">
      <c r="A9" s="88"/>
      <c r="B9" s="189" t="s">
        <v>30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</row>
    <row r="10" s="56" customFormat="1">
      <c r="A10" s="93">
        <v>1</v>
      </c>
      <c r="B10" s="16" t="s">
        <v>381</v>
      </c>
      <c r="C10" s="16" t="s">
        <v>380</v>
      </c>
      <c r="D10" s="94">
        <v>89</v>
      </c>
      <c r="E10" s="16" t="str">
        <f>"0,6157"</f>
        <v>0,6157</v>
      </c>
      <c r="F10" s="16" t="s">
        <v>141</v>
      </c>
      <c r="G10" s="16" t="s">
        <v>297</v>
      </c>
      <c r="H10" s="158" t="s">
        <v>250</v>
      </c>
      <c r="I10" s="90" t="s">
        <v>220</v>
      </c>
      <c r="J10" s="90" t="s">
        <v>220</v>
      </c>
      <c r="K10" s="17"/>
      <c r="L10" s="158" t="s">
        <v>15</v>
      </c>
      <c r="M10" s="158" t="s">
        <v>374</v>
      </c>
      <c r="N10" s="90" t="s">
        <v>16</v>
      </c>
      <c r="O10" s="17"/>
      <c r="P10" s="175">
        <v>155</v>
      </c>
      <c r="Q10" s="84" t="str">
        <f>"95,4335"</f>
        <v>95,4335</v>
      </c>
      <c r="R10" s="16" t="s">
        <v>379</v>
      </c>
      <c r="S10"/>
      <c r="T10"/>
      <c r="U10"/>
      <c r="V10"/>
    </row>
    <row r="11" s="56" customFormat="1">
      <c r="A11" s="93">
        <v>2</v>
      </c>
      <c r="B11" s="16" t="s">
        <v>372</v>
      </c>
      <c r="C11" s="16" t="s">
        <v>385</v>
      </c>
      <c r="D11" s="94">
        <v>89</v>
      </c>
      <c r="E11" s="16" t="str">
        <f>"0,6157"</f>
        <v>0,6157</v>
      </c>
      <c r="F11" s="10" t="s">
        <v>141</v>
      </c>
      <c r="G11" s="16" t="s">
        <v>297</v>
      </c>
      <c r="H11" s="158" t="s">
        <v>249</v>
      </c>
      <c r="I11" s="158" t="s">
        <v>274</v>
      </c>
      <c r="J11" s="158" t="s">
        <v>220</v>
      </c>
      <c r="K11" s="17"/>
      <c r="L11" s="158" t="s">
        <v>346</v>
      </c>
      <c r="M11" s="158" t="s">
        <v>98</v>
      </c>
      <c r="N11" s="90" t="s">
        <v>15</v>
      </c>
      <c r="O11" s="17"/>
      <c r="P11" s="175">
        <v>142.5</v>
      </c>
      <c r="Q11" s="84" t="str">
        <f>"87,7373"</f>
        <v>87,7373</v>
      </c>
      <c r="R11" s="16" t="s">
        <v>86</v>
      </c>
      <c r="S11"/>
      <c r="T11"/>
      <c r="U11"/>
      <c r="V11"/>
    </row>
    <row r="12" s="56" customFormat="1">
      <c r="A12" s="93">
        <v>3</v>
      </c>
      <c r="B12" s="16" t="s">
        <v>195</v>
      </c>
      <c r="C12" s="16" t="s">
        <v>196</v>
      </c>
      <c r="D12" s="94">
        <v>90</v>
      </c>
      <c r="E12" s="16" t="str">
        <f>"0,6119"</f>
        <v>0,6119</v>
      </c>
      <c r="F12" s="16" t="s">
        <v>72</v>
      </c>
      <c r="G12" s="16" t="s">
        <v>46</v>
      </c>
      <c r="H12" s="90" t="s">
        <v>326</v>
      </c>
      <c r="I12" s="158" t="s">
        <v>326</v>
      </c>
      <c r="J12" s="90" t="s">
        <v>249</v>
      </c>
      <c r="K12" s="17"/>
      <c r="L12" s="158" t="s">
        <v>98</v>
      </c>
      <c r="M12" s="158" t="s">
        <v>105</v>
      </c>
      <c r="N12" s="90"/>
      <c r="O12" s="17"/>
      <c r="P12" s="175">
        <v>132.5</v>
      </c>
      <c r="Q12" s="84" t="str">
        <f>"81,0701"</f>
        <v>81,0701</v>
      </c>
      <c r="R12" s="16" t="s">
        <v>516</v>
      </c>
      <c r="S12"/>
      <c r="T12"/>
      <c r="U12"/>
      <c r="V12"/>
    </row>
    <row r="13" s="56" customFormat="1">
      <c r="A13" s="93">
        <v>1</v>
      </c>
      <c r="B13" s="16" t="s">
        <v>372</v>
      </c>
      <c r="C13" s="16" t="s">
        <v>424</v>
      </c>
      <c r="D13" s="94">
        <v>89</v>
      </c>
      <c r="E13" s="16" t="str">
        <f>"0,6157"</f>
        <v>0,6157</v>
      </c>
      <c r="F13" s="10" t="s">
        <v>141</v>
      </c>
      <c r="G13" s="16" t="s">
        <v>297</v>
      </c>
      <c r="H13" s="158" t="s">
        <v>249</v>
      </c>
      <c r="I13" s="158" t="s">
        <v>274</v>
      </c>
      <c r="J13" s="158" t="s">
        <v>220</v>
      </c>
      <c r="K13" s="17"/>
      <c r="L13" s="158" t="s">
        <v>346</v>
      </c>
      <c r="M13" s="158" t="s">
        <v>98</v>
      </c>
      <c r="N13" s="90" t="s">
        <v>15</v>
      </c>
      <c r="O13" s="17"/>
      <c r="P13" s="175">
        <v>142.5</v>
      </c>
      <c r="Q13" s="84" t="str">
        <f>"89,4920"</f>
        <v>89,4920</v>
      </c>
      <c r="R13" s="16" t="s">
        <v>86</v>
      </c>
      <c r="S13"/>
      <c r="T13"/>
      <c r="U13"/>
      <c r="V13"/>
    </row>
    <row r="14">
      <c r="A14" s="88"/>
    </row>
    <row r="15" ht="16">
      <c r="A15" s="88"/>
      <c r="B15" s="189" t="s">
        <v>42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</row>
    <row r="16" s="56" customFormat="1">
      <c r="A16" s="93">
        <v>1</v>
      </c>
      <c r="B16" s="16" t="s">
        <v>423</v>
      </c>
      <c r="C16" s="16" t="s">
        <v>422</v>
      </c>
      <c r="D16" s="91">
        <v>91.9</v>
      </c>
      <c r="E16" s="16" t="str">
        <f>"0,6050"</f>
        <v>0,6050</v>
      </c>
      <c r="F16" s="16" t="s">
        <v>14</v>
      </c>
      <c r="G16" s="16" t="s">
        <v>46</v>
      </c>
      <c r="H16" s="158" t="s">
        <v>326</v>
      </c>
      <c r="I16" s="158" t="s">
        <v>249</v>
      </c>
      <c r="J16" s="90" t="s">
        <v>421</v>
      </c>
      <c r="K16" s="69"/>
      <c r="L16" s="158" t="s">
        <v>375</v>
      </c>
      <c r="M16" s="158" t="s">
        <v>374</v>
      </c>
      <c r="N16" s="90" t="s">
        <v>16</v>
      </c>
      <c r="O16" s="17"/>
      <c r="P16" s="175">
        <v>147.5</v>
      </c>
      <c r="Q16" s="84" t="str">
        <f>"89,2375"</f>
        <v>89,2375</v>
      </c>
      <c r="R16" s="16" t="s">
        <v>527</v>
      </c>
      <c r="S16"/>
      <c r="T16"/>
      <c r="U16"/>
      <c r="V16"/>
    </row>
    <row r="17">
      <c r="R17"/>
    </row>
    <row r="18">
      <c r="A18" s="88"/>
      <c r="B18"/>
      <c r="C18"/>
      <c r="D18" s="102"/>
      <c r="E18"/>
      <c r="F18"/>
      <c r="G18"/>
      <c r="H18"/>
      <c r="I18"/>
      <c r="J18"/>
      <c r="K18"/>
      <c r="L18"/>
      <c r="M18"/>
      <c r="N18"/>
      <c r="O18"/>
      <c r="Q18" s="88"/>
      <c r="R18"/>
    </row>
    <row r="19">
      <c r="A19" s="88"/>
      <c r="B19"/>
      <c r="C19"/>
      <c r="D19" s="102"/>
      <c r="E19"/>
      <c r="F19"/>
      <c r="G19"/>
      <c r="H19"/>
      <c r="I19"/>
      <c r="J19"/>
      <c r="K19"/>
      <c r="L19"/>
      <c r="M19"/>
      <c r="N19"/>
      <c r="O19"/>
      <c r="Q19" s="88"/>
      <c r="R19"/>
    </row>
    <row r="20">
      <c r="A20" s="88"/>
      <c r="B20"/>
      <c r="C20"/>
      <c r="D20" s="102"/>
      <c r="E20"/>
      <c r="F20"/>
      <c r="G20"/>
      <c r="H20"/>
      <c r="I20"/>
      <c r="J20"/>
      <c r="K20"/>
      <c r="L20"/>
      <c r="M20"/>
      <c r="N20"/>
      <c r="O20"/>
      <c r="Q20" s="88"/>
      <c r="R20"/>
    </row>
    <row r="21">
      <c r="A21" s="88"/>
      <c r="B21"/>
      <c r="C21"/>
      <c r="D21" s="102"/>
      <c r="E21"/>
      <c r="F21"/>
      <c r="G21"/>
      <c r="H21"/>
      <c r="I21"/>
      <c r="J21"/>
      <c r="K21"/>
      <c r="L21"/>
      <c r="M21"/>
      <c r="N21"/>
      <c r="O21"/>
      <c r="Q21" s="88"/>
      <c r="R21"/>
    </row>
    <row r="22">
      <c r="A22" s="88"/>
      <c r="B22"/>
      <c r="C22"/>
      <c r="D22" s="102"/>
      <c r="E22"/>
      <c r="F22"/>
      <c r="G22"/>
      <c r="H22"/>
      <c r="I22"/>
      <c r="J22"/>
      <c r="K22"/>
      <c r="L22"/>
      <c r="M22"/>
      <c r="N22"/>
      <c r="O22"/>
      <c r="Q22" s="88"/>
      <c r="R22"/>
    </row>
    <row r="23">
      <c r="A23" s="88"/>
      <c r="B23"/>
      <c r="C23"/>
      <c r="D23" s="102"/>
      <c r="E23"/>
      <c r="F23"/>
      <c r="G23"/>
      <c r="H23"/>
      <c r="I23"/>
      <c r="J23"/>
      <c r="K23"/>
      <c r="L23"/>
      <c r="M23"/>
      <c r="N23"/>
      <c r="O23"/>
      <c r="Q23" s="88"/>
      <c r="R23"/>
    </row>
    <row r="24">
      <c r="A24" s="88"/>
      <c r="B24"/>
      <c r="C24"/>
      <c r="D24" s="102"/>
      <c r="E24"/>
      <c r="F24"/>
      <c r="G24"/>
      <c r="H24"/>
      <c r="I24"/>
      <c r="J24"/>
      <c r="K24"/>
      <c r="L24"/>
      <c r="M24"/>
      <c r="N24"/>
      <c r="O24"/>
      <c r="Q24" s="88"/>
      <c r="R24"/>
    </row>
    <row r="25">
      <c r="A25" s="74"/>
      <c r="B25"/>
      <c r="C25"/>
      <c r="D25" s="102"/>
      <c r="E25"/>
      <c r="F25" t="s">
        <v>655</v>
      </c>
      <c r="G25"/>
      <c r="H25"/>
      <c r="I25"/>
      <c r="J25"/>
      <c r="K25"/>
      <c r="L25"/>
      <c r="M25"/>
      <c r="N25"/>
      <c r="O25"/>
      <c r="Q25" s="88"/>
      <c r="R25"/>
    </row>
    <row r="26">
      <c r="A26" s="74"/>
      <c r="B26"/>
      <c r="C26"/>
      <c r="D26" s="102"/>
      <c r="E26"/>
      <c r="F26"/>
      <c r="G26"/>
      <c r="H26"/>
      <c r="I26"/>
      <c r="J26"/>
      <c r="K26"/>
      <c r="L26"/>
      <c r="M26"/>
      <c r="N26"/>
      <c r="O26"/>
      <c r="Q26" s="88"/>
      <c r="R26"/>
    </row>
    <row r="27">
      <c r="A27" s="74"/>
      <c r="B27"/>
      <c r="C27"/>
      <c r="D27" s="102"/>
      <c r="E27"/>
      <c r="F27"/>
      <c r="G27"/>
      <c r="H27"/>
      <c r="I27"/>
      <c r="J27"/>
      <c r="K27"/>
      <c r="L27"/>
      <c r="M27"/>
      <c r="N27"/>
      <c r="O27"/>
      <c r="Q27" s="88"/>
      <c r="R27"/>
    </row>
    <row r="28">
      <c r="A28" s="88"/>
      <c r="B28"/>
      <c r="C28"/>
      <c r="D28" s="102"/>
      <c r="E28"/>
      <c r="F28"/>
      <c r="G28"/>
      <c r="H28"/>
      <c r="I28"/>
      <c r="J28"/>
      <c r="K28"/>
      <c r="L28"/>
      <c r="M28"/>
      <c r="N28"/>
      <c r="O28"/>
      <c r="Q28" s="88"/>
      <c r="R28"/>
    </row>
    <row r="29">
      <c r="A29" s="88"/>
      <c r="B29"/>
      <c r="C29"/>
      <c r="D29" s="102"/>
      <c r="E29"/>
      <c r="F29"/>
      <c r="G29"/>
      <c r="H29"/>
      <c r="I29"/>
      <c r="J29"/>
      <c r="K29"/>
      <c r="L29"/>
      <c r="M29"/>
      <c r="N29"/>
      <c r="O29"/>
      <c r="Q29" s="88"/>
      <c r="R29"/>
    </row>
    <row r="30">
      <c r="B30"/>
      <c r="C30"/>
      <c r="D30" s="102"/>
      <c r="E30"/>
      <c r="F30"/>
      <c r="G30"/>
      <c r="H30"/>
      <c r="I30"/>
      <c r="J30"/>
      <c r="K30"/>
      <c r="L30"/>
      <c r="M30"/>
      <c r="N30"/>
      <c r="O30"/>
      <c r="Q30" s="88"/>
      <c r="R30"/>
    </row>
    <row r="31">
      <c r="B31"/>
      <c r="C31"/>
      <c r="D31" s="102"/>
      <c r="E31"/>
      <c r="F31"/>
      <c r="G31"/>
      <c r="H31"/>
      <c r="I31"/>
      <c r="J31"/>
      <c r="K31"/>
      <c r="L31"/>
      <c r="M31"/>
      <c r="N31"/>
      <c r="O31"/>
      <c r="Q31" s="88"/>
      <c r="R31"/>
    </row>
    <row r="32">
      <c r="B32"/>
      <c r="C32"/>
      <c r="D32" s="102"/>
      <c r="E32"/>
      <c r="F32"/>
      <c r="G32"/>
      <c r="H32"/>
      <c r="I32"/>
      <c r="J32"/>
      <c r="K32"/>
      <c r="L32"/>
      <c r="M32"/>
      <c r="N32"/>
      <c r="O32"/>
      <c r="Q32" s="88"/>
      <c r="R32"/>
    </row>
    <row r="33">
      <c r="B33"/>
      <c r="C33"/>
      <c r="D33" s="102"/>
      <c r="E33"/>
      <c r="F33"/>
      <c r="G33"/>
      <c r="H33"/>
      <c r="I33"/>
      <c r="J33"/>
      <c r="K33"/>
      <c r="L33"/>
      <c r="M33"/>
      <c r="N33"/>
      <c r="O33"/>
      <c r="Q33" s="88"/>
      <c r="R33"/>
    </row>
    <row r="34">
      <c r="B34"/>
      <c r="C34"/>
      <c r="D34" s="102"/>
      <c r="E34"/>
      <c r="F34"/>
      <c r="G34"/>
      <c r="H34"/>
      <c r="I34"/>
      <c r="J34"/>
      <c r="K34"/>
      <c r="L34"/>
      <c r="M34"/>
      <c r="N34"/>
      <c r="O34"/>
      <c r="Q34" s="88"/>
      <c r="R34"/>
    </row>
    <row r="35">
      <c r="B35"/>
      <c r="C35"/>
      <c r="D35" s="102"/>
      <c r="E35"/>
      <c r="F35"/>
      <c r="G35"/>
      <c r="H35"/>
      <c r="I35"/>
      <c r="J35"/>
      <c r="K35"/>
      <c r="L35"/>
      <c r="M35"/>
      <c r="N35"/>
      <c r="O35"/>
      <c r="Q35" s="88"/>
      <c r="R35"/>
    </row>
    <row r="36">
      <c r="B36"/>
      <c r="C36"/>
      <c r="D36" s="102"/>
      <c r="E36"/>
      <c r="F36"/>
      <c r="G36"/>
      <c r="H36"/>
      <c r="I36"/>
      <c r="J36"/>
      <c r="K36"/>
      <c r="L36"/>
      <c r="M36"/>
      <c r="N36"/>
      <c r="O36"/>
      <c r="Q36" s="88"/>
      <c r="R36"/>
    </row>
    <row r="37">
      <c r="B37"/>
      <c r="C37"/>
      <c r="D37" s="102"/>
      <c r="E37"/>
      <c r="F37"/>
      <c r="G37"/>
      <c r="H37"/>
      <c r="I37"/>
      <c r="J37"/>
      <c r="K37"/>
      <c r="L37"/>
      <c r="M37"/>
      <c r="N37"/>
      <c r="O37"/>
      <c r="Q37" s="88"/>
      <c r="R37"/>
    </row>
    <row r="38">
      <c r="B38"/>
      <c r="C38"/>
      <c r="D38" s="102"/>
      <c r="E38"/>
      <c r="F38"/>
      <c r="G38"/>
      <c r="H38"/>
      <c r="I38"/>
      <c r="J38"/>
      <c r="K38"/>
      <c r="L38"/>
      <c r="M38"/>
      <c r="N38"/>
      <c r="O38"/>
      <c r="Q38" s="88"/>
      <c r="R38"/>
    </row>
    <row r="39">
      <c r="B39"/>
      <c r="C39"/>
      <c r="D39" s="102"/>
      <c r="E39"/>
      <c r="F39"/>
      <c r="G39"/>
      <c r="H39"/>
      <c r="I39"/>
      <c r="J39"/>
      <c r="K39"/>
      <c r="L39"/>
      <c r="M39"/>
      <c r="N39"/>
      <c r="O39"/>
      <c r="Q39" s="88"/>
      <c r="R39"/>
    </row>
    <row r="40">
      <c r="B40"/>
      <c r="C40"/>
      <c r="D40" s="102"/>
      <c r="E40"/>
      <c r="F40"/>
      <c r="G40"/>
      <c r="H40"/>
      <c r="I40"/>
      <c r="J40"/>
      <c r="K40"/>
      <c r="L40"/>
      <c r="M40"/>
      <c r="N40"/>
      <c r="O40"/>
      <c r="Q40" s="88"/>
      <c r="R40"/>
    </row>
    <row r="41">
      <c r="B41"/>
      <c r="C41"/>
      <c r="D41" s="102"/>
      <c r="E41"/>
      <c r="F41"/>
      <c r="G41"/>
      <c r="H41"/>
      <c r="I41"/>
      <c r="J41"/>
      <c r="K41"/>
      <c r="L41"/>
      <c r="M41"/>
      <c r="N41"/>
      <c r="O41"/>
      <c r="Q41" s="88"/>
      <c r="R41"/>
    </row>
    <row r="42">
      <c r="B42"/>
      <c r="C42"/>
      <c r="D42" s="102"/>
      <c r="E42"/>
      <c r="F42"/>
      <c r="G42"/>
      <c r="H42"/>
      <c r="I42"/>
      <c r="J42"/>
      <c r="K42"/>
      <c r="L42"/>
      <c r="M42"/>
      <c r="N42"/>
      <c r="O42"/>
      <c r="Q42" s="88"/>
      <c r="R42"/>
    </row>
    <row r="43">
      <c r="B43"/>
      <c r="C43"/>
      <c r="D43" s="102"/>
      <c r="E43"/>
      <c r="F43"/>
      <c r="G43"/>
      <c r="H43"/>
      <c r="I43"/>
      <c r="J43"/>
      <c r="K43"/>
      <c r="L43"/>
      <c r="M43"/>
      <c r="N43"/>
      <c r="O43"/>
      <c r="Q43" s="88"/>
      <c r="R43"/>
    </row>
  </sheetData>
  <mergeCells>
    <mergeCell ref="A1:R2"/>
    <mergeCell ref="P3:P4"/>
    <mergeCell ref="Q3:Q4"/>
    <mergeCell ref="R3:R4"/>
    <mergeCell ref="B5:Q5"/>
    <mergeCell ref="B9:Q9"/>
    <mergeCell ref="A3:A4"/>
    <mergeCell ref="B15:Q15"/>
    <mergeCell ref="B3:B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29"/>
  <sheetViews>
    <sheetView topLeftCell="A1" workbookViewId="0">
      <selection activeCell="C18" sqref="C18"/>
    </sheetView>
  </sheetViews>
  <sheetFormatPr defaultColWidth="8.7109375" defaultRowHeight="13"/>
  <cols>
    <col min="1" max="1" width="9.85546875" style="85" customWidth="1"/>
    <col min="2" max="2" width="20.7109375" style="4" customWidth="1"/>
    <col min="3" max="3" width="21.42578125" style="1" bestFit="1" customWidth="1"/>
    <col min="4" max="4" width="10.5703125" style="1" bestFit="1" customWidth="1"/>
    <col min="5" max="5" width="16.85546875" style="5" customWidth="1"/>
    <col min="6" max="6" width="32.5703125" style="5" customWidth="1"/>
    <col min="7" max="9" width="4.5703125" style="1" bestFit="1" customWidth="1"/>
    <col min="10" max="10" width="4.5703125" style="1" customWidth="1"/>
    <col min="11" max="11" width="11.5703125" style="106" customWidth="1"/>
    <col min="12" max="12" width="15.42578125" style="5" bestFit="1" customWidth="1"/>
    <col min="13" max="16384" width="8.7109375" style="1"/>
  </cols>
  <sheetData>
    <row r="1" ht="15" customHeight="1">
      <c r="A1" s="200" t="s">
        <v>640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5"/>
    </row>
    <row r="2" ht="126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7</v>
      </c>
      <c r="F3" s="190" t="s">
        <v>430</v>
      </c>
      <c r="G3" s="233" t="s">
        <v>3</v>
      </c>
      <c r="H3" s="234"/>
      <c r="I3" s="234"/>
      <c r="J3" s="25"/>
      <c r="K3" s="208" t="s">
        <v>533</v>
      </c>
      <c r="L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3">
        <v>1</v>
      </c>
      <c r="H4" s="3">
        <v>2</v>
      </c>
      <c r="I4" s="3">
        <v>3</v>
      </c>
      <c r="J4" s="3" t="s">
        <v>338</v>
      </c>
      <c r="K4" s="209"/>
      <c r="L4" s="193"/>
    </row>
    <row r="5" ht="16">
      <c r="A5" s="88"/>
      <c r="B5" s="221" t="s">
        <v>349</v>
      </c>
      <c r="C5" s="221"/>
      <c r="D5" s="221"/>
      <c r="E5" s="221"/>
      <c r="F5" s="221"/>
      <c r="G5" s="221"/>
      <c r="H5" s="221"/>
      <c r="I5" s="221"/>
      <c r="J5" s="221"/>
      <c r="K5" s="221"/>
    </row>
    <row r="6">
      <c r="A6" s="84" t="s">
        <v>330</v>
      </c>
      <c r="B6" s="58" t="s">
        <v>358</v>
      </c>
      <c r="C6" s="7" t="s">
        <v>359</v>
      </c>
      <c r="D6" s="104">
        <v>68.7</v>
      </c>
      <c r="E6" s="7" t="s">
        <v>14</v>
      </c>
      <c r="F6" s="7" t="s">
        <v>46</v>
      </c>
      <c r="G6" s="159" t="s">
        <v>98</v>
      </c>
      <c r="H6" s="159" t="s">
        <v>360</v>
      </c>
      <c r="I6" s="105" t="s">
        <v>361</v>
      </c>
      <c r="J6" s="8"/>
      <c r="K6" s="107" t="str">
        <f>H6</f>
        <v>56,5</v>
      </c>
      <c r="L6" s="7" t="s">
        <v>86</v>
      </c>
    </row>
    <row r="7">
      <c r="A7" s="96"/>
      <c r="G7" s="74"/>
      <c r="H7" s="74"/>
      <c r="I7" s="74"/>
    </row>
    <row r="8" ht="16">
      <c r="B8" s="218" t="s">
        <v>55</v>
      </c>
      <c r="C8" s="218"/>
      <c r="D8" s="218"/>
      <c r="E8" s="218"/>
      <c r="F8" s="218"/>
      <c r="G8" s="218"/>
      <c r="H8" s="218"/>
      <c r="I8" s="218"/>
      <c r="J8" s="218"/>
      <c r="K8" s="218"/>
    </row>
    <row r="9">
      <c r="A9" s="84" t="s">
        <v>330</v>
      </c>
      <c r="B9" s="58" t="s">
        <v>63</v>
      </c>
      <c r="C9" s="7" t="s">
        <v>64</v>
      </c>
      <c r="D9" s="104">
        <v>105.5</v>
      </c>
      <c r="E9" s="7" t="s">
        <v>551</v>
      </c>
      <c r="F9" s="7" t="s">
        <v>536</v>
      </c>
      <c r="G9" s="159" t="s">
        <v>16</v>
      </c>
      <c r="H9" s="105" t="s">
        <v>362</v>
      </c>
      <c r="I9" s="8"/>
      <c r="J9" s="8"/>
      <c r="K9" s="107" t="str">
        <f>G9</f>
        <v>70,0</v>
      </c>
      <c r="L9" s="7" t="s">
        <v>86</v>
      </c>
    </row>
    <row r="10">
      <c r="A10" s="74"/>
      <c r="B10" s="1"/>
      <c r="D10" s="5"/>
      <c r="E10" s="1"/>
      <c r="F10" s="1"/>
      <c r="I10" s="4"/>
      <c r="L10" s="1"/>
    </row>
    <row r="11">
      <c r="A11" s="74"/>
      <c r="B11" s="1"/>
      <c r="C11" s="4"/>
      <c r="E11" s="1"/>
      <c r="F11" s="1"/>
      <c r="L11" s="1"/>
    </row>
    <row r="12">
      <c r="A12" s="74"/>
      <c r="B12" s="1"/>
      <c r="C12" s="4"/>
      <c r="E12" s="1"/>
      <c r="F12" s="1"/>
      <c r="L12" s="1"/>
    </row>
    <row r="13">
      <c r="A13" s="74"/>
      <c r="B13" s="1"/>
      <c r="C13" s="4"/>
      <c r="E13" s="1"/>
      <c r="F13" s="1"/>
      <c r="L13" s="1"/>
    </row>
    <row r="14">
      <c r="A14" s="74"/>
      <c r="B14" s="1"/>
      <c r="C14" s="4"/>
      <c r="E14" s="1"/>
      <c r="F14" s="1"/>
      <c r="L14" s="1"/>
    </row>
    <row r="15">
      <c r="A15" s="74"/>
      <c r="B15" s="1"/>
      <c r="C15" s="4"/>
      <c r="E15" s="1"/>
      <c r="F15" s="1"/>
      <c r="L15" s="1"/>
    </row>
    <row r="16">
      <c r="A16" s="74"/>
      <c r="B16" s="1"/>
      <c r="C16" s="4"/>
      <c r="E16" s="1"/>
      <c r="F16" s="1"/>
      <c r="L16" s="1"/>
    </row>
    <row r="17">
      <c r="A17" s="74"/>
      <c r="B17" s="1"/>
      <c r="C17" s="4"/>
      <c r="E17" s="1"/>
      <c r="F17" s="1"/>
      <c r="L17" s="1"/>
    </row>
    <row r="18">
      <c r="A18" s="74"/>
      <c r="B18" s="1"/>
      <c r="C18" s="4"/>
      <c r="E18" s="1"/>
      <c r="F18" s="1"/>
      <c r="L18" s="1"/>
    </row>
    <row r="19">
      <c r="A19" s="74"/>
      <c r="B19" s="1"/>
      <c r="C19" s="4"/>
      <c r="E19" s="1"/>
      <c r="F19" s="1"/>
      <c r="L19" s="1"/>
    </row>
    <row r="20">
      <c r="A20" s="74"/>
      <c r="B20" s="1"/>
      <c r="C20" s="4"/>
      <c r="E20" s="1"/>
      <c r="F20" s="1"/>
      <c r="L20" s="1"/>
    </row>
    <row r="21">
      <c r="A21" s="74"/>
      <c r="B21" s="1"/>
      <c r="C21" s="4"/>
      <c r="E21" s="1"/>
      <c r="F21" s="1"/>
      <c r="L21" s="1"/>
    </row>
    <row r="22">
      <c r="A22" s="74"/>
      <c r="B22" s="1"/>
      <c r="C22" s="4"/>
      <c r="E22" s="1"/>
      <c r="F22" s="1"/>
      <c r="L22" s="1"/>
    </row>
    <row r="23">
      <c r="A23" s="74"/>
      <c r="B23" s="1"/>
      <c r="C23" s="4"/>
      <c r="E23" s="1"/>
      <c r="F23" s="1"/>
      <c r="L23" s="1"/>
    </row>
    <row r="24">
      <c r="A24" s="74"/>
      <c r="B24" s="1"/>
      <c r="C24" s="4"/>
      <c r="E24" s="1"/>
      <c r="F24" s="1"/>
      <c r="L24" s="1"/>
    </row>
    <row r="25">
      <c r="A25" s="74"/>
      <c r="B25" s="1"/>
      <c r="C25" s="4"/>
      <c r="E25" s="1"/>
      <c r="F25" s="1"/>
      <c r="L25" s="1"/>
    </row>
    <row r="26">
      <c r="A26" s="74"/>
      <c r="B26" s="1"/>
      <c r="D26" s="5"/>
      <c r="E26" s="1"/>
      <c r="F26" s="1"/>
      <c r="I26" s="4"/>
      <c r="L26" s="1"/>
    </row>
    <row r="27">
      <c r="A27" s="74"/>
      <c r="B27" s="1"/>
      <c r="D27" s="5"/>
      <c r="E27" s="1"/>
      <c r="F27" s="1"/>
      <c r="I27" s="4"/>
      <c r="L27" s="1"/>
    </row>
    <row r="28">
      <c r="A28" s="88"/>
    </row>
    <row r="29">
      <c r="A29" s="88"/>
    </row>
  </sheetData>
  <mergeCells>
    <mergeCell ref="A1:L2"/>
    <mergeCell ref="B8:K8"/>
    <mergeCell ref="L3:L4"/>
    <mergeCell ref="F3:F4"/>
    <mergeCell ref="E3:E4"/>
    <mergeCell ref="G3:I3"/>
    <mergeCell ref="K3:K4"/>
    <mergeCell ref="B3:B4"/>
    <mergeCell ref="C3:C4"/>
    <mergeCell ref="D3:D4"/>
    <mergeCell ref="B5:K5"/>
    <mergeCell ref="A3:A4"/>
  </mergeCells>
  <pageMargins left="0.196850393700787" right="0.47244094488189" top="0.433070866141732" bottom="0.47244094488189" header="0.511811023622047" footer="0.511811023622047"/>
  <pageSetup scale="58" fitToHeight="100" orientation="landscape" horizontalDpi="300" verticalDpi="300"/>
  <headerFooter alignWithMargins="0">
    <oddFooter>&amp;L&amp;G&amp;R&amp;D&amp;T&amp;P</oddFooter>
  </headerFooter>
  <legacyDrawingHF r:id="fl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26"/>
  <sheetViews>
    <sheetView topLeftCell="D1" workbookViewId="0">
      <selection activeCell="M16" sqref="M16"/>
    </sheetView>
  </sheetViews>
  <sheetFormatPr defaultColWidth="8.7109375" defaultRowHeight="13"/>
  <cols>
    <col min="1" max="1" width="9.85546875" style="85" customWidth="1"/>
    <col min="2" max="2" width="19.5703125" style="15" customWidth="1"/>
    <col min="3" max="3" width="21.42578125" style="15" bestFit="1" customWidth="1"/>
    <col min="4" max="4" width="10.5703125" style="92" bestFit="1" customWidth="1"/>
    <col min="5" max="5" width="8.42578125" style="15" bestFit="1" customWidth="1"/>
    <col min="6" max="6" width="9.85546875" style="15" customWidth="1"/>
    <col min="7" max="7" width="34.28515625" style="15" customWidth="1"/>
    <col min="8" max="10" width="5.5703125" style="15" bestFit="1" customWidth="1"/>
    <col min="11" max="11" width="4.5703125" style="15" bestFit="1" customWidth="1"/>
    <col min="12" max="14" width="5.5703125" style="15" bestFit="1" customWidth="1"/>
    <col min="15" max="15" width="4.5703125" style="15" bestFit="1" customWidth="1"/>
    <col min="16" max="18" width="5.5703125" style="15" bestFit="1" customWidth="1"/>
    <col min="19" max="19" width="4.5703125" style="15" bestFit="1" customWidth="1"/>
    <col min="20" max="20" width="7.85546875" style="176" bestFit="1" customWidth="1"/>
    <col min="21" max="21" width="8.5703125" style="15" bestFit="1" customWidth="1"/>
    <col min="22" max="22" width="16.5703125" style="15" customWidth="1"/>
  </cols>
  <sheetData>
    <row r="1" s="1" customFormat="1" ht="15" customHeight="1">
      <c r="A1" s="200" t="s">
        <v>635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5"/>
    </row>
    <row r="2" s="1" customFormat="1" ht="123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7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1</v>
      </c>
      <c r="I3" s="190"/>
      <c r="J3" s="190"/>
      <c r="K3" s="190"/>
      <c r="L3" s="190" t="s">
        <v>2</v>
      </c>
      <c r="M3" s="190"/>
      <c r="N3" s="190"/>
      <c r="O3" s="190"/>
      <c r="P3" s="190" t="s">
        <v>3</v>
      </c>
      <c r="Q3" s="190"/>
      <c r="R3" s="190"/>
      <c r="S3" s="190"/>
      <c r="T3" s="208" t="s">
        <v>4</v>
      </c>
      <c r="U3" s="190" t="s">
        <v>6</v>
      </c>
      <c r="V3" s="192" t="s">
        <v>5</v>
      </c>
    </row>
    <row r="4" s="2" customFormat="1" ht="21" customHeight="1" thickBot="1">
      <c r="A4" s="196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3">
        <v>1</v>
      </c>
      <c r="Q4" s="3">
        <v>2</v>
      </c>
      <c r="R4" s="3">
        <v>3</v>
      </c>
      <c r="S4" s="3" t="s">
        <v>8</v>
      </c>
      <c r="T4" s="209"/>
      <c r="U4" s="191"/>
      <c r="V4" s="193"/>
    </row>
    <row r="5" ht="16">
      <c r="A5" s="88"/>
      <c r="B5" s="194" t="s">
        <v>25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>
      <c r="A6" s="84" t="s">
        <v>330</v>
      </c>
      <c r="B6" s="16" t="s">
        <v>26</v>
      </c>
      <c r="C6" s="16" t="s">
        <v>27</v>
      </c>
      <c r="D6" s="91">
        <v>81.1</v>
      </c>
      <c r="E6" s="16" t="str">
        <f>"0,6769"</f>
        <v>0,6769</v>
      </c>
      <c r="F6" s="16" t="s">
        <v>72</v>
      </c>
      <c r="G6" s="16" t="s">
        <v>537</v>
      </c>
      <c r="H6" s="90" t="s">
        <v>189</v>
      </c>
      <c r="I6" s="90" t="s">
        <v>189</v>
      </c>
      <c r="J6" s="158" t="s">
        <v>60</v>
      </c>
      <c r="K6" s="69"/>
      <c r="L6" s="158" t="s">
        <v>80</v>
      </c>
      <c r="M6" s="158" t="s">
        <v>73</v>
      </c>
      <c r="N6" s="158" t="s">
        <v>29</v>
      </c>
      <c r="O6" s="69"/>
      <c r="P6" s="90" t="s">
        <v>85</v>
      </c>
      <c r="Q6" s="90" t="s">
        <v>206</v>
      </c>
      <c r="R6" s="158" t="s">
        <v>206</v>
      </c>
      <c r="S6" s="17"/>
      <c r="T6" s="175">
        <v>570</v>
      </c>
      <c r="U6" s="16" t="str">
        <f>"385,8330"</f>
        <v>385,8330</v>
      </c>
      <c r="V6" s="16" t="s">
        <v>86</v>
      </c>
    </row>
    <row r="8" ht="16">
      <c r="A8" s="88"/>
      <c r="B8" s="189" t="s">
        <v>30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</row>
    <row r="9">
      <c r="A9" s="84" t="s">
        <v>330</v>
      </c>
      <c r="B9" s="16" t="s">
        <v>207</v>
      </c>
      <c r="C9" s="16" t="s">
        <v>208</v>
      </c>
      <c r="D9" s="91">
        <v>89.6</v>
      </c>
      <c r="E9" s="16" t="str">
        <f>"0,6398"</f>
        <v>0,6398</v>
      </c>
      <c r="F9" s="16" t="s">
        <v>14</v>
      </c>
      <c r="G9" s="16" t="s">
        <v>537</v>
      </c>
      <c r="H9" s="158" t="s">
        <v>36</v>
      </c>
      <c r="I9" s="158" t="s">
        <v>209</v>
      </c>
      <c r="J9" s="90" t="s">
        <v>210</v>
      </c>
      <c r="K9" s="69"/>
      <c r="L9" s="90" t="s">
        <v>211</v>
      </c>
      <c r="M9" s="158" t="s">
        <v>79</v>
      </c>
      <c r="N9" s="158" t="s">
        <v>73</v>
      </c>
      <c r="O9" s="69"/>
      <c r="P9" s="158" t="s">
        <v>210</v>
      </c>
      <c r="Q9" s="158" t="s">
        <v>61</v>
      </c>
      <c r="R9" s="158" t="s">
        <v>85</v>
      </c>
      <c r="S9" s="17"/>
      <c r="T9" s="175">
        <v>530</v>
      </c>
      <c r="U9" s="16" t="str">
        <f>"339,0940"</f>
        <v>339,0940</v>
      </c>
      <c r="V9" s="16" t="s">
        <v>515</v>
      </c>
    </row>
    <row r="11" ht="16">
      <c r="B11" s="189" t="s">
        <v>42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</row>
    <row r="12">
      <c r="A12" s="84" t="s">
        <v>330</v>
      </c>
      <c r="B12" s="16" t="s">
        <v>212</v>
      </c>
      <c r="C12" s="16" t="s">
        <v>213</v>
      </c>
      <c r="D12" s="91">
        <v>93.6</v>
      </c>
      <c r="E12" s="16" t="str">
        <f>"0,6263"</f>
        <v>0,6263</v>
      </c>
      <c r="F12" s="16" t="s">
        <v>72</v>
      </c>
      <c r="G12" s="16" t="s">
        <v>537</v>
      </c>
      <c r="H12" s="90" t="s">
        <v>166</v>
      </c>
      <c r="I12" s="158" t="s">
        <v>166</v>
      </c>
      <c r="J12" s="90" t="s">
        <v>214</v>
      </c>
      <c r="K12" s="69"/>
      <c r="L12" s="158" t="s">
        <v>35</v>
      </c>
      <c r="M12" s="158" t="s">
        <v>36</v>
      </c>
      <c r="N12" s="69"/>
      <c r="O12" s="69"/>
      <c r="P12" s="90" t="s">
        <v>215</v>
      </c>
      <c r="Q12" s="158" t="s">
        <v>215</v>
      </c>
      <c r="R12" s="90" t="s">
        <v>214</v>
      </c>
      <c r="S12" s="17"/>
      <c r="T12" s="175">
        <v>620</v>
      </c>
      <c r="U12" s="16" t="str">
        <f>"388,3060"</f>
        <v>388,3060</v>
      </c>
      <c r="V12" s="16" t="s">
        <v>86</v>
      </c>
    </row>
    <row r="14" ht="16">
      <c r="B14" s="189" t="s">
        <v>55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</row>
    <row r="15">
      <c r="A15" s="84" t="s">
        <v>330</v>
      </c>
      <c r="B15" s="16" t="s">
        <v>216</v>
      </c>
      <c r="C15" s="16" t="s">
        <v>217</v>
      </c>
      <c r="D15" s="91">
        <v>104.5</v>
      </c>
      <c r="E15" s="16" t="str">
        <f>"0,5986"</f>
        <v>0,5986</v>
      </c>
      <c r="F15" s="16" t="s">
        <v>72</v>
      </c>
      <c r="G15" s="16" t="s">
        <v>537</v>
      </c>
      <c r="H15" s="158" t="s">
        <v>209</v>
      </c>
      <c r="I15" s="158" t="s">
        <v>61</v>
      </c>
      <c r="J15" s="90" t="s">
        <v>85</v>
      </c>
      <c r="K15" s="69"/>
      <c r="L15" s="158" t="s">
        <v>36</v>
      </c>
      <c r="M15" s="158" t="s">
        <v>209</v>
      </c>
      <c r="N15" s="158" t="s">
        <v>210</v>
      </c>
      <c r="O15" s="69"/>
      <c r="P15" s="158" t="s">
        <v>61</v>
      </c>
      <c r="Q15" s="90" t="s">
        <v>166</v>
      </c>
      <c r="R15" s="158" t="s">
        <v>166</v>
      </c>
      <c r="S15" s="17"/>
      <c r="T15" s="175">
        <v>615</v>
      </c>
      <c r="U15" s="16" t="str">
        <f>"368,1390"</f>
        <v>368,1390</v>
      </c>
      <c r="V15" s="16" t="s">
        <v>86</v>
      </c>
    </row>
    <row r="16">
      <c r="A16" s="22"/>
      <c r="V16"/>
    </row>
    <row r="17" ht="16">
      <c r="F17" s="18"/>
    </row>
    <row r="19">
      <c r="A19" s="22"/>
      <c r="O19"/>
      <c r="P19"/>
      <c r="Q19"/>
      <c r="R19"/>
      <c r="S19"/>
      <c r="U19"/>
      <c r="V19"/>
    </row>
    <row r="20">
      <c r="A20" s="22"/>
      <c r="P20"/>
      <c r="Q20"/>
      <c r="R20"/>
      <c r="S20"/>
      <c r="U20"/>
      <c r="V20"/>
    </row>
    <row r="21">
      <c r="A21" s="22"/>
      <c r="P21"/>
      <c r="Q21"/>
      <c r="R21"/>
      <c r="S21"/>
      <c r="U21"/>
      <c r="V21"/>
    </row>
    <row r="22">
      <c r="A22" s="22"/>
      <c r="P22"/>
      <c r="Q22"/>
      <c r="R22"/>
      <c r="S22"/>
      <c r="U22"/>
      <c r="V22"/>
    </row>
    <row r="23">
      <c r="A23" s="22"/>
      <c r="P23"/>
      <c r="Q23"/>
      <c r="R23"/>
      <c r="S23"/>
      <c r="U23"/>
      <c r="V23"/>
    </row>
    <row r="24">
      <c r="A24" s="22"/>
      <c r="P24"/>
      <c r="Q24"/>
      <c r="R24"/>
      <c r="S24"/>
      <c r="U24"/>
      <c r="V24"/>
    </row>
    <row r="25">
      <c r="A25" s="22"/>
      <c r="P25"/>
      <c r="Q25"/>
      <c r="R25"/>
      <c r="S25"/>
      <c r="U25"/>
      <c r="V25"/>
    </row>
    <row r="26">
      <c r="A26" s="22"/>
      <c r="P26"/>
      <c r="Q26"/>
      <c r="R26"/>
      <c r="S26"/>
      <c r="U26"/>
      <c r="V26"/>
    </row>
  </sheetData>
  <mergeCells>
    <mergeCell ref="H3:K3"/>
    <mergeCell ref="L3:O3"/>
    <mergeCell ref="P3:S3"/>
    <mergeCell ref="A3:A4"/>
    <mergeCell ref="A1:V2"/>
    <mergeCell ref="B14:U14"/>
    <mergeCell ref="T3:T4"/>
    <mergeCell ref="U3:U4"/>
    <mergeCell ref="V3:V4"/>
    <mergeCell ref="B5:U5"/>
    <mergeCell ref="B8:U8"/>
    <mergeCell ref="B11:U11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1:L50"/>
  <sheetViews>
    <sheetView topLeftCell="A1" workbookViewId="0">
      <selection activeCell="A1" sqref="A1:L2"/>
    </sheetView>
  </sheetViews>
  <sheetFormatPr defaultColWidth="8.7109375" defaultRowHeight="13"/>
  <cols>
    <col min="1" max="1" width="9.85546875" style="85" customWidth="1"/>
    <col min="2" max="2" width="21.28515625" style="15" customWidth="1"/>
    <col min="3" max="3" width="24.28515625" style="15" bestFit="1" customWidth="1"/>
    <col min="4" max="4" width="11.7109375" style="92" customWidth="1"/>
    <col min="5" max="5" width="22.7109375" style="15" bestFit="1" customWidth="1"/>
    <col min="6" max="6" width="32.42578125" style="15" customWidth="1"/>
    <col min="7" max="10" width="5.5703125" style="15" bestFit="1" customWidth="1"/>
    <col min="11" max="11" width="11.140625" style="176" customWidth="1"/>
    <col min="12" max="12" width="17.42578125" style="15" customWidth="1"/>
  </cols>
  <sheetData>
    <row r="1" s="1" customFormat="1" ht="15" customHeight="1">
      <c r="A1" s="200" t="s">
        <v>641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5"/>
    </row>
    <row r="2" s="1" customFormat="1" ht="125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7</v>
      </c>
      <c r="F3" s="190" t="s">
        <v>430</v>
      </c>
      <c r="G3" s="234" t="s">
        <v>534</v>
      </c>
      <c r="H3" s="234"/>
      <c r="I3" s="234"/>
      <c r="J3" s="235"/>
      <c r="K3" s="208" t="s">
        <v>533</v>
      </c>
      <c r="L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3" t="s">
        <v>330</v>
      </c>
      <c r="H4" s="3" t="s">
        <v>331</v>
      </c>
      <c r="I4" s="3" t="s">
        <v>337</v>
      </c>
      <c r="J4" s="3" t="s">
        <v>338</v>
      </c>
      <c r="K4" s="209"/>
      <c r="L4" s="193"/>
    </row>
    <row r="5" ht="16">
      <c r="A5" s="88"/>
      <c r="B5" s="194" t="s">
        <v>349</v>
      </c>
      <c r="C5" s="194"/>
      <c r="D5" s="194"/>
      <c r="E5" s="194"/>
      <c r="F5" s="194"/>
      <c r="G5" s="194"/>
      <c r="H5" s="194"/>
      <c r="I5" s="194"/>
      <c r="J5" s="194"/>
      <c r="K5" s="194"/>
    </row>
    <row r="6">
      <c r="A6" s="84" t="s">
        <v>330</v>
      </c>
      <c r="B6" s="16" t="s">
        <v>350</v>
      </c>
      <c r="C6" s="16" t="s">
        <v>351</v>
      </c>
      <c r="D6" s="91">
        <v>61.6</v>
      </c>
      <c r="E6" s="16" t="s">
        <v>14</v>
      </c>
      <c r="F6" s="16" t="s">
        <v>297</v>
      </c>
      <c r="G6" s="158" t="s">
        <v>21</v>
      </c>
      <c r="H6" s="158" t="s">
        <v>22</v>
      </c>
      <c r="I6" s="158" t="s">
        <v>23</v>
      </c>
      <c r="J6" s="158" t="s">
        <v>78</v>
      </c>
      <c r="K6" s="175">
        <v>120</v>
      </c>
      <c r="L6" s="16" t="s">
        <v>86</v>
      </c>
    </row>
    <row r="7">
      <c r="A7" s="84"/>
      <c r="B7" s="16" t="s">
        <v>291</v>
      </c>
      <c r="C7" s="16" t="s">
        <v>352</v>
      </c>
      <c r="D7" s="91">
        <v>61.2</v>
      </c>
      <c r="E7" s="16" t="s">
        <v>141</v>
      </c>
      <c r="F7" s="16" t="s">
        <v>297</v>
      </c>
      <c r="G7" s="90" t="s">
        <v>79</v>
      </c>
      <c r="H7" s="69"/>
      <c r="I7" s="69"/>
      <c r="J7" s="69"/>
      <c r="K7" s="108">
        <v>0</v>
      </c>
      <c r="L7" s="16" t="s">
        <v>510</v>
      </c>
    </row>
    <row r="9" ht="16">
      <c r="B9" s="189" t="s">
        <v>353</v>
      </c>
      <c r="C9" s="189"/>
      <c r="D9" s="189"/>
      <c r="E9" s="189"/>
      <c r="F9" s="189"/>
      <c r="G9" s="189"/>
      <c r="H9" s="189"/>
      <c r="I9" s="189"/>
      <c r="J9" s="189"/>
      <c r="K9" s="189"/>
    </row>
    <row r="10">
      <c r="A10" s="84" t="s">
        <v>330</v>
      </c>
      <c r="B10" s="16" t="s">
        <v>354</v>
      </c>
      <c r="C10" s="16" t="s">
        <v>355</v>
      </c>
      <c r="D10" s="91">
        <v>74.7</v>
      </c>
      <c r="E10" s="16" t="s">
        <v>632</v>
      </c>
      <c r="F10" s="16" t="s">
        <v>297</v>
      </c>
      <c r="G10" s="158" t="s">
        <v>127</v>
      </c>
      <c r="H10" s="158" t="s">
        <v>23</v>
      </c>
      <c r="I10" s="158" t="s">
        <v>78</v>
      </c>
      <c r="J10" s="17"/>
      <c r="K10" s="175">
        <v>120</v>
      </c>
      <c r="L10" s="16" t="s">
        <v>510</v>
      </c>
    </row>
    <row r="12" ht="16">
      <c r="B12" s="189" t="s">
        <v>30</v>
      </c>
      <c r="C12" s="189"/>
      <c r="D12" s="189"/>
      <c r="E12" s="189"/>
      <c r="F12" s="189"/>
      <c r="G12" s="189"/>
      <c r="H12" s="189"/>
      <c r="I12" s="189"/>
      <c r="J12" s="189"/>
      <c r="K12" s="189"/>
    </row>
    <row r="13">
      <c r="A13" s="84" t="s">
        <v>330</v>
      </c>
      <c r="B13" s="16" t="s">
        <v>299</v>
      </c>
      <c r="C13" s="16" t="s">
        <v>356</v>
      </c>
      <c r="D13" s="91">
        <v>89.2</v>
      </c>
      <c r="E13" s="16" t="s">
        <v>141</v>
      </c>
      <c r="F13" s="16" t="s">
        <v>297</v>
      </c>
      <c r="G13" s="158" t="s">
        <v>79</v>
      </c>
      <c r="H13" s="158" t="s">
        <v>115</v>
      </c>
      <c r="I13" s="158" t="s">
        <v>35</v>
      </c>
      <c r="J13" s="17"/>
      <c r="K13" s="175">
        <v>160</v>
      </c>
      <c r="L13" s="16" t="s">
        <v>510</v>
      </c>
    </row>
    <row r="15" ht="16">
      <c r="B15" s="189" t="s">
        <v>55</v>
      </c>
      <c r="C15" s="189"/>
      <c r="D15" s="189"/>
      <c r="E15" s="189"/>
      <c r="F15" s="189"/>
      <c r="G15" s="189"/>
      <c r="H15" s="189"/>
      <c r="I15" s="189"/>
      <c r="J15" s="189"/>
      <c r="K15" s="189"/>
    </row>
    <row r="16">
      <c r="A16" s="84" t="s">
        <v>330</v>
      </c>
      <c r="B16" s="16" t="s">
        <v>63</v>
      </c>
      <c r="C16" s="16" t="s">
        <v>64</v>
      </c>
      <c r="D16" s="91">
        <v>105.5</v>
      </c>
      <c r="E16" s="16" t="s">
        <v>551</v>
      </c>
      <c r="F16" s="16" t="s">
        <v>535</v>
      </c>
      <c r="G16" s="158" t="s">
        <v>36</v>
      </c>
      <c r="H16" s="158" t="s">
        <v>209</v>
      </c>
      <c r="I16" s="158" t="s">
        <v>210</v>
      </c>
      <c r="J16" s="17"/>
      <c r="K16" s="175">
        <v>185</v>
      </c>
      <c r="L16" s="16" t="s">
        <v>86</v>
      </c>
    </row>
    <row r="17">
      <c r="A17" s="93">
        <v>2</v>
      </c>
      <c r="B17" s="16" t="s">
        <v>340</v>
      </c>
      <c r="C17" s="16" t="s">
        <v>341</v>
      </c>
      <c r="D17" s="91">
        <v>108.6</v>
      </c>
      <c r="E17" s="16" t="s">
        <v>141</v>
      </c>
      <c r="F17" s="16" t="s">
        <v>297</v>
      </c>
      <c r="G17" s="158" t="s">
        <v>36</v>
      </c>
      <c r="H17" s="158" t="s">
        <v>209</v>
      </c>
      <c r="I17" s="90" t="s">
        <v>189</v>
      </c>
      <c r="J17" s="17"/>
      <c r="K17" s="175">
        <v>180</v>
      </c>
      <c r="L17" s="16" t="s">
        <v>86</v>
      </c>
    </row>
    <row r="18">
      <c r="A18" s="88"/>
    </row>
    <row r="19" ht="16">
      <c r="A19" s="88"/>
      <c r="B19" s="189" t="s">
        <v>74</v>
      </c>
      <c r="C19" s="189"/>
      <c r="D19" s="189"/>
      <c r="E19" s="189"/>
      <c r="F19" s="189"/>
      <c r="G19" s="189"/>
      <c r="H19" s="189"/>
      <c r="I19" s="189"/>
      <c r="J19" s="189"/>
      <c r="K19" s="189"/>
    </row>
    <row r="20">
      <c r="A20" s="93">
        <v>1</v>
      </c>
      <c r="B20" s="16" t="s">
        <v>316</v>
      </c>
      <c r="C20" s="16" t="s">
        <v>317</v>
      </c>
      <c r="D20" s="91">
        <v>121.6</v>
      </c>
      <c r="E20" s="16" t="s">
        <v>387</v>
      </c>
      <c r="F20" s="16" t="s">
        <v>537</v>
      </c>
      <c r="G20" s="158" t="s">
        <v>36</v>
      </c>
      <c r="H20" s="158" t="s">
        <v>66</v>
      </c>
      <c r="I20" s="90" t="s">
        <v>189</v>
      </c>
      <c r="J20" s="17"/>
      <c r="K20" s="175">
        <v>175</v>
      </c>
      <c r="L20" s="16" t="s">
        <v>86</v>
      </c>
    </row>
    <row r="21">
      <c r="A21" s="88"/>
    </row>
    <row r="22" ht="16">
      <c r="A22" s="88"/>
      <c r="B22" s="189" t="s">
        <v>344</v>
      </c>
      <c r="C22" s="189"/>
      <c r="D22" s="189"/>
      <c r="E22" s="189"/>
      <c r="F22" s="189"/>
      <c r="G22" s="189"/>
      <c r="H22" s="189"/>
      <c r="I22" s="189"/>
      <c r="J22" s="189"/>
      <c r="K22" s="189"/>
    </row>
    <row r="23">
      <c r="A23" s="93">
        <v>1</v>
      </c>
      <c r="B23" s="16" t="s">
        <v>340</v>
      </c>
      <c r="C23" s="16" t="s">
        <v>345</v>
      </c>
      <c r="D23" s="91">
        <v>108.6</v>
      </c>
      <c r="E23" s="16" t="s">
        <v>141</v>
      </c>
      <c r="F23" s="16" t="s">
        <v>297</v>
      </c>
      <c r="G23" s="158" t="s">
        <v>209</v>
      </c>
      <c r="H23" s="17"/>
      <c r="I23" s="17"/>
      <c r="J23" s="17"/>
      <c r="K23" s="175">
        <v>180</v>
      </c>
      <c r="L23" s="16" t="s">
        <v>86</v>
      </c>
    </row>
    <row r="24">
      <c r="A24" s="103"/>
      <c r="B24" s="71"/>
      <c r="C24" s="71"/>
      <c r="D24" s="100"/>
      <c r="E24" s="71"/>
      <c r="F24" s="71"/>
      <c r="G24" s="71"/>
      <c r="H24" s="72"/>
      <c r="I24" s="72"/>
      <c r="J24" s="72"/>
      <c r="K24" s="181"/>
      <c r="L24" s="71"/>
    </row>
    <row r="25" ht="14">
      <c r="A25" s="88"/>
      <c r="B25" s="20" t="s">
        <v>528</v>
      </c>
    </row>
    <row r="26" ht="14">
      <c r="A26" s="88"/>
      <c r="B26" s="19"/>
      <c r="C26" s="20"/>
    </row>
    <row r="27" ht="14">
      <c r="A27" s="88"/>
      <c r="B27" s="21" t="s">
        <v>90</v>
      </c>
      <c r="C27" s="21" t="s">
        <v>91</v>
      </c>
      <c r="D27" s="21" t="s">
        <v>549</v>
      </c>
      <c r="E27" s="21" t="s">
        <v>92</v>
      </c>
    </row>
    <row r="28">
      <c r="A28" s="88">
        <v>1</v>
      </c>
      <c r="B28" s="65" t="s">
        <v>63</v>
      </c>
      <c r="C28" s="54" t="s">
        <v>94</v>
      </c>
      <c r="D28" s="84" t="s">
        <v>614</v>
      </c>
      <c r="E28" s="84" t="s">
        <v>210</v>
      </c>
    </row>
    <row r="29">
      <c r="A29" s="88">
        <v>2</v>
      </c>
      <c r="B29" s="65" t="s">
        <v>340</v>
      </c>
      <c r="C29" s="54" t="s">
        <v>94</v>
      </c>
      <c r="D29" s="84" t="s">
        <v>614</v>
      </c>
      <c r="E29" s="84" t="s">
        <v>209</v>
      </c>
    </row>
    <row r="30">
      <c r="A30" s="88">
        <v>3</v>
      </c>
      <c r="B30" s="65" t="s">
        <v>299</v>
      </c>
      <c r="C30" s="54" t="s">
        <v>94</v>
      </c>
      <c r="D30" s="84" t="s">
        <v>616</v>
      </c>
      <c r="E30" s="84" t="s">
        <v>35</v>
      </c>
    </row>
    <row r="31">
      <c r="D31" s="15"/>
      <c r="F31" s="85"/>
      <c r="I31"/>
      <c r="J31"/>
      <c r="K31" s="183"/>
      <c r="L31"/>
    </row>
    <row r="32">
      <c r="D32" s="15"/>
      <c r="F32" s="85"/>
      <c r="I32"/>
      <c r="J32"/>
      <c r="K32" s="183"/>
      <c r="L32"/>
    </row>
    <row r="33">
      <c r="D33" s="15"/>
      <c r="F33" s="85"/>
      <c r="I33"/>
      <c r="J33"/>
      <c r="K33" s="183"/>
      <c r="L33"/>
    </row>
    <row r="34">
      <c r="D34" s="15"/>
      <c r="F34" s="85"/>
      <c r="I34"/>
      <c r="J34"/>
      <c r="K34" s="183"/>
      <c r="L34"/>
    </row>
    <row r="35">
      <c r="D35" s="15"/>
      <c r="F35" s="85"/>
      <c r="I35"/>
      <c r="J35"/>
      <c r="K35" s="183"/>
      <c r="L35"/>
    </row>
    <row r="48">
      <c r="H48"/>
      <c r="I48"/>
      <c r="J48"/>
      <c r="L48"/>
    </row>
    <row r="49">
      <c r="H49"/>
      <c r="I49"/>
      <c r="J49"/>
      <c r="L49"/>
    </row>
    <row r="50">
      <c r="B50"/>
      <c r="C50"/>
      <c r="D50" s="102"/>
      <c r="E50"/>
      <c r="F50"/>
      <c r="G50"/>
      <c r="H50"/>
      <c r="I50"/>
      <c r="J50"/>
      <c r="L50"/>
    </row>
  </sheetData>
  <mergeCells>
    <mergeCell ref="A1:L2"/>
    <mergeCell ref="B22:K22"/>
    <mergeCell ref="L3:L4"/>
    <mergeCell ref="B5:K5"/>
    <mergeCell ref="B9:K9"/>
    <mergeCell ref="B12:K12"/>
    <mergeCell ref="B15:K15"/>
    <mergeCell ref="B19:K19"/>
    <mergeCell ref="B3:B4"/>
    <mergeCell ref="C3:C4"/>
    <mergeCell ref="D3:D4"/>
    <mergeCell ref="E3:E4"/>
    <mergeCell ref="F3:F4"/>
    <mergeCell ref="G3:J3"/>
    <mergeCell ref="K3:K4"/>
    <mergeCell ref="A3:A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L45"/>
  <sheetViews>
    <sheetView topLeftCell="A1" workbookViewId="0">
      <selection activeCell="E19" sqref="E19"/>
    </sheetView>
  </sheetViews>
  <sheetFormatPr defaultColWidth="8.7109375" defaultRowHeight="13"/>
  <cols>
    <col min="1" max="1" width="9.85546875" style="85" customWidth="1"/>
    <col min="2" max="2" width="22" style="15" customWidth="1"/>
    <col min="3" max="3" width="22.42578125" style="15" customWidth="1"/>
    <col min="4" max="4" width="10.5703125" style="92" bestFit="1" customWidth="1"/>
    <col min="5" max="5" width="22.7109375" style="15" bestFit="1" customWidth="1"/>
    <col min="6" max="6" width="28.140625" style="15" customWidth="1"/>
    <col min="7" max="7" width="4.5703125" style="15" bestFit="1" customWidth="1"/>
    <col min="8" max="9" width="5.5703125" style="15" bestFit="1" customWidth="1"/>
    <col min="10" max="10" width="3.28515625" style="15" bestFit="1" customWidth="1"/>
    <col min="11" max="11" width="13.42578125" style="176" customWidth="1"/>
    <col min="12" max="12" width="15.42578125" style="15" bestFit="1" customWidth="1"/>
  </cols>
  <sheetData>
    <row r="1" s="1" customFormat="1" ht="15" customHeight="1">
      <c r="A1" s="200" t="s">
        <v>642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5"/>
    </row>
    <row r="2" s="1" customFormat="1" ht="117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7</v>
      </c>
      <c r="F3" s="190" t="s">
        <v>430</v>
      </c>
      <c r="G3" s="234" t="s">
        <v>534</v>
      </c>
      <c r="H3" s="234"/>
      <c r="I3" s="234"/>
      <c r="J3" s="235"/>
      <c r="K3" s="208" t="s">
        <v>533</v>
      </c>
      <c r="L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3" t="s">
        <v>330</v>
      </c>
      <c r="H4" s="3" t="s">
        <v>331</v>
      </c>
      <c r="I4" s="3" t="s">
        <v>337</v>
      </c>
      <c r="J4" s="3" t="s">
        <v>338</v>
      </c>
      <c r="K4" s="209"/>
      <c r="L4" s="193"/>
    </row>
    <row r="5" ht="16">
      <c r="A5" s="88"/>
      <c r="B5" s="194" t="s">
        <v>55</v>
      </c>
      <c r="C5" s="194"/>
      <c r="D5" s="194"/>
      <c r="E5" s="194"/>
      <c r="F5" s="194"/>
      <c r="G5" s="194"/>
      <c r="H5" s="194"/>
      <c r="I5" s="194"/>
      <c r="J5" s="194"/>
      <c r="K5" s="194"/>
    </row>
    <row r="6">
      <c r="A6" s="84" t="s">
        <v>330</v>
      </c>
      <c r="B6" s="16" t="s">
        <v>63</v>
      </c>
      <c r="C6" s="16" t="s">
        <v>64</v>
      </c>
      <c r="D6" s="91">
        <v>105.5</v>
      </c>
      <c r="E6" s="16" t="s">
        <v>551</v>
      </c>
      <c r="F6" s="16" t="s">
        <v>547</v>
      </c>
      <c r="G6" s="158" t="s">
        <v>16</v>
      </c>
      <c r="H6" s="158" t="s">
        <v>21</v>
      </c>
      <c r="I6" s="158" t="s">
        <v>339</v>
      </c>
      <c r="J6" s="17"/>
      <c r="K6" s="175">
        <v>112</v>
      </c>
      <c r="L6" s="16" t="s">
        <v>86</v>
      </c>
    </row>
    <row r="7">
      <c r="A7" s="84" t="s">
        <v>331</v>
      </c>
      <c r="B7" s="16" t="s">
        <v>340</v>
      </c>
      <c r="C7" s="16" t="s">
        <v>341</v>
      </c>
      <c r="D7" s="91">
        <v>108.6</v>
      </c>
      <c r="E7" s="16" t="s">
        <v>551</v>
      </c>
      <c r="F7" s="16" t="s">
        <v>297</v>
      </c>
      <c r="G7" s="158" t="s">
        <v>342</v>
      </c>
      <c r="H7" s="158" t="s">
        <v>343</v>
      </c>
      <c r="I7" s="158" t="s">
        <v>275</v>
      </c>
      <c r="J7" s="17"/>
      <c r="K7" s="175">
        <v>95</v>
      </c>
      <c r="L7" s="16" t="s">
        <v>86</v>
      </c>
    </row>
    <row r="9" ht="16">
      <c r="A9" s="96"/>
      <c r="B9" s="189" t="s">
        <v>344</v>
      </c>
      <c r="C9" s="189"/>
      <c r="D9" s="189"/>
      <c r="E9" s="189"/>
      <c r="F9" s="189"/>
      <c r="G9" s="189"/>
      <c r="H9" s="189"/>
      <c r="I9" s="189"/>
      <c r="J9" s="189"/>
      <c r="K9" s="189"/>
    </row>
    <row r="10">
      <c r="A10" s="84" t="s">
        <v>330</v>
      </c>
      <c r="B10" s="16" t="s">
        <v>340</v>
      </c>
      <c r="C10" s="16" t="s">
        <v>345</v>
      </c>
      <c r="D10" s="91">
        <v>108.6</v>
      </c>
      <c r="E10" s="16" t="s">
        <v>551</v>
      </c>
      <c r="F10" s="16" t="s">
        <v>297</v>
      </c>
      <c r="G10" s="158" t="s">
        <v>342</v>
      </c>
      <c r="H10" s="158" t="s">
        <v>343</v>
      </c>
      <c r="I10" s="158" t="s">
        <v>275</v>
      </c>
      <c r="J10" s="17"/>
      <c r="K10" s="175">
        <v>95</v>
      </c>
      <c r="L10" s="16" t="s">
        <v>86</v>
      </c>
    </row>
    <row r="12">
      <c r="A12" s="22"/>
      <c r="G12"/>
      <c r="H12"/>
      <c r="I12"/>
      <c r="J12"/>
      <c r="L12"/>
    </row>
    <row r="13">
      <c r="A13" s="22"/>
      <c r="G13"/>
      <c r="H13"/>
      <c r="I13"/>
      <c r="J13"/>
      <c r="L13"/>
    </row>
    <row r="14">
      <c r="A14" s="22"/>
      <c r="G14"/>
      <c r="H14"/>
      <c r="I14"/>
      <c r="J14"/>
      <c r="L14"/>
    </row>
    <row r="15">
      <c r="A15" s="22"/>
      <c r="G15"/>
      <c r="H15"/>
      <c r="I15"/>
      <c r="J15"/>
      <c r="L15"/>
    </row>
    <row r="16">
      <c r="A16" s="22"/>
      <c r="G16"/>
      <c r="H16"/>
      <c r="I16"/>
      <c r="J16"/>
      <c r="L16"/>
    </row>
    <row r="17">
      <c r="A17" s="87"/>
      <c r="B17"/>
      <c r="C17"/>
      <c r="D17" s="102"/>
      <c r="E17"/>
      <c r="F17"/>
      <c r="G17"/>
      <c r="H17"/>
      <c r="I17"/>
      <c r="J17"/>
      <c r="L17"/>
    </row>
    <row r="18">
      <c r="A18" s="87"/>
      <c r="B18"/>
      <c r="C18"/>
      <c r="D18" s="102"/>
      <c r="E18"/>
      <c r="F18"/>
      <c r="G18"/>
      <c r="H18"/>
      <c r="I18"/>
      <c r="J18"/>
      <c r="L18"/>
    </row>
    <row r="19">
      <c r="A19" s="87"/>
      <c r="B19"/>
      <c r="C19"/>
      <c r="D19" s="102"/>
      <c r="E19"/>
      <c r="F19"/>
      <c r="G19"/>
      <c r="H19"/>
      <c r="I19"/>
      <c r="J19"/>
      <c r="L19"/>
    </row>
    <row r="20">
      <c r="A20" s="87"/>
      <c r="B20"/>
      <c r="C20"/>
      <c r="D20" s="102"/>
      <c r="E20"/>
      <c r="F20"/>
      <c r="G20"/>
      <c r="H20"/>
      <c r="I20"/>
      <c r="J20"/>
      <c r="L20"/>
    </row>
    <row r="21">
      <c r="A21" s="87"/>
      <c r="B21"/>
      <c r="C21"/>
      <c r="D21" s="102"/>
      <c r="E21"/>
      <c r="F21"/>
      <c r="G21"/>
      <c r="H21"/>
      <c r="I21"/>
      <c r="J21"/>
      <c r="L21"/>
    </row>
    <row r="22">
      <c r="A22" s="87"/>
      <c r="B22"/>
      <c r="C22"/>
      <c r="D22" s="102"/>
      <c r="E22"/>
      <c r="F22"/>
      <c r="G22"/>
      <c r="H22"/>
      <c r="I22"/>
      <c r="J22"/>
      <c r="L22"/>
    </row>
    <row r="23">
      <c r="A23" s="87"/>
      <c r="B23"/>
      <c r="C23"/>
      <c r="D23" s="102"/>
      <c r="E23"/>
      <c r="F23"/>
      <c r="G23"/>
      <c r="H23"/>
      <c r="I23"/>
      <c r="J23"/>
      <c r="L23"/>
    </row>
    <row r="24">
      <c r="A24" s="87"/>
      <c r="B24"/>
      <c r="C24"/>
      <c r="D24" s="102"/>
      <c r="E24"/>
      <c r="F24"/>
      <c r="G24"/>
      <c r="H24"/>
      <c r="I24"/>
      <c r="J24"/>
      <c r="L24"/>
    </row>
    <row r="25">
      <c r="A25" s="87"/>
      <c r="B25"/>
      <c r="C25"/>
      <c r="D25" s="102"/>
      <c r="E25"/>
      <c r="F25"/>
      <c r="G25"/>
      <c r="H25"/>
      <c r="I25"/>
      <c r="J25"/>
      <c r="L25"/>
    </row>
    <row r="26">
      <c r="A26" s="87"/>
      <c r="B26"/>
      <c r="C26"/>
      <c r="D26" s="102"/>
      <c r="E26"/>
      <c r="F26"/>
      <c r="G26"/>
      <c r="H26"/>
      <c r="I26"/>
      <c r="J26"/>
      <c r="L26"/>
    </row>
    <row r="27">
      <c r="A27" s="87"/>
      <c r="B27"/>
      <c r="C27"/>
      <c r="D27" s="102"/>
      <c r="E27"/>
      <c r="F27"/>
      <c r="G27"/>
      <c r="H27"/>
      <c r="I27"/>
      <c r="J27"/>
      <c r="L27"/>
    </row>
    <row r="28">
      <c r="A28" s="87"/>
      <c r="B28"/>
      <c r="C28"/>
      <c r="D28" s="102"/>
      <c r="E28"/>
      <c r="F28"/>
      <c r="G28"/>
      <c r="H28"/>
      <c r="I28"/>
      <c r="J28"/>
      <c r="L28"/>
    </row>
    <row r="29">
      <c r="A29" s="87"/>
      <c r="B29"/>
      <c r="C29"/>
      <c r="D29" s="102"/>
      <c r="E29"/>
      <c r="F29"/>
      <c r="G29"/>
      <c r="H29"/>
      <c r="I29"/>
      <c r="J29"/>
      <c r="L29"/>
    </row>
    <row r="30">
      <c r="A30" s="22"/>
      <c r="L30"/>
    </row>
    <row r="31">
      <c r="A31" s="22"/>
      <c r="L31"/>
    </row>
    <row r="32">
      <c r="A32" s="22"/>
      <c r="L32"/>
    </row>
    <row r="33">
      <c r="A33" s="22"/>
      <c r="L33"/>
    </row>
    <row r="34">
      <c r="A34" s="22"/>
      <c r="L34"/>
    </row>
    <row r="35">
      <c r="A35" s="22"/>
      <c r="L35"/>
    </row>
    <row r="36">
      <c r="A36" s="22"/>
      <c r="L36"/>
    </row>
    <row r="37">
      <c r="A37" s="22"/>
      <c r="L37"/>
    </row>
    <row r="38">
      <c r="A38" s="22"/>
      <c r="L38"/>
    </row>
    <row r="39">
      <c r="A39" s="22"/>
      <c r="L39"/>
    </row>
    <row r="40">
      <c r="A40" s="22"/>
      <c r="L40"/>
    </row>
    <row r="41">
      <c r="A41" s="22"/>
      <c r="L41"/>
    </row>
    <row r="42">
      <c r="A42" s="22"/>
      <c r="L42"/>
    </row>
    <row r="43">
      <c r="A43" s="22"/>
      <c r="L43"/>
    </row>
    <row r="44">
      <c r="A44" s="22"/>
      <c r="L44"/>
    </row>
    <row r="45">
      <c r="A45" s="22"/>
      <c r="L45"/>
    </row>
  </sheetData>
  <mergeCells>
    <mergeCell ref="A3:A4"/>
    <mergeCell ref="A1:L2"/>
    <mergeCell ref="L3:L4"/>
    <mergeCell ref="B5:K5"/>
    <mergeCell ref="B9:K9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A1:L45"/>
  <sheetViews>
    <sheetView topLeftCell="A1" workbookViewId="0">
      <selection activeCell="E13" sqref="E13"/>
    </sheetView>
  </sheetViews>
  <sheetFormatPr defaultColWidth="8.7109375" defaultRowHeight="13"/>
  <cols>
    <col min="1" max="1" width="9.85546875" style="85" customWidth="1"/>
    <col min="2" max="2" width="23.7109375" style="15" customWidth="1"/>
    <col min="3" max="3" width="21.42578125" style="15" bestFit="1" customWidth="1"/>
    <col min="4" max="4" width="10.5703125" style="15" bestFit="1" customWidth="1"/>
    <col min="5" max="5" width="22.7109375" style="15" bestFit="1" customWidth="1"/>
    <col min="6" max="6" width="27" style="15" customWidth="1"/>
    <col min="7" max="7" width="4.5703125" style="15" bestFit="1" customWidth="1"/>
    <col min="8" max="9" width="5" style="15" customWidth="1"/>
    <col min="10" max="10" width="3.28515625" style="15" bestFit="1" customWidth="1"/>
    <col min="11" max="11" width="11.5703125" style="15" customWidth="1"/>
    <col min="12" max="12" width="15.42578125" style="15" bestFit="1" customWidth="1"/>
  </cols>
  <sheetData>
    <row r="1" s="1" customFormat="1" ht="15" customHeight="1">
      <c r="A1" s="200" t="s">
        <v>643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5"/>
    </row>
    <row r="2" s="1" customFormat="1" ht="122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7</v>
      </c>
      <c r="F3" s="190" t="s">
        <v>430</v>
      </c>
      <c r="G3" s="233" t="s">
        <v>3</v>
      </c>
      <c r="H3" s="234"/>
      <c r="I3" s="234"/>
      <c r="J3" s="235"/>
      <c r="K3" s="190" t="s">
        <v>533</v>
      </c>
      <c r="L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3">
        <v>1</v>
      </c>
      <c r="H4" s="3">
        <v>2</v>
      </c>
      <c r="I4" s="3">
        <v>3</v>
      </c>
      <c r="J4" s="3" t="s">
        <v>338</v>
      </c>
      <c r="K4" s="191"/>
      <c r="L4" s="193"/>
    </row>
    <row r="5" ht="16">
      <c r="A5" s="88"/>
      <c r="B5" s="194" t="s">
        <v>55</v>
      </c>
      <c r="C5" s="194"/>
      <c r="D5" s="194"/>
      <c r="E5" s="194"/>
      <c r="F5" s="194"/>
      <c r="G5" s="194"/>
      <c r="H5" s="194"/>
      <c r="I5" s="194"/>
      <c r="J5" s="194"/>
      <c r="K5" s="194"/>
    </row>
    <row r="6">
      <c r="A6" s="84" t="s">
        <v>330</v>
      </c>
      <c r="B6" s="16" t="s">
        <v>63</v>
      </c>
      <c r="C6" s="16" t="s">
        <v>64</v>
      </c>
      <c r="D6" s="91">
        <v>105.5</v>
      </c>
      <c r="E6" s="16" t="s">
        <v>551</v>
      </c>
      <c r="F6" s="16" t="s">
        <v>536</v>
      </c>
      <c r="G6" s="158" t="s">
        <v>346</v>
      </c>
      <c r="H6" s="158" t="s">
        <v>347</v>
      </c>
      <c r="I6" s="90" t="s">
        <v>348</v>
      </c>
      <c r="J6" s="17"/>
      <c r="K6" s="84" t="s">
        <v>347</v>
      </c>
      <c r="L6" s="16" t="s">
        <v>86</v>
      </c>
    </row>
    <row r="7">
      <c r="A7" s="22"/>
      <c r="L7"/>
    </row>
    <row r="8">
      <c r="A8" s="22"/>
      <c r="G8"/>
      <c r="H8"/>
      <c r="I8"/>
      <c r="J8"/>
      <c r="K8"/>
      <c r="L8"/>
    </row>
    <row r="9">
      <c r="A9" s="22"/>
      <c r="G9"/>
      <c r="H9"/>
      <c r="I9"/>
      <c r="J9"/>
      <c r="K9"/>
      <c r="L9"/>
    </row>
    <row r="10">
      <c r="A10" s="22"/>
      <c r="G10"/>
      <c r="H10"/>
      <c r="I10"/>
      <c r="J10"/>
      <c r="K10"/>
      <c r="L10"/>
    </row>
    <row r="11">
      <c r="H11"/>
      <c r="I11"/>
      <c r="J11"/>
      <c r="K11"/>
      <c r="L11"/>
    </row>
    <row r="12">
      <c r="A12" s="22"/>
      <c r="H12"/>
      <c r="I12"/>
      <c r="J12"/>
      <c r="K12"/>
      <c r="L12"/>
    </row>
    <row r="13">
      <c r="A13" s="22"/>
      <c r="H13"/>
      <c r="I13"/>
      <c r="J13"/>
      <c r="K13"/>
      <c r="L13"/>
    </row>
    <row r="14">
      <c r="A14" s="22"/>
      <c r="H14"/>
      <c r="I14"/>
      <c r="J14"/>
      <c r="K14"/>
      <c r="L14"/>
    </row>
    <row r="15">
      <c r="A15" s="22"/>
      <c r="H15"/>
      <c r="I15"/>
      <c r="J15"/>
      <c r="K15"/>
      <c r="L15"/>
    </row>
    <row r="16">
      <c r="A16" s="22"/>
      <c r="H16"/>
      <c r="I16"/>
      <c r="J16"/>
      <c r="K16"/>
      <c r="L16"/>
    </row>
    <row r="17">
      <c r="A17" s="87"/>
      <c r="B17"/>
      <c r="C17"/>
      <c r="D17"/>
      <c r="E17"/>
      <c r="F17"/>
      <c r="G17"/>
      <c r="H17"/>
      <c r="I17"/>
      <c r="J17"/>
      <c r="K17"/>
      <c r="L17"/>
    </row>
    <row r="18">
      <c r="A18" s="87"/>
      <c r="B18"/>
      <c r="C18"/>
      <c r="D18"/>
      <c r="E18"/>
      <c r="F18"/>
      <c r="G18"/>
      <c r="H18"/>
      <c r="I18"/>
      <c r="J18"/>
      <c r="K18"/>
      <c r="L18"/>
    </row>
    <row r="19">
      <c r="A19" s="87"/>
      <c r="B19"/>
      <c r="C19"/>
      <c r="D19"/>
      <c r="E19"/>
      <c r="F19"/>
      <c r="G19"/>
      <c r="H19"/>
      <c r="I19"/>
      <c r="J19"/>
      <c r="K19"/>
      <c r="L19"/>
    </row>
    <row r="20">
      <c r="A20" s="87"/>
      <c r="B20"/>
      <c r="C20"/>
      <c r="D20"/>
      <c r="E20"/>
      <c r="F20"/>
      <c r="G20"/>
      <c r="H20"/>
      <c r="I20"/>
      <c r="J20"/>
      <c r="K20"/>
      <c r="L20"/>
    </row>
    <row r="21">
      <c r="A21" s="87"/>
      <c r="B21"/>
      <c r="C21"/>
      <c r="D21"/>
      <c r="E21"/>
      <c r="F21"/>
      <c r="G21"/>
      <c r="H21"/>
      <c r="I21"/>
      <c r="J21"/>
      <c r="K21"/>
      <c r="L21"/>
    </row>
    <row r="22">
      <c r="A22" s="87"/>
      <c r="B22"/>
      <c r="C22"/>
      <c r="D22"/>
      <c r="E22"/>
      <c r="F22"/>
      <c r="G22"/>
      <c r="H22"/>
      <c r="I22"/>
      <c r="J22"/>
      <c r="K22"/>
      <c r="L22"/>
    </row>
    <row r="23">
      <c r="A23" s="87"/>
      <c r="B23"/>
      <c r="C23"/>
      <c r="D23"/>
      <c r="E23"/>
      <c r="F23"/>
      <c r="G23"/>
      <c r="H23"/>
      <c r="I23"/>
      <c r="J23"/>
      <c r="K23"/>
      <c r="L23"/>
    </row>
    <row r="24">
      <c r="A24" s="87"/>
      <c r="B24"/>
      <c r="C24"/>
      <c r="D24"/>
      <c r="E24"/>
      <c r="F24"/>
      <c r="G24"/>
      <c r="H24"/>
      <c r="I24"/>
      <c r="J24"/>
      <c r="K24"/>
      <c r="L24"/>
    </row>
    <row r="25">
      <c r="A25" s="87"/>
      <c r="B25"/>
      <c r="C25"/>
      <c r="D25"/>
      <c r="E25"/>
      <c r="F25"/>
      <c r="G25"/>
      <c r="H25"/>
      <c r="I25"/>
      <c r="J25"/>
      <c r="K25"/>
      <c r="L25"/>
    </row>
    <row r="26">
      <c r="A26" s="87"/>
      <c r="B26"/>
      <c r="C26"/>
      <c r="D26"/>
      <c r="E26"/>
      <c r="F26"/>
      <c r="G26"/>
      <c r="H26"/>
      <c r="I26"/>
      <c r="J26"/>
      <c r="K26"/>
      <c r="L26"/>
    </row>
    <row r="27">
      <c r="A27" s="87"/>
      <c r="B27"/>
      <c r="C27"/>
      <c r="D27"/>
      <c r="E27"/>
      <c r="F27"/>
      <c r="G27"/>
      <c r="H27"/>
      <c r="I27"/>
      <c r="J27"/>
      <c r="K27"/>
      <c r="L27"/>
    </row>
    <row r="28">
      <c r="A28" s="87"/>
      <c r="B28"/>
      <c r="C28"/>
      <c r="D28"/>
      <c r="E28"/>
      <c r="F28"/>
      <c r="G28"/>
      <c r="H28"/>
      <c r="I28"/>
      <c r="J28"/>
      <c r="K28"/>
      <c r="L28"/>
    </row>
    <row r="29">
      <c r="A29" s="87"/>
      <c r="B29"/>
      <c r="C29"/>
      <c r="D29"/>
      <c r="E29"/>
      <c r="F29"/>
      <c r="G29"/>
      <c r="H29"/>
      <c r="I29"/>
      <c r="J29"/>
      <c r="K29"/>
      <c r="L29"/>
    </row>
    <row r="30">
      <c r="A30" s="22"/>
      <c r="B30"/>
      <c r="C30"/>
      <c r="D30"/>
      <c r="E30"/>
      <c r="F30"/>
      <c r="G30"/>
      <c r="H30"/>
      <c r="I30"/>
      <c r="J30"/>
      <c r="K30"/>
      <c r="L30"/>
    </row>
    <row r="31">
      <c r="A31" s="22"/>
      <c r="B31"/>
      <c r="C31"/>
      <c r="D31"/>
      <c r="E31"/>
      <c r="F31"/>
      <c r="G31"/>
      <c r="H31"/>
      <c r="I31"/>
      <c r="J31"/>
      <c r="K31"/>
      <c r="L31"/>
    </row>
    <row r="32">
      <c r="A32" s="22"/>
      <c r="B32"/>
      <c r="C32"/>
      <c r="D32"/>
      <c r="E32"/>
      <c r="F32"/>
      <c r="G32"/>
      <c r="H32"/>
      <c r="I32"/>
      <c r="J32"/>
      <c r="K32"/>
      <c r="L32"/>
    </row>
    <row r="33">
      <c r="A33" s="22"/>
      <c r="B33"/>
      <c r="C33"/>
      <c r="D33"/>
      <c r="E33"/>
      <c r="F33"/>
      <c r="G33"/>
      <c r="H33"/>
      <c r="I33"/>
      <c r="J33"/>
      <c r="K33"/>
      <c r="L33"/>
    </row>
    <row r="34">
      <c r="A34" s="22"/>
      <c r="B34"/>
      <c r="C34"/>
      <c r="D34"/>
      <c r="E34"/>
      <c r="F34"/>
      <c r="G34"/>
      <c r="H34"/>
      <c r="I34"/>
      <c r="J34"/>
      <c r="K34"/>
      <c r="L34"/>
    </row>
    <row r="35">
      <c r="A35" s="22"/>
      <c r="B35"/>
      <c r="C35"/>
      <c r="D35"/>
      <c r="E35"/>
      <c r="F35"/>
      <c r="G35"/>
      <c r="H35"/>
      <c r="I35"/>
      <c r="J35"/>
      <c r="K35"/>
      <c r="L35"/>
    </row>
    <row r="36">
      <c r="A36" s="22"/>
      <c r="B36"/>
      <c r="C36"/>
      <c r="D36"/>
      <c r="E36"/>
      <c r="F36"/>
      <c r="G36"/>
      <c r="H36"/>
      <c r="I36"/>
      <c r="J36"/>
      <c r="K36"/>
      <c r="L36"/>
    </row>
    <row r="37">
      <c r="A37" s="22"/>
      <c r="B37"/>
      <c r="C37"/>
      <c r="D37"/>
      <c r="E37"/>
      <c r="F37"/>
      <c r="G37"/>
      <c r="H37"/>
      <c r="I37"/>
      <c r="J37"/>
      <c r="K37"/>
      <c r="L37"/>
    </row>
    <row r="38">
      <c r="A38" s="22"/>
      <c r="B38"/>
      <c r="C38"/>
      <c r="D38"/>
      <c r="E38"/>
      <c r="F38"/>
      <c r="G38"/>
      <c r="H38"/>
      <c r="I38"/>
      <c r="J38"/>
      <c r="K38"/>
      <c r="L38"/>
    </row>
    <row r="39">
      <c r="A39" s="22"/>
      <c r="B39"/>
      <c r="C39"/>
      <c r="D39"/>
      <c r="E39"/>
      <c r="F39"/>
      <c r="G39"/>
      <c r="H39"/>
      <c r="I39"/>
      <c r="J39"/>
      <c r="K39"/>
      <c r="L39"/>
    </row>
    <row r="40">
      <c r="A40" s="22"/>
      <c r="B40"/>
      <c r="C40"/>
      <c r="D40"/>
      <c r="E40"/>
      <c r="F40"/>
      <c r="G40"/>
      <c r="H40"/>
      <c r="I40"/>
      <c r="J40"/>
      <c r="K40"/>
      <c r="L40"/>
    </row>
    <row r="41">
      <c r="A41" s="22"/>
    </row>
    <row r="42">
      <c r="A42" s="22"/>
    </row>
    <row r="43">
      <c r="A43" s="22"/>
    </row>
    <row r="44">
      <c r="A44" s="22"/>
    </row>
    <row r="45">
      <c r="A45" s="22"/>
    </row>
  </sheetData>
  <mergeCells>
    <mergeCell ref="A3:A4"/>
    <mergeCell ref="A1:L2"/>
    <mergeCell ref="L3:L4"/>
    <mergeCell ref="B5:K5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dimension ref="A1:L93"/>
  <sheetViews>
    <sheetView topLeftCell="D6" workbookViewId="0">
      <selection activeCell="G52" sqref="G52"/>
    </sheetView>
  </sheetViews>
  <sheetFormatPr defaultColWidth="8.7109375" defaultRowHeight="13"/>
  <cols>
    <col min="1" max="1" width="9.85546875" style="85" customWidth="1"/>
    <col min="2" max="2" width="22.42578125" style="15" customWidth="1"/>
    <col min="3" max="3" width="24.42578125" style="15" customWidth="1"/>
    <col min="4" max="4" width="10.5703125" style="92" bestFit="1" customWidth="1"/>
    <col min="5" max="5" width="8.42578125" style="15" bestFit="1" customWidth="1"/>
    <col min="6" max="6" width="19" style="15" customWidth="1"/>
    <col min="7" max="7" width="32.7109375" style="15" customWidth="1"/>
    <col min="8" max="8" width="5.5703125" style="55" bestFit="1" customWidth="1"/>
    <col min="9" max="9" width="9.42578125" style="55" customWidth="1"/>
    <col min="10" max="10" width="7.85546875" style="85" bestFit="1" customWidth="1"/>
    <col min="11" max="11" width="9.5703125" style="22" bestFit="1" customWidth="1"/>
    <col min="12" max="12" width="20.28515625" style="15" customWidth="1"/>
  </cols>
  <sheetData>
    <row r="1" s="1" customFormat="1" ht="15" customHeight="1">
      <c r="A1" s="200" t="s">
        <v>645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5"/>
    </row>
    <row r="2" s="1" customFormat="1" ht="119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 t="s">
        <v>4</v>
      </c>
      <c r="K3" s="190" t="s">
        <v>6</v>
      </c>
      <c r="L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3" t="s">
        <v>398</v>
      </c>
      <c r="I4" s="3" t="s">
        <v>397</v>
      </c>
      <c r="J4" s="191"/>
      <c r="K4" s="191"/>
      <c r="L4" s="193"/>
    </row>
    <row r="5" ht="16">
      <c r="A5" s="88"/>
      <c r="B5" s="194" t="s">
        <v>99</v>
      </c>
      <c r="C5" s="194"/>
      <c r="D5" s="194"/>
      <c r="E5" s="194"/>
      <c r="F5" s="194"/>
      <c r="G5" s="194"/>
      <c r="H5" s="194"/>
      <c r="I5" s="194"/>
      <c r="J5" s="194"/>
      <c r="K5" s="194"/>
    </row>
    <row r="6">
      <c r="A6" s="84" t="s">
        <v>330</v>
      </c>
      <c r="B6" s="16" t="s">
        <v>332</v>
      </c>
      <c r="C6" s="16" t="s">
        <v>363</v>
      </c>
      <c r="D6" s="91">
        <v>59.9</v>
      </c>
      <c r="E6" s="16" t="str">
        <f>"1,1163"</f>
        <v>1,1163</v>
      </c>
      <c r="F6" s="16" t="s">
        <v>387</v>
      </c>
      <c r="G6" s="16" t="s">
        <v>537</v>
      </c>
      <c r="H6" s="84" t="s">
        <v>364</v>
      </c>
      <c r="I6" s="108">
        <v>44</v>
      </c>
      <c r="J6" s="84">
        <v>1320</v>
      </c>
      <c r="K6" s="66" t="str">
        <f>"1473,5160"</f>
        <v>1473,5160</v>
      </c>
      <c r="L6" s="16" t="s">
        <v>505</v>
      </c>
    </row>
    <row r="7">
      <c r="A7" s="96"/>
    </row>
    <row r="8" ht="16">
      <c r="B8" s="189" t="s">
        <v>30</v>
      </c>
      <c r="C8" s="189"/>
      <c r="D8" s="189"/>
      <c r="E8" s="189"/>
      <c r="F8" s="189"/>
      <c r="G8" s="189"/>
      <c r="H8" s="189"/>
      <c r="I8" s="189"/>
      <c r="J8" s="189"/>
      <c r="K8" s="189"/>
    </row>
    <row r="9">
      <c r="A9" s="84" t="s">
        <v>330</v>
      </c>
      <c r="B9" s="16" t="s">
        <v>149</v>
      </c>
      <c r="C9" s="16" t="s">
        <v>150</v>
      </c>
      <c r="D9" s="91">
        <v>89.3</v>
      </c>
      <c r="E9" s="16" t="str">
        <f>"0,6410"</f>
        <v>0,6410</v>
      </c>
      <c r="F9" s="16" t="s">
        <v>14</v>
      </c>
      <c r="G9" s="16" t="s">
        <v>537</v>
      </c>
      <c r="H9" s="84" t="s">
        <v>274</v>
      </c>
      <c r="I9" s="108">
        <v>25</v>
      </c>
      <c r="J9" s="84">
        <v>2250</v>
      </c>
      <c r="K9" s="66" t="str">
        <f>"1442,2499"</f>
        <v>1442,2499</v>
      </c>
      <c r="L9" s="16" t="s">
        <v>86</v>
      </c>
    </row>
    <row r="10">
      <c r="A10" s="74"/>
    </row>
    <row r="11" ht="16">
      <c r="A11" s="74"/>
      <c r="B11" s="189" t="s">
        <v>42</v>
      </c>
      <c r="C11" s="189"/>
      <c r="D11" s="189"/>
      <c r="E11" s="189"/>
      <c r="F11" s="189"/>
      <c r="G11" s="189"/>
      <c r="H11" s="189"/>
      <c r="I11" s="189"/>
      <c r="J11" s="189"/>
      <c r="K11" s="189"/>
    </row>
    <row r="12">
      <c r="A12" s="73" t="s">
        <v>330</v>
      </c>
      <c r="B12" s="16" t="s">
        <v>365</v>
      </c>
      <c r="C12" s="16" t="s">
        <v>366</v>
      </c>
      <c r="D12" s="91">
        <v>95.6</v>
      </c>
      <c r="E12" s="16" t="str">
        <f>"0,6203"</f>
        <v>0,6203</v>
      </c>
      <c r="F12" s="16" t="s">
        <v>14</v>
      </c>
      <c r="G12" s="16" t="s">
        <v>142</v>
      </c>
      <c r="H12" s="84" t="s">
        <v>21</v>
      </c>
      <c r="I12" s="108">
        <v>9</v>
      </c>
      <c r="J12" s="84">
        <v>900</v>
      </c>
      <c r="K12" s="66" t="str">
        <f>"558,2700"</f>
        <v>558,2700</v>
      </c>
      <c r="L12" s="16" t="s">
        <v>510</v>
      </c>
    </row>
    <row r="13">
      <c r="A13" s="74"/>
    </row>
    <row r="14" ht="16">
      <c r="A14" s="74"/>
      <c r="B14" s="189" t="s">
        <v>367</v>
      </c>
      <c r="C14" s="189"/>
      <c r="D14" s="189"/>
      <c r="E14" s="189"/>
      <c r="F14" s="189"/>
      <c r="G14" s="189"/>
      <c r="H14" s="189"/>
      <c r="I14" s="189"/>
      <c r="J14" s="189"/>
      <c r="K14" s="189"/>
    </row>
    <row r="15">
      <c r="A15" s="73" t="s">
        <v>330</v>
      </c>
      <c r="B15" s="16" t="s">
        <v>368</v>
      </c>
      <c r="C15" s="16" t="s">
        <v>369</v>
      </c>
      <c r="D15" s="91">
        <v>147.6</v>
      </c>
      <c r="E15" s="16" t="str">
        <f>"0,5546"</f>
        <v>0,5546</v>
      </c>
      <c r="F15" s="16" t="s">
        <v>14</v>
      </c>
      <c r="G15" s="16" t="s">
        <v>370</v>
      </c>
      <c r="H15" s="84" t="s">
        <v>73</v>
      </c>
      <c r="I15" s="108">
        <v>20</v>
      </c>
      <c r="J15" s="84">
        <v>2800</v>
      </c>
      <c r="K15" s="66" t="str">
        <f>"1552,8800"</f>
        <v>1552,8800</v>
      </c>
      <c r="L15" s="16" t="s">
        <v>86</v>
      </c>
    </row>
    <row r="16">
      <c r="A16" s="74"/>
    </row>
    <row r="17">
      <c r="A17" s="74"/>
      <c r="B17"/>
      <c r="C17"/>
      <c r="D17" s="102"/>
      <c r="E17"/>
      <c r="F17"/>
      <c r="G17"/>
      <c r="H17" s="57"/>
      <c r="I17" s="57"/>
      <c r="J17" s="88"/>
      <c r="K17" s="87"/>
      <c r="L17"/>
    </row>
    <row r="18">
      <c r="A18" s="74"/>
      <c r="B18"/>
      <c r="C18"/>
      <c r="D18" s="102"/>
      <c r="E18"/>
      <c r="F18"/>
      <c r="G18"/>
      <c r="H18" s="57"/>
      <c r="I18" s="57"/>
      <c r="J18" s="88"/>
      <c r="K18" s="87"/>
      <c r="L18"/>
    </row>
    <row r="19">
      <c r="A19" s="74"/>
      <c r="B19"/>
      <c r="C19"/>
      <c r="D19" s="102"/>
      <c r="E19"/>
      <c r="F19"/>
      <c r="G19"/>
      <c r="H19" s="57"/>
      <c r="I19" s="57"/>
      <c r="J19" s="88"/>
      <c r="K19" s="87"/>
      <c r="L19"/>
    </row>
    <row r="20">
      <c r="A20" s="74"/>
      <c r="B20"/>
      <c r="C20"/>
      <c r="D20" s="102"/>
      <c r="E20"/>
      <c r="F20"/>
      <c r="G20"/>
      <c r="H20" s="57"/>
      <c r="I20" s="57"/>
      <c r="J20" s="88"/>
      <c r="K20" s="87"/>
      <c r="L20"/>
    </row>
    <row r="21">
      <c r="A21" s="74"/>
      <c r="B21"/>
      <c r="C21"/>
      <c r="D21" s="102"/>
      <c r="E21"/>
      <c r="F21"/>
      <c r="G21"/>
      <c r="H21" s="57"/>
      <c r="I21" s="57"/>
      <c r="J21" s="88"/>
      <c r="K21" s="87"/>
      <c r="L21"/>
    </row>
    <row r="22">
      <c r="A22" s="74"/>
      <c r="B22"/>
      <c r="C22"/>
      <c r="D22" s="102"/>
      <c r="E22"/>
      <c r="F22"/>
      <c r="G22"/>
      <c r="H22" s="57"/>
      <c r="I22" s="57"/>
      <c r="J22" s="88"/>
      <c r="K22" s="87"/>
      <c r="L22"/>
    </row>
    <row r="23">
      <c r="A23" s="74"/>
      <c r="B23"/>
      <c r="C23"/>
      <c r="D23" s="102"/>
      <c r="E23"/>
      <c r="F23"/>
      <c r="G23"/>
      <c r="H23" s="57"/>
      <c r="I23" s="57"/>
      <c r="J23" s="88"/>
      <c r="K23" s="87"/>
      <c r="L23"/>
    </row>
    <row r="24">
      <c r="A24" s="74"/>
      <c r="B24"/>
      <c r="C24"/>
      <c r="D24" s="102"/>
      <c r="E24"/>
      <c r="F24"/>
      <c r="G24"/>
      <c r="H24" s="57"/>
      <c r="I24" s="57"/>
      <c r="J24" s="88"/>
      <c r="K24" s="87"/>
      <c r="L24"/>
    </row>
    <row r="25">
      <c r="A25" s="74"/>
      <c r="B25"/>
      <c r="C25"/>
      <c r="D25" s="102"/>
      <c r="E25"/>
      <c r="F25"/>
      <c r="G25"/>
      <c r="H25" s="57"/>
      <c r="I25" s="57"/>
      <c r="J25" s="88"/>
      <c r="K25" s="87"/>
      <c r="L25"/>
    </row>
    <row r="26">
      <c r="A26" s="74"/>
      <c r="B26"/>
      <c r="C26"/>
      <c r="D26" s="102"/>
      <c r="E26"/>
      <c r="F26"/>
      <c r="G26"/>
      <c r="H26" s="57"/>
      <c r="I26" s="57"/>
      <c r="J26" s="88"/>
      <c r="K26" s="87"/>
      <c r="L26"/>
    </row>
    <row r="27">
      <c r="A27" s="74"/>
      <c r="B27"/>
      <c r="C27"/>
      <c r="D27" s="102"/>
      <c r="E27"/>
      <c r="F27"/>
      <c r="G27"/>
      <c r="H27" s="57"/>
      <c r="I27" s="57"/>
      <c r="J27" s="88"/>
      <c r="K27" s="87"/>
      <c r="L27"/>
    </row>
    <row r="28">
      <c r="A28" s="88"/>
      <c r="B28"/>
      <c r="C28"/>
      <c r="D28" s="102"/>
      <c r="E28"/>
      <c r="F28"/>
      <c r="G28"/>
      <c r="H28" s="57"/>
      <c r="I28" s="57"/>
      <c r="J28" s="88"/>
      <c r="K28" s="87"/>
      <c r="L28"/>
    </row>
    <row r="29">
      <c r="A29" s="88"/>
      <c r="B29"/>
      <c r="C29"/>
      <c r="D29" s="102"/>
      <c r="E29"/>
      <c r="F29"/>
      <c r="G29"/>
      <c r="H29" s="57"/>
      <c r="I29" s="57"/>
      <c r="J29" s="88"/>
      <c r="K29" s="87"/>
      <c r="L29"/>
    </row>
    <row r="30">
      <c r="B30"/>
      <c r="C30"/>
      <c r="D30" s="102"/>
      <c r="E30"/>
      <c r="F30" t="s">
        <v>630</v>
      </c>
      <c r="G30"/>
      <c r="H30" s="57"/>
      <c r="I30" s="57"/>
      <c r="J30" s="88"/>
      <c r="K30" s="87"/>
      <c r="L30"/>
    </row>
    <row r="31">
      <c r="B31"/>
      <c r="C31"/>
      <c r="D31" s="102"/>
      <c r="E31"/>
      <c r="F31"/>
      <c r="G31"/>
      <c r="H31" s="57"/>
      <c r="I31" s="57"/>
      <c r="J31" s="88"/>
      <c r="K31" s="87"/>
      <c r="L31"/>
    </row>
    <row r="32">
      <c r="B32"/>
      <c r="C32"/>
      <c r="D32" s="102"/>
      <c r="E32"/>
      <c r="F32"/>
      <c r="G32"/>
      <c r="H32" s="57"/>
      <c r="I32" s="57"/>
      <c r="J32" s="88"/>
      <c r="K32" s="87"/>
      <c r="L32"/>
    </row>
    <row r="33">
      <c r="B33"/>
      <c r="C33"/>
      <c r="D33" s="102"/>
      <c r="E33"/>
      <c r="F33"/>
      <c r="G33"/>
      <c r="H33" s="57"/>
      <c r="I33" s="57"/>
      <c r="J33" s="88"/>
      <c r="K33" s="87"/>
      <c r="L33"/>
    </row>
    <row r="34">
      <c r="B34"/>
      <c r="C34"/>
      <c r="D34" s="102"/>
      <c r="E34"/>
      <c r="F34"/>
      <c r="G34"/>
      <c r="H34" s="57"/>
      <c r="I34" s="57"/>
      <c r="J34" s="88"/>
      <c r="K34" s="87"/>
      <c r="L34"/>
    </row>
    <row r="35">
      <c r="B35"/>
      <c r="C35"/>
      <c r="D35" s="102"/>
      <c r="E35"/>
      <c r="F35"/>
      <c r="G35"/>
      <c r="H35" s="57"/>
      <c r="I35" s="57"/>
      <c r="J35" s="88"/>
      <c r="K35" s="87"/>
      <c r="L35"/>
    </row>
    <row r="36">
      <c r="B36"/>
      <c r="C36"/>
      <c r="D36" s="102"/>
      <c r="E36"/>
      <c r="F36"/>
      <c r="G36"/>
      <c r="H36" s="57"/>
      <c r="I36" s="57"/>
      <c r="J36" s="88"/>
      <c r="K36" s="87"/>
      <c r="L36"/>
    </row>
    <row r="37">
      <c r="B37"/>
      <c r="C37"/>
      <c r="D37" s="102"/>
      <c r="E37"/>
      <c r="F37"/>
      <c r="G37"/>
      <c r="H37" s="57"/>
      <c r="I37" s="57"/>
      <c r="J37" s="88"/>
      <c r="K37" s="87"/>
      <c r="L37"/>
    </row>
    <row r="38">
      <c r="B38"/>
      <c r="C38"/>
      <c r="D38" s="102"/>
      <c r="E38"/>
      <c r="F38"/>
      <c r="G38"/>
      <c r="H38" s="57"/>
      <c r="I38" s="57"/>
      <c r="J38" s="88"/>
      <c r="K38" s="87"/>
      <c r="L38"/>
    </row>
    <row r="39">
      <c r="B39"/>
      <c r="C39"/>
      <c r="D39" s="102"/>
      <c r="E39"/>
      <c r="F39"/>
      <c r="G39"/>
      <c r="H39" s="57"/>
      <c r="I39" s="57"/>
      <c r="J39" s="88"/>
      <c r="K39" s="87"/>
      <c r="L39"/>
    </row>
    <row r="40">
      <c r="B40"/>
      <c r="C40"/>
      <c r="D40" s="102"/>
      <c r="E40"/>
      <c r="F40"/>
      <c r="G40"/>
      <c r="H40" s="57"/>
      <c r="I40" s="57"/>
      <c r="J40" s="88"/>
      <c r="K40" s="87"/>
      <c r="L40"/>
    </row>
    <row r="41">
      <c r="B41"/>
      <c r="C41"/>
      <c r="D41" s="102"/>
      <c r="E41"/>
      <c r="F41"/>
      <c r="G41"/>
      <c r="H41" s="57"/>
      <c r="I41" s="57"/>
      <c r="J41" s="88"/>
      <c r="K41" s="87"/>
      <c r="L41"/>
    </row>
    <row r="42">
      <c r="B42"/>
      <c r="C42"/>
      <c r="D42" s="102"/>
      <c r="E42"/>
      <c r="F42"/>
      <c r="G42"/>
      <c r="H42" s="57"/>
      <c r="I42" s="57"/>
      <c r="J42" s="88"/>
      <c r="K42" s="87"/>
      <c r="L42"/>
    </row>
    <row r="43">
      <c r="B43"/>
      <c r="C43"/>
      <c r="D43" s="102"/>
      <c r="E43"/>
      <c r="F43"/>
      <c r="G43"/>
      <c r="H43" s="57"/>
      <c r="I43" s="57"/>
      <c r="J43" s="88"/>
      <c r="K43" s="87"/>
      <c r="L43"/>
    </row>
    <row r="44">
      <c r="B44"/>
      <c r="C44"/>
      <c r="D44" s="102"/>
      <c r="E44"/>
      <c r="F44"/>
      <c r="G44"/>
      <c r="H44" s="57"/>
      <c r="I44" s="57"/>
      <c r="J44" s="88"/>
      <c r="K44" s="87"/>
      <c r="L44"/>
    </row>
    <row r="45">
      <c r="B45"/>
      <c r="C45"/>
      <c r="D45" s="102"/>
      <c r="E45"/>
      <c r="F45"/>
      <c r="G45"/>
      <c r="H45" s="57"/>
      <c r="I45" s="57"/>
      <c r="J45" s="88"/>
      <c r="K45" s="87"/>
      <c r="L45"/>
    </row>
    <row r="46">
      <c r="B46"/>
      <c r="C46"/>
      <c r="D46" s="102"/>
      <c r="E46"/>
      <c r="F46"/>
      <c r="G46"/>
      <c r="H46" s="57"/>
      <c r="I46" s="57"/>
      <c r="J46" s="88"/>
      <c r="K46" s="87"/>
      <c r="L46"/>
    </row>
    <row r="47">
      <c r="B47"/>
      <c r="C47"/>
      <c r="D47" s="102"/>
      <c r="E47"/>
      <c r="F47"/>
      <c r="G47"/>
      <c r="H47" s="57"/>
      <c r="I47" s="57"/>
      <c r="J47" s="88"/>
      <c r="K47" s="87"/>
      <c r="L47"/>
    </row>
    <row r="48">
      <c r="B48"/>
      <c r="C48"/>
      <c r="D48" s="102"/>
      <c r="E48"/>
      <c r="F48"/>
      <c r="G48"/>
      <c r="H48" s="57"/>
      <c r="I48" s="57"/>
      <c r="J48" s="88"/>
      <c r="K48" s="87"/>
      <c r="L48"/>
    </row>
    <row r="49">
      <c r="B49"/>
      <c r="C49"/>
      <c r="D49" s="102"/>
      <c r="E49"/>
      <c r="F49"/>
      <c r="G49"/>
      <c r="H49" s="57"/>
      <c r="I49" s="57"/>
      <c r="J49" s="88"/>
      <c r="K49" s="87"/>
      <c r="L49"/>
    </row>
    <row r="50">
      <c r="B50"/>
      <c r="C50"/>
      <c r="D50" s="102"/>
      <c r="E50"/>
      <c r="F50"/>
      <c r="G50"/>
      <c r="H50" s="57"/>
      <c r="I50" s="57"/>
      <c r="J50" s="88"/>
      <c r="K50" s="87"/>
      <c r="L50"/>
    </row>
    <row r="51">
      <c r="B51"/>
      <c r="C51"/>
      <c r="D51" s="102"/>
      <c r="E51"/>
      <c r="F51"/>
      <c r="G51"/>
      <c r="H51" s="57"/>
      <c r="I51" s="57"/>
      <c r="J51" s="88"/>
      <c r="K51" s="87"/>
      <c r="L51"/>
    </row>
    <row r="52">
      <c r="B52"/>
      <c r="C52"/>
      <c r="D52" s="102"/>
      <c r="E52"/>
      <c r="F52"/>
      <c r="G52"/>
      <c r="H52" s="57"/>
      <c r="I52" s="57"/>
      <c r="J52" s="88"/>
      <c r="K52" s="87"/>
      <c r="L52"/>
    </row>
    <row r="53">
      <c r="B53"/>
      <c r="C53"/>
      <c r="D53" s="102"/>
      <c r="E53"/>
      <c r="F53"/>
      <c r="G53"/>
      <c r="H53" s="57"/>
      <c r="I53" s="57"/>
      <c r="J53" s="88"/>
      <c r="K53" s="87"/>
      <c r="L53"/>
    </row>
    <row r="54">
      <c r="B54"/>
      <c r="C54"/>
      <c r="D54" s="102"/>
      <c r="E54"/>
      <c r="F54"/>
      <c r="G54"/>
      <c r="H54" s="57"/>
      <c r="I54" s="57"/>
      <c r="J54" s="88"/>
      <c r="K54" s="87"/>
      <c r="L54"/>
    </row>
    <row r="55">
      <c r="B55"/>
      <c r="C55"/>
      <c r="D55" s="102"/>
      <c r="E55"/>
      <c r="F55"/>
      <c r="G55"/>
      <c r="H55" s="57"/>
      <c r="I55" s="57"/>
      <c r="J55" s="88"/>
      <c r="K55" s="87"/>
      <c r="L55"/>
    </row>
    <row r="56">
      <c r="B56"/>
      <c r="C56"/>
      <c r="D56" s="102"/>
      <c r="E56"/>
      <c r="F56"/>
      <c r="G56"/>
      <c r="H56" s="57"/>
      <c r="I56" s="57"/>
      <c r="J56" s="88"/>
      <c r="K56" s="87"/>
      <c r="L56"/>
    </row>
    <row r="57">
      <c r="B57"/>
      <c r="C57"/>
      <c r="D57" s="102"/>
      <c r="E57"/>
      <c r="F57"/>
      <c r="G57"/>
      <c r="H57" s="57"/>
      <c r="I57" s="57"/>
      <c r="J57" s="88"/>
      <c r="K57" s="87"/>
      <c r="L57"/>
    </row>
    <row r="58">
      <c r="B58"/>
      <c r="C58"/>
      <c r="D58" s="102"/>
      <c r="E58"/>
      <c r="F58"/>
      <c r="G58"/>
      <c r="H58" s="57"/>
      <c r="I58" s="57"/>
      <c r="J58" s="88"/>
      <c r="K58" s="87"/>
      <c r="L58"/>
    </row>
    <row r="59">
      <c r="B59"/>
      <c r="C59"/>
      <c r="D59" s="102"/>
      <c r="E59"/>
      <c r="F59"/>
      <c r="G59"/>
      <c r="H59" s="57"/>
      <c r="I59" s="57"/>
      <c r="J59" s="88"/>
      <c r="K59" s="87"/>
      <c r="L59"/>
    </row>
    <row r="60">
      <c r="B60"/>
      <c r="C60"/>
      <c r="D60" s="102"/>
      <c r="E60"/>
      <c r="F60"/>
      <c r="G60"/>
      <c r="H60" s="57"/>
      <c r="I60" s="57"/>
      <c r="J60" s="88"/>
      <c r="K60" s="87"/>
      <c r="L60"/>
    </row>
    <row r="61">
      <c r="B61"/>
      <c r="C61"/>
      <c r="D61" s="102"/>
      <c r="E61"/>
      <c r="F61"/>
      <c r="G61"/>
      <c r="H61" s="57"/>
      <c r="I61" s="57"/>
      <c r="J61" s="88"/>
      <c r="K61" s="87"/>
      <c r="L61"/>
    </row>
    <row r="62">
      <c r="B62"/>
      <c r="C62"/>
      <c r="D62" s="102"/>
      <c r="E62"/>
      <c r="F62"/>
      <c r="G62"/>
      <c r="H62" s="57"/>
      <c r="I62" s="57"/>
      <c r="J62" s="88"/>
      <c r="K62" s="87"/>
      <c r="L62"/>
    </row>
    <row r="63">
      <c r="B63"/>
      <c r="C63"/>
      <c r="D63" s="102"/>
      <c r="E63"/>
      <c r="F63"/>
      <c r="G63"/>
      <c r="H63" s="57"/>
      <c r="I63" s="57"/>
      <c r="J63" s="88"/>
      <c r="K63" s="87"/>
      <c r="L63"/>
    </row>
    <row r="64">
      <c r="B64"/>
      <c r="C64"/>
      <c r="D64" s="102"/>
      <c r="E64"/>
      <c r="F64"/>
      <c r="G64"/>
      <c r="H64" s="57"/>
      <c r="I64" s="57"/>
      <c r="J64" s="88"/>
      <c r="K64" s="87"/>
      <c r="L64"/>
    </row>
    <row r="65">
      <c r="B65"/>
      <c r="C65"/>
      <c r="D65" s="102"/>
      <c r="E65"/>
      <c r="F65"/>
      <c r="G65"/>
      <c r="H65" s="57"/>
      <c r="I65" s="57"/>
      <c r="J65" s="88"/>
      <c r="K65" s="87"/>
      <c r="L65"/>
    </row>
    <row r="66">
      <c r="B66"/>
      <c r="C66"/>
      <c r="D66" s="102"/>
      <c r="E66"/>
      <c r="F66"/>
      <c r="G66"/>
      <c r="H66" s="57"/>
      <c r="I66" s="57"/>
      <c r="J66" s="88"/>
      <c r="K66" s="87"/>
      <c r="L66"/>
    </row>
    <row r="67">
      <c r="B67"/>
      <c r="C67"/>
      <c r="D67" s="102"/>
      <c r="E67"/>
      <c r="F67"/>
      <c r="G67"/>
      <c r="H67" s="57"/>
      <c r="I67" s="57"/>
      <c r="J67" s="88"/>
      <c r="K67" s="87"/>
      <c r="L67"/>
    </row>
    <row r="68">
      <c r="B68"/>
      <c r="C68"/>
      <c r="D68" s="102"/>
      <c r="E68"/>
      <c r="F68"/>
      <c r="G68"/>
      <c r="H68" s="57"/>
      <c r="I68" s="57"/>
      <c r="J68" s="88"/>
      <c r="K68" s="87"/>
      <c r="L68"/>
    </row>
    <row r="69">
      <c r="B69"/>
      <c r="C69"/>
      <c r="D69" s="102"/>
      <c r="E69"/>
      <c r="F69"/>
      <c r="G69"/>
      <c r="H69" s="57"/>
      <c r="I69" s="57"/>
      <c r="J69" s="88"/>
      <c r="K69" s="87"/>
      <c r="L69"/>
    </row>
    <row r="70">
      <c r="B70"/>
      <c r="C70"/>
      <c r="D70" s="102"/>
      <c r="E70"/>
      <c r="F70"/>
      <c r="G70"/>
      <c r="H70" s="57"/>
      <c r="I70" s="57"/>
      <c r="J70" s="88"/>
      <c r="K70" s="87"/>
      <c r="L70"/>
    </row>
    <row r="71">
      <c r="B71"/>
      <c r="C71"/>
      <c r="D71" s="102"/>
      <c r="E71"/>
      <c r="F71"/>
      <c r="G71"/>
      <c r="H71" s="57"/>
      <c r="I71" s="57"/>
      <c r="J71" s="88"/>
      <c r="K71" s="87"/>
      <c r="L71"/>
    </row>
    <row r="72">
      <c r="B72"/>
      <c r="C72"/>
      <c r="D72" s="102"/>
      <c r="E72"/>
      <c r="F72"/>
      <c r="G72"/>
      <c r="H72" s="57"/>
      <c r="I72" s="57"/>
      <c r="J72" s="88"/>
      <c r="K72" s="87"/>
      <c r="L72"/>
    </row>
    <row r="73">
      <c r="B73"/>
      <c r="C73"/>
      <c r="D73" s="102"/>
      <c r="E73"/>
      <c r="F73"/>
      <c r="G73"/>
      <c r="H73" s="57"/>
      <c r="I73" s="57"/>
      <c r="J73" s="88"/>
      <c r="K73" s="87"/>
      <c r="L73"/>
    </row>
    <row r="74">
      <c r="B74"/>
      <c r="C74"/>
      <c r="D74" s="102"/>
      <c r="E74"/>
      <c r="F74"/>
      <c r="G74"/>
      <c r="H74" s="57"/>
      <c r="I74" s="57"/>
      <c r="J74" s="88"/>
      <c r="K74" s="87"/>
      <c r="L74"/>
    </row>
    <row r="75">
      <c r="B75"/>
      <c r="C75"/>
      <c r="D75" s="102"/>
      <c r="E75"/>
      <c r="F75"/>
      <c r="G75"/>
      <c r="H75" s="57"/>
      <c r="I75" s="57"/>
      <c r="J75" s="88"/>
      <c r="K75" s="87"/>
      <c r="L75"/>
    </row>
    <row r="76">
      <c r="B76"/>
      <c r="C76"/>
      <c r="D76" s="102"/>
      <c r="E76"/>
      <c r="F76"/>
      <c r="G76"/>
      <c r="H76" s="57"/>
      <c r="I76" s="57"/>
      <c r="J76" s="88"/>
      <c r="K76" s="87"/>
      <c r="L76"/>
    </row>
    <row r="77">
      <c r="B77"/>
      <c r="C77"/>
      <c r="D77" s="102"/>
      <c r="E77"/>
      <c r="F77"/>
      <c r="G77"/>
      <c r="H77" s="57"/>
      <c r="I77" s="57"/>
      <c r="J77" s="88"/>
      <c r="K77" s="87"/>
      <c r="L77"/>
    </row>
    <row r="78">
      <c r="B78"/>
      <c r="C78"/>
      <c r="D78" s="102"/>
      <c r="E78"/>
      <c r="F78"/>
      <c r="G78"/>
      <c r="H78" s="57"/>
      <c r="I78" s="57"/>
      <c r="J78" s="88"/>
      <c r="K78" s="87"/>
      <c r="L78"/>
    </row>
    <row r="79">
      <c r="B79"/>
      <c r="C79"/>
      <c r="D79" s="102"/>
      <c r="E79"/>
      <c r="F79"/>
      <c r="G79"/>
      <c r="H79" s="57"/>
      <c r="I79" s="57"/>
      <c r="J79" s="88"/>
      <c r="K79" s="87"/>
      <c r="L79"/>
    </row>
    <row r="80">
      <c r="B80"/>
      <c r="C80"/>
      <c r="D80" s="102"/>
      <c r="E80"/>
      <c r="F80"/>
      <c r="G80"/>
      <c r="H80" s="57"/>
      <c r="I80" s="57"/>
      <c r="J80" s="88"/>
      <c r="K80" s="87"/>
      <c r="L80"/>
    </row>
    <row r="81">
      <c r="B81"/>
      <c r="C81"/>
      <c r="D81" s="102"/>
      <c r="E81"/>
      <c r="F81"/>
      <c r="G81"/>
      <c r="H81" s="57"/>
      <c r="I81" s="57"/>
      <c r="J81" s="88"/>
      <c r="K81" s="87"/>
      <c r="L81"/>
    </row>
    <row r="82">
      <c r="B82"/>
      <c r="C82"/>
      <c r="D82" s="102"/>
      <c r="E82"/>
      <c r="F82"/>
      <c r="G82"/>
      <c r="H82" s="57"/>
      <c r="I82" s="57"/>
      <c r="J82" s="88"/>
      <c r="K82" s="87"/>
      <c r="L82"/>
    </row>
    <row r="83">
      <c r="B83"/>
      <c r="C83"/>
      <c r="D83" s="102"/>
      <c r="E83"/>
      <c r="F83"/>
      <c r="G83"/>
      <c r="H83" s="57"/>
      <c r="I83" s="57"/>
      <c r="J83" s="88"/>
      <c r="K83" s="87"/>
      <c r="L83"/>
    </row>
    <row r="84">
      <c r="B84"/>
      <c r="C84"/>
      <c r="D84" s="102"/>
      <c r="E84"/>
      <c r="F84"/>
      <c r="G84"/>
      <c r="H84" s="57"/>
      <c r="I84" s="57"/>
      <c r="J84" s="88"/>
      <c r="K84" s="87"/>
      <c r="L84"/>
    </row>
    <row r="85">
      <c r="B85"/>
      <c r="C85"/>
      <c r="D85" s="102"/>
      <c r="E85"/>
      <c r="F85"/>
      <c r="G85"/>
      <c r="H85" s="57"/>
      <c r="I85" s="57"/>
      <c r="J85" s="88"/>
      <c r="K85" s="87"/>
      <c r="L85"/>
    </row>
    <row r="86">
      <c r="B86"/>
      <c r="C86"/>
      <c r="D86" s="102"/>
      <c r="E86"/>
      <c r="F86"/>
      <c r="G86"/>
      <c r="H86" s="57"/>
      <c r="I86" s="57"/>
      <c r="J86" s="88"/>
      <c r="K86" s="87"/>
      <c r="L86"/>
    </row>
    <row r="87">
      <c r="B87"/>
      <c r="C87"/>
      <c r="D87" s="102"/>
      <c r="E87"/>
      <c r="F87"/>
      <c r="G87"/>
      <c r="H87" s="57"/>
      <c r="I87" s="57"/>
      <c r="J87" s="88"/>
      <c r="K87" s="87"/>
      <c r="L87"/>
    </row>
    <row r="88">
      <c r="B88"/>
      <c r="C88"/>
      <c r="D88" s="102"/>
      <c r="E88"/>
      <c r="F88"/>
      <c r="G88"/>
      <c r="H88" s="57"/>
      <c r="I88" s="57"/>
      <c r="J88" s="88"/>
      <c r="K88" s="87"/>
      <c r="L88"/>
    </row>
    <row r="89">
      <c r="B89"/>
      <c r="C89"/>
      <c r="D89" s="102"/>
      <c r="E89"/>
      <c r="F89"/>
      <c r="G89"/>
      <c r="H89" s="57"/>
      <c r="I89" s="57"/>
      <c r="J89" s="88"/>
      <c r="K89" s="87"/>
      <c r="L89"/>
    </row>
    <row r="90">
      <c r="B90"/>
      <c r="C90"/>
      <c r="D90" s="102"/>
      <c r="E90"/>
      <c r="F90"/>
      <c r="G90"/>
      <c r="H90" s="57"/>
      <c r="I90" s="57"/>
      <c r="J90" s="88"/>
      <c r="K90" s="87"/>
      <c r="L90"/>
    </row>
    <row r="91">
      <c r="B91"/>
      <c r="C91"/>
      <c r="D91" s="102"/>
      <c r="E91"/>
      <c r="F91"/>
      <c r="G91"/>
      <c r="H91" s="57"/>
      <c r="I91" s="57"/>
      <c r="J91" s="88"/>
      <c r="K91" s="87"/>
      <c r="L91"/>
    </row>
    <row r="92">
      <c r="B92"/>
      <c r="C92"/>
      <c r="D92" s="102"/>
      <c r="E92"/>
      <c r="F92"/>
      <c r="G92"/>
      <c r="H92" s="57"/>
      <c r="I92" s="57"/>
      <c r="J92" s="88"/>
      <c r="K92" s="87"/>
      <c r="L92"/>
    </row>
    <row r="93">
      <c r="B93"/>
      <c r="C93"/>
      <c r="D93" s="102"/>
      <c r="E93"/>
      <c r="F93"/>
      <c r="G93"/>
      <c r="H93" s="57"/>
      <c r="I93" s="57"/>
      <c r="J93" s="88"/>
      <c r="K93" s="87"/>
      <c r="L93"/>
    </row>
  </sheetData>
  <mergeCells>
    <mergeCell ref="A3:A4"/>
    <mergeCell ref="A1:L2"/>
    <mergeCell ref="B14:K14"/>
    <mergeCell ref="J3:J4"/>
    <mergeCell ref="K3:K4"/>
    <mergeCell ref="L3:L4"/>
    <mergeCell ref="B5:K5"/>
    <mergeCell ref="B8:K8"/>
    <mergeCell ref="B11:K11"/>
    <mergeCell ref="B3:B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dimension ref="A1:N35"/>
  <sheetViews>
    <sheetView topLeftCell="C4" workbookViewId="0">
      <selection activeCell="D50" sqref="D50"/>
    </sheetView>
  </sheetViews>
  <sheetFormatPr defaultColWidth="8.7109375" defaultRowHeight="13"/>
  <cols>
    <col min="1" max="1" width="9.85546875" style="85" customWidth="1"/>
    <col min="2" max="2" width="23.5703125" style="15" customWidth="1"/>
    <col min="3" max="3" width="24" style="15" customWidth="1"/>
    <col min="4" max="4" width="10.5703125" style="92" bestFit="1" customWidth="1"/>
    <col min="5" max="5" width="8.42578125" style="15" bestFit="1" customWidth="1"/>
    <col min="6" max="6" width="16.42578125" style="15" customWidth="1"/>
    <col min="7" max="7" width="27.5703125" style="15" customWidth="1"/>
    <col min="8" max="11" width="5.5703125" style="15" bestFit="1" customWidth="1"/>
    <col min="12" max="12" width="13" style="176" customWidth="1"/>
    <col min="13" max="13" width="7.5703125" style="85" bestFit="1" customWidth="1"/>
    <col min="14" max="14" width="24" style="15" customWidth="1"/>
  </cols>
  <sheetData>
    <row r="1" s="1" customFormat="1" ht="15" customHeight="1">
      <c r="A1" s="200" t="s">
        <v>644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5"/>
    </row>
    <row r="2" s="1" customFormat="1" ht="114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208" t="s">
        <v>533</v>
      </c>
      <c r="M3" s="190" t="s">
        <v>6</v>
      </c>
      <c r="N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209"/>
      <c r="M4" s="191"/>
      <c r="N4" s="193"/>
    </row>
    <row r="5" ht="16">
      <c r="A5" s="88"/>
      <c r="B5" s="194" t="s">
        <v>353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>
      <c r="A6" s="84" t="s">
        <v>330</v>
      </c>
      <c r="B6" s="16" t="s">
        <v>377</v>
      </c>
      <c r="C6" s="16" t="s">
        <v>376</v>
      </c>
      <c r="D6" s="91">
        <v>76.7</v>
      </c>
      <c r="E6" s="16" t="str">
        <f>"0,7017"</f>
        <v>0,7017</v>
      </c>
      <c r="F6" s="16" t="s">
        <v>551</v>
      </c>
      <c r="G6" s="16" t="s">
        <v>142</v>
      </c>
      <c r="H6" s="159" t="s">
        <v>15</v>
      </c>
      <c r="I6" s="159" t="s">
        <v>375</v>
      </c>
      <c r="J6" s="89" t="s">
        <v>374</v>
      </c>
      <c r="K6" s="17"/>
      <c r="L6" s="175">
        <v>65</v>
      </c>
      <c r="M6" s="84" t="str">
        <f>"45,6105"</f>
        <v>45,6105</v>
      </c>
      <c r="N6" s="16" t="s">
        <v>510</v>
      </c>
    </row>
    <row r="7">
      <c r="A7" s="96"/>
    </row>
    <row r="8" ht="16">
      <c r="B8" s="189" t="s">
        <v>30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>
      <c r="A9" s="84" t="s">
        <v>330</v>
      </c>
      <c r="B9" s="16" t="s">
        <v>299</v>
      </c>
      <c r="C9" s="16" t="s">
        <v>373</v>
      </c>
      <c r="D9" s="91">
        <v>89.2</v>
      </c>
      <c r="E9" s="16" t="str">
        <f>"0,6413"</f>
        <v>0,6413</v>
      </c>
      <c r="F9" s="16" t="s">
        <v>548</v>
      </c>
      <c r="G9" s="16" t="s">
        <v>297</v>
      </c>
      <c r="H9" s="159" t="s">
        <v>249</v>
      </c>
      <c r="I9" s="89" t="s">
        <v>274</v>
      </c>
      <c r="J9" s="159" t="s">
        <v>275</v>
      </c>
      <c r="K9" s="159" t="s">
        <v>21</v>
      </c>
      <c r="L9" s="175">
        <v>95</v>
      </c>
      <c r="M9" s="84" t="str">
        <f>"60,9235"</f>
        <v>60,9235</v>
      </c>
      <c r="N9" s="16" t="s">
        <v>510</v>
      </c>
    </row>
    <row r="10">
      <c r="A10" s="74"/>
      <c r="H10" s="22"/>
      <c r="I10" s="22"/>
      <c r="J10" s="22"/>
    </row>
    <row r="11" ht="16">
      <c r="A11" s="74"/>
      <c r="B11" s="189" t="s">
        <v>42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>
      <c r="A12" s="73" t="s">
        <v>330</v>
      </c>
      <c r="B12" s="16" t="s">
        <v>372</v>
      </c>
      <c r="C12" s="16" t="s">
        <v>371</v>
      </c>
      <c r="D12" s="91">
        <v>93.2</v>
      </c>
      <c r="E12" s="16" t="str">
        <f>"0,6276"</f>
        <v>0,6276</v>
      </c>
      <c r="F12" s="16" t="s">
        <v>548</v>
      </c>
      <c r="G12" s="16" t="s">
        <v>297</v>
      </c>
      <c r="H12" s="159" t="s">
        <v>274</v>
      </c>
      <c r="I12" s="89" t="s">
        <v>275</v>
      </c>
      <c r="J12" s="159" t="s">
        <v>275</v>
      </c>
      <c r="K12" s="17"/>
      <c r="L12" s="175">
        <v>95</v>
      </c>
      <c r="M12" s="84" t="str">
        <f>"59,6220"</f>
        <v>59,6220</v>
      </c>
      <c r="N12" s="16" t="s">
        <v>86</v>
      </c>
    </row>
    <row r="13">
      <c r="A13" s="74"/>
    </row>
    <row r="14" ht="16">
      <c r="A14" s="74"/>
      <c r="B14" s="189" t="s">
        <v>367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>
      <c r="A15" s="73"/>
      <c r="B15" s="16" t="s">
        <v>316</v>
      </c>
      <c r="C15" s="16" t="s">
        <v>317</v>
      </c>
      <c r="D15" s="91">
        <v>121.6</v>
      </c>
      <c r="E15" s="16" t="str">
        <f>"0,5732"</f>
        <v>0,5732</v>
      </c>
      <c r="F15" s="16" t="s">
        <v>387</v>
      </c>
      <c r="G15" s="16" t="s">
        <v>632</v>
      </c>
      <c r="H15" s="89" t="s">
        <v>47</v>
      </c>
      <c r="I15" s="89" t="s">
        <v>47</v>
      </c>
      <c r="J15" s="89" t="s">
        <v>80</v>
      </c>
      <c r="K15" s="17"/>
      <c r="L15" s="108">
        <v>0</v>
      </c>
      <c r="M15" s="84" t="s">
        <v>607</v>
      </c>
      <c r="N15" s="16" t="s">
        <v>86</v>
      </c>
    </row>
    <row r="16">
      <c r="A16" s="74"/>
    </row>
    <row r="17">
      <c r="A17" s="74"/>
      <c r="B17"/>
      <c r="C17"/>
      <c r="D17" s="102"/>
      <c r="E17"/>
      <c r="F17"/>
      <c r="G17"/>
      <c r="H17"/>
      <c r="I17"/>
      <c r="J17"/>
      <c r="K17"/>
      <c r="M17" s="88"/>
      <c r="N17"/>
    </row>
    <row r="18">
      <c r="A18" s="74"/>
      <c r="B18"/>
      <c r="C18"/>
      <c r="D18" s="102"/>
      <c r="E18"/>
      <c r="F18"/>
      <c r="G18"/>
      <c r="H18"/>
      <c r="I18"/>
      <c r="J18"/>
      <c r="K18"/>
      <c r="M18" s="88"/>
      <c r="N18"/>
    </row>
    <row r="19">
      <c r="A19" s="74"/>
      <c r="B19"/>
      <c r="C19"/>
      <c r="D19" s="102"/>
      <c r="E19"/>
      <c r="F19"/>
      <c r="G19"/>
      <c r="H19"/>
      <c r="I19"/>
      <c r="J19"/>
      <c r="K19"/>
      <c r="M19" s="88"/>
      <c r="N19"/>
    </row>
    <row r="20">
      <c r="A20" s="74"/>
      <c r="B20"/>
      <c r="C20"/>
      <c r="D20" s="102"/>
      <c r="E20"/>
      <c r="F20"/>
      <c r="G20"/>
      <c r="H20"/>
      <c r="I20"/>
      <c r="J20"/>
      <c r="K20"/>
      <c r="M20" s="88"/>
      <c r="N20"/>
    </row>
    <row r="21">
      <c r="A21" s="74"/>
      <c r="B21"/>
      <c r="C21"/>
      <c r="D21" s="102"/>
      <c r="E21"/>
      <c r="F21"/>
      <c r="G21"/>
      <c r="H21"/>
      <c r="I21"/>
      <c r="J21"/>
      <c r="K21"/>
      <c r="M21" s="88"/>
      <c r="N21"/>
    </row>
    <row r="22">
      <c r="A22" s="74"/>
      <c r="B22"/>
      <c r="C22"/>
      <c r="D22" s="102"/>
      <c r="E22"/>
      <c r="F22"/>
      <c r="G22"/>
      <c r="H22"/>
      <c r="I22"/>
      <c r="J22"/>
      <c r="K22"/>
      <c r="M22" s="88"/>
      <c r="N22"/>
    </row>
    <row r="23">
      <c r="A23" s="74"/>
      <c r="B23"/>
      <c r="C23"/>
      <c r="D23" s="102"/>
      <c r="E23"/>
      <c r="F23"/>
      <c r="G23"/>
      <c r="H23"/>
      <c r="I23"/>
      <c r="J23"/>
      <c r="K23"/>
      <c r="M23" s="88"/>
      <c r="N23"/>
    </row>
    <row r="24">
      <c r="A24" s="74"/>
      <c r="B24"/>
      <c r="C24"/>
      <c r="D24" s="102"/>
      <c r="E24"/>
      <c r="F24"/>
      <c r="G24"/>
      <c r="H24"/>
      <c r="I24"/>
      <c r="J24"/>
      <c r="K24"/>
      <c r="M24" s="88"/>
      <c r="N24"/>
    </row>
    <row r="25">
      <c r="A25" s="74"/>
      <c r="B25"/>
      <c r="C25"/>
      <c r="D25" s="102"/>
      <c r="E25"/>
      <c r="F25"/>
      <c r="G25"/>
      <c r="H25"/>
      <c r="I25"/>
      <c r="J25"/>
      <c r="K25"/>
      <c r="M25" s="88"/>
      <c r="N25"/>
    </row>
    <row r="26">
      <c r="A26" s="74"/>
      <c r="B26"/>
      <c r="C26"/>
      <c r="D26" s="102"/>
      <c r="E26"/>
      <c r="F26"/>
      <c r="G26"/>
      <c r="H26"/>
      <c r="I26"/>
      <c r="J26"/>
      <c r="K26"/>
      <c r="M26" s="88"/>
      <c r="N26"/>
    </row>
    <row r="27">
      <c r="A27" s="74"/>
      <c r="B27"/>
      <c r="C27"/>
      <c r="D27" s="102"/>
      <c r="E27"/>
      <c r="F27"/>
      <c r="G27"/>
      <c r="H27"/>
      <c r="I27"/>
      <c r="J27"/>
      <c r="K27"/>
      <c r="M27" s="88"/>
      <c r="N27"/>
    </row>
    <row r="28">
      <c r="A28" s="88"/>
      <c r="B28"/>
      <c r="C28"/>
      <c r="D28" s="102"/>
      <c r="E28"/>
      <c r="F28"/>
      <c r="G28"/>
      <c r="H28"/>
      <c r="I28"/>
      <c r="J28"/>
      <c r="K28"/>
      <c r="M28" s="88"/>
      <c r="N28"/>
    </row>
    <row r="29">
      <c r="A29" s="88"/>
      <c r="B29"/>
      <c r="C29"/>
      <c r="D29" s="102"/>
      <c r="E29"/>
      <c r="F29"/>
      <c r="G29"/>
      <c r="H29"/>
      <c r="I29"/>
      <c r="J29"/>
      <c r="K29"/>
      <c r="M29" s="88"/>
      <c r="N29"/>
    </row>
    <row r="30">
      <c r="B30"/>
      <c r="C30"/>
      <c r="D30" s="102"/>
      <c r="E30"/>
      <c r="F30"/>
      <c r="G30"/>
      <c r="H30"/>
      <c r="I30"/>
      <c r="J30"/>
      <c r="K30"/>
      <c r="M30" s="88"/>
      <c r="N30"/>
    </row>
    <row r="31">
      <c r="B31"/>
      <c r="C31"/>
      <c r="D31" s="102"/>
      <c r="E31"/>
      <c r="F31"/>
      <c r="G31"/>
      <c r="H31"/>
      <c r="I31"/>
      <c r="J31"/>
      <c r="K31"/>
      <c r="M31" s="88"/>
      <c r="N31"/>
    </row>
    <row r="32">
      <c r="B32"/>
      <c r="C32"/>
      <c r="D32" s="102"/>
      <c r="E32"/>
      <c r="F32"/>
      <c r="G32"/>
      <c r="H32"/>
      <c r="I32"/>
      <c r="J32"/>
      <c r="K32"/>
      <c r="M32" s="88"/>
      <c r="N32"/>
    </row>
    <row r="33">
      <c r="B33"/>
      <c r="C33"/>
      <c r="D33" s="102"/>
      <c r="E33"/>
      <c r="F33"/>
      <c r="G33"/>
      <c r="H33"/>
      <c r="I33"/>
      <c r="J33"/>
      <c r="K33"/>
      <c r="M33" s="88"/>
      <c r="N33"/>
    </row>
    <row r="34">
      <c r="B34"/>
      <c r="C34"/>
      <c r="D34" s="102"/>
      <c r="E34"/>
      <c r="F34"/>
      <c r="G34"/>
      <c r="H34"/>
      <c r="I34"/>
      <c r="J34"/>
      <c r="K34"/>
      <c r="M34" s="88"/>
      <c r="N34"/>
    </row>
    <row r="35">
      <c r="B35"/>
      <c r="C35"/>
      <c r="D35" s="102"/>
      <c r="E35"/>
      <c r="F35"/>
      <c r="G35"/>
      <c r="H35"/>
      <c r="I35"/>
      <c r="J35"/>
      <c r="K35"/>
      <c r="M35" s="88"/>
      <c r="N35"/>
    </row>
  </sheetData>
  <mergeCells>
    <mergeCell ref="A3:A4"/>
    <mergeCell ref="A1:N2"/>
    <mergeCell ref="B14:M14"/>
    <mergeCell ref="L3:L4"/>
    <mergeCell ref="M3:M4"/>
    <mergeCell ref="N3:N4"/>
    <mergeCell ref="B5:M5"/>
    <mergeCell ref="B8:M8"/>
    <mergeCell ref="B11:M11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dimension ref="A1:L47"/>
  <sheetViews>
    <sheetView topLeftCell="A1" workbookViewId="0">
      <selection activeCell="C42" sqref="C42"/>
    </sheetView>
  </sheetViews>
  <sheetFormatPr defaultColWidth="8.7109375" defaultRowHeight="13"/>
  <cols>
    <col min="1" max="1" width="9.85546875" style="85" customWidth="1"/>
    <col min="2" max="2" width="24" style="15" customWidth="1"/>
    <col min="3" max="3" width="21.42578125" style="15" bestFit="1" customWidth="1"/>
    <col min="4" max="4" width="10.5703125" style="15" bestFit="1" customWidth="1"/>
    <col min="5" max="5" width="8.42578125" style="15" bestFit="1" customWidth="1"/>
    <col min="6" max="6" width="19.140625" style="15" customWidth="1"/>
    <col min="7" max="7" width="33.42578125" style="15" customWidth="1"/>
    <col min="8" max="8" width="6.28515625" style="172" customWidth="1"/>
    <col min="9" max="9" width="10.28515625" style="55" customWidth="1"/>
    <col min="10" max="10" width="11.7109375" style="176" customWidth="1"/>
    <col min="11" max="11" width="8.5703125" style="85" bestFit="1" customWidth="1"/>
    <col min="12" max="12" width="22.7109375" style="15" customWidth="1"/>
  </cols>
  <sheetData>
    <row r="1" s="1" customFormat="1" ht="15" customHeight="1">
      <c r="A1" s="200" t="s">
        <v>646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5"/>
    </row>
    <row r="2" s="1" customFormat="1" ht="111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208" t="s">
        <v>539</v>
      </c>
      <c r="K3" s="190" t="s">
        <v>6</v>
      </c>
      <c r="L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169" t="s">
        <v>398</v>
      </c>
      <c r="I4" s="101" t="s">
        <v>397</v>
      </c>
      <c r="J4" s="209"/>
      <c r="K4" s="191"/>
      <c r="L4" s="193"/>
    </row>
    <row r="5" ht="16">
      <c r="A5" s="88"/>
      <c r="B5" s="194" t="s">
        <v>353</v>
      </c>
      <c r="C5" s="194"/>
      <c r="D5" s="194"/>
      <c r="E5" s="194"/>
      <c r="F5" s="194"/>
      <c r="G5" s="194"/>
      <c r="H5" s="194"/>
      <c r="I5" s="194"/>
      <c r="J5" s="194"/>
      <c r="K5" s="194"/>
    </row>
    <row r="6">
      <c r="A6" s="84" t="s">
        <v>330</v>
      </c>
      <c r="B6" s="166" t="s">
        <v>377</v>
      </c>
      <c r="C6" s="166" t="s">
        <v>376</v>
      </c>
      <c r="D6" s="104">
        <v>76.7</v>
      </c>
      <c r="E6" s="166" t="str">
        <f>"0,7017"</f>
        <v>0,7017</v>
      </c>
      <c r="F6" s="166" t="s">
        <v>141</v>
      </c>
      <c r="G6" s="166" t="s">
        <v>142</v>
      </c>
      <c r="H6" s="170" t="s">
        <v>346</v>
      </c>
      <c r="I6" s="73" t="s">
        <v>617</v>
      </c>
      <c r="J6" s="107">
        <v>760</v>
      </c>
      <c r="K6" s="73" t="str">
        <f>"533,2920"</f>
        <v>533,2920</v>
      </c>
      <c r="L6" s="16" t="s">
        <v>510</v>
      </c>
    </row>
    <row r="7">
      <c r="A7" s="96"/>
      <c r="B7" s="163"/>
      <c r="C7" s="163"/>
      <c r="D7" s="163"/>
      <c r="E7" s="163"/>
      <c r="F7" s="163"/>
      <c r="G7" s="163"/>
      <c r="H7" s="171"/>
      <c r="I7" s="167"/>
      <c r="J7" s="184"/>
      <c r="K7" s="168"/>
    </row>
    <row r="8" ht="16">
      <c r="B8" s="236" t="s">
        <v>30</v>
      </c>
      <c r="C8" s="236"/>
      <c r="D8" s="236"/>
      <c r="E8" s="236"/>
      <c r="F8" s="236"/>
      <c r="G8" s="236"/>
      <c r="H8" s="236"/>
      <c r="I8" s="236"/>
      <c r="J8" s="236"/>
      <c r="K8" s="236"/>
    </row>
    <row r="9">
      <c r="A9" s="84" t="s">
        <v>330</v>
      </c>
      <c r="B9" s="166" t="s">
        <v>299</v>
      </c>
      <c r="C9" s="166" t="s">
        <v>373</v>
      </c>
      <c r="D9" s="104">
        <v>89.2</v>
      </c>
      <c r="E9" s="166" t="str">
        <f>"0,6413"</f>
        <v>0,6413</v>
      </c>
      <c r="F9" s="166" t="s">
        <v>141</v>
      </c>
      <c r="G9" s="166" t="s">
        <v>297</v>
      </c>
      <c r="H9" s="170" t="s">
        <v>378</v>
      </c>
      <c r="I9" s="73" t="s">
        <v>618</v>
      </c>
      <c r="J9" s="107">
        <v>1260</v>
      </c>
      <c r="K9" s="73" t="str">
        <f>"808,0380"</f>
        <v>808,0380</v>
      </c>
      <c r="L9" s="16" t="s">
        <v>510</v>
      </c>
    </row>
    <row r="10">
      <c r="A10" s="73" t="s">
        <v>330</v>
      </c>
      <c r="B10" s="166" t="s">
        <v>381</v>
      </c>
      <c r="C10" s="166" t="s">
        <v>380</v>
      </c>
      <c r="D10" s="185">
        <v>89</v>
      </c>
      <c r="E10" s="166" t="str">
        <f>"0,6421"</f>
        <v>0,6421</v>
      </c>
      <c r="F10" s="166" t="s">
        <v>141</v>
      </c>
      <c r="G10" s="166" t="s">
        <v>142</v>
      </c>
      <c r="H10" s="170" t="s">
        <v>378</v>
      </c>
      <c r="I10" s="73" t="s">
        <v>619</v>
      </c>
      <c r="J10" s="107">
        <v>1485</v>
      </c>
      <c r="K10" s="73" t="str">
        <f>"953,5185"</f>
        <v>953,5185</v>
      </c>
      <c r="L10" s="16" t="s">
        <v>379</v>
      </c>
    </row>
    <row r="11">
      <c r="A11" s="73" t="s">
        <v>331</v>
      </c>
      <c r="B11" s="166" t="s">
        <v>195</v>
      </c>
      <c r="C11" s="166" t="s">
        <v>196</v>
      </c>
      <c r="D11" s="185">
        <v>90</v>
      </c>
      <c r="E11" s="166" t="str">
        <f>"0,6384"</f>
        <v>0,6384</v>
      </c>
      <c r="F11" s="166" t="s">
        <v>387</v>
      </c>
      <c r="G11" s="166" t="s">
        <v>537</v>
      </c>
      <c r="H11" s="170" t="s">
        <v>378</v>
      </c>
      <c r="I11" s="73" t="s">
        <v>620</v>
      </c>
      <c r="J11" s="107">
        <v>945</v>
      </c>
      <c r="K11" s="73" t="str">
        <f>"603,2880"</f>
        <v>603,2880</v>
      </c>
      <c r="L11" s="16" t="s">
        <v>516</v>
      </c>
    </row>
    <row r="12">
      <c r="A12" s="74"/>
    </row>
    <row r="13">
      <c r="A13" s="74"/>
      <c r="G13"/>
      <c r="H13" s="173"/>
      <c r="I13" s="57"/>
      <c r="K13" s="88"/>
      <c r="L13"/>
    </row>
    <row r="14">
      <c r="A14" s="22"/>
      <c r="E14"/>
      <c r="F14"/>
      <c r="G14"/>
      <c r="H14" s="173"/>
      <c r="I14" s="57"/>
      <c r="K14" s="88"/>
      <c r="L14"/>
    </row>
    <row r="15">
      <c r="A15" s="22"/>
      <c r="E15"/>
      <c r="F15"/>
      <c r="G15"/>
      <c r="H15" s="173"/>
      <c r="I15" s="57"/>
      <c r="K15" s="88"/>
      <c r="L15"/>
    </row>
    <row r="16">
      <c r="A16" s="22"/>
      <c r="E16"/>
      <c r="F16"/>
      <c r="G16"/>
      <c r="H16" s="173"/>
      <c r="I16" s="57"/>
      <c r="K16" s="88"/>
      <c r="L16"/>
    </row>
    <row r="17">
      <c r="A17" s="74"/>
      <c r="B17"/>
      <c r="C17"/>
      <c r="D17"/>
      <c r="E17"/>
      <c r="F17"/>
      <c r="G17"/>
      <c r="H17" s="173"/>
      <c r="I17" s="57"/>
      <c r="K17" s="88"/>
      <c r="L17"/>
    </row>
    <row r="18">
      <c r="A18" s="74"/>
      <c r="B18"/>
      <c r="C18"/>
      <c r="D18"/>
      <c r="E18"/>
      <c r="F18"/>
      <c r="G18"/>
      <c r="H18" s="173"/>
      <c r="I18" s="57"/>
      <c r="K18" s="88"/>
      <c r="L18"/>
    </row>
    <row r="19">
      <c r="A19" s="74"/>
      <c r="B19"/>
      <c r="C19"/>
      <c r="D19"/>
      <c r="E19"/>
      <c r="F19"/>
      <c r="G19"/>
      <c r="H19" s="173"/>
      <c r="I19" s="57"/>
      <c r="K19" s="88"/>
      <c r="L19"/>
    </row>
    <row r="20">
      <c r="A20" s="74"/>
      <c r="B20"/>
      <c r="C20"/>
      <c r="D20"/>
      <c r="E20"/>
      <c r="F20"/>
      <c r="G20"/>
      <c r="H20" s="173"/>
      <c r="I20" s="57"/>
      <c r="K20" s="88"/>
      <c r="L20"/>
    </row>
    <row r="21">
      <c r="A21" s="74"/>
      <c r="B21"/>
      <c r="C21"/>
      <c r="D21"/>
      <c r="E21"/>
      <c r="F21"/>
      <c r="G21"/>
      <c r="H21" s="173"/>
      <c r="I21" s="57"/>
      <c r="K21" s="88"/>
      <c r="L21"/>
    </row>
    <row r="22">
      <c r="A22" s="74"/>
      <c r="B22"/>
      <c r="C22"/>
      <c r="D22"/>
      <c r="E22"/>
      <c r="F22"/>
      <c r="G22"/>
      <c r="H22" s="173"/>
      <c r="I22" s="57"/>
      <c r="K22" s="88"/>
      <c r="L22"/>
    </row>
    <row r="23">
      <c r="A23" s="74"/>
      <c r="B23"/>
      <c r="C23"/>
      <c r="D23"/>
      <c r="E23"/>
      <c r="F23"/>
      <c r="G23"/>
      <c r="H23" s="173"/>
      <c r="I23" s="57"/>
      <c r="K23" s="88"/>
      <c r="L23"/>
    </row>
    <row r="24">
      <c r="A24" s="74"/>
      <c r="B24"/>
      <c r="C24"/>
      <c r="D24"/>
      <c r="E24"/>
      <c r="F24"/>
      <c r="G24"/>
      <c r="H24" s="173"/>
      <c r="I24" s="57"/>
      <c r="K24" s="88"/>
      <c r="L24"/>
    </row>
    <row r="25">
      <c r="A25" s="74"/>
      <c r="B25"/>
      <c r="C25"/>
      <c r="D25"/>
      <c r="E25"/>
      <c r="F25"/>
      <c r="G25"/>
      <c r="H25" s="173"/>
      <c r="I25" s="57"/>
      <c r="K25" s="88"/>
      <c r="L25"/>
    </row>
    <row r="26">
      <c r="A26" s="74"/>
      <c r="B26"/>
      <c r="C26"/>
      <c r="D26"/>
      <c r="E26"/>
      <c r="F26"/>
      <c r="G26"/>
      <c r="H26" s="173"/>
      <c r="I26" s="57"/>
      <c r="K26" s="88"/>
      <c r="L26"/>
    </row>
    <row r="27">
      <c r="A27" s="74"/>
      <c r="B27"/>
      <c r="C27"/>
      <c r="D27"/>
      <c r="E27"/>
      <c r="F27"/>
      <c r="G27"/>
      <c r="H27" s="173"/>
      <c r="I27" s="57"/>
      <c r="K27" s="88"/>
      <c r="L27"/>
    </row>
    <row r="28">
      <c r="A28" s="88"/>
      <c r="B28"/>
      <c r="C28"/>
      <c r="D28"/>
      <c r="E28"/>
      <c r="F28"/>
      <c r="G28"/>
      <c r="H28" s="173"/>
      <c r="I28" s="57"/>
      <c r="K28" s="88"/>
      <c r="L28"/>
    </row>
    <row r="29">
      <c r="A29" s="88"/>
      <c r="B29"/>
      <c r="C29"/>
      <c r="D29"/>
      <c r="E29"/>
      <c r="F29"/>
      <c r="G29"/>
      <c r="H29" s="173"/>
      <c r="I29" s="57"/>
      <c r="K29" s="88"/>
      <c r="L29"/>
    </row>
    <row r="30">
      <c r="B30"/>
      <c r="C30"/>
      <c r="D30"/>
      <c r="E30"/>
      <c r="F30"/>
      <c r="G30"/>
      <c r="H30" s="173"/>
      <c r="I30" s="57"/>
      <c r="K30" s="88"/>
      <c r="L30"/>
    </row>
    <row r="31">
      <c r="B31"/>
      <c r="C31"/>
      <c r="D31"/>
      <c r="E31"/>
      <c r="F31"/>
      <c r="G31"/>
      <c r="H31" s="173"/>
      <c r="I31" s="57"/>
      <c r="K31" s="88"/>
      <c r="L31"/>
    </row>
    <row r="32">
      <c r="B32"/>
      <c r="C32"/>
      <c r="D32"/>
      <c r="E32"/>
      <c r="F32"/>
      <c r="G32"/>
      <c r="H32" s="173"/>
      <c r="I32" s="57"/>
      <c r="K32" s="88"/>
      <c r="L32"/>
    </row>
    <row r="33">
      <c r="B33"/>
      <c r="C33"/>
      <c r="D33"/>
      <c r="E33"/>
      <c r="F33"/>
      <c r="G33"/>
      <c r="H33" s="173"/>
      <c r="I33" s="57"/>
      <c r="K33" s="88"/>
      <c r="L33"/>
    </row>
    <row r="34">
      <c r="B34"/>
      <c r="C34"/>
      <c r="D34"/>
      <c r="E34"/>
      <c r="F34"/>
      <c r="G34"/>
      <c r="H34" s="173"/>
      <c r="I34" s="57"/>
      <c r="K34" s="88"/>
      <c r="L34"/>
    </row>
    <row r="35">
      <c r="B35"/>
      <c r="C35"/>
      <c r="D35"/>
      <c r="E35"/>
      <c r="F35"/>
      <c r="G35"/>
      <c r="H35" s="173"/>
      <c r="I35" s="57"/>
      <c r="K35" s="88"/>
      <c r="L35"/>
    </row>
    <row r="36">
      <c r="B36"/>
      <c r="C36"/>
      <c r="D36"/>
      <c r="E36"/>
      <c r="F36"/>
      <c r="G36"/>
      <c r="H36" s="173"/>
      <c r="I36" s="57"/>
      <c r="K36" s="88"/>
      <c r="L36"/>
    </row>
    <row r="37">
      <c r="B37"/>
      <c r="C37"/>
      <c r="D37"/>
      <c r="E37"/>
      <c r="F37"/>
      <c r="G37"/>
      <c r="H37" s="173"/>
      <c r="I37" s="57"/>
      <c r="K37" s="88"/>
      <c r="L37"/>
    </row>
    <row r="38">
      <c r="B38"/>
      <c r="C38"/>
      <c r="D38"/>
      <c r="E38"/>
      <c r="F38"/>
      <c r="G38"/>
      <c r="H38" s="173"/>
      <c r="I38" s="57"/>
      <c r="K38" s="88"/>
      <c r="L38"/>
    </row>
    <row r="39">
      <c r="B39"/>
      <c r="C39"/>
      <c r="D39"/>
      <c r="E39"/>
      <c r="F39"/>
      <c r="G39"/>
      <c r="H39" s="173"/>
      <c r="I39" s="57"/>
      <c r="K39" s="88"/>
      <c r="L39"/>
    </row>
    <row r="40">
      <c r="B40"/>
      <c r="C40"/>
      <c r="D40"/>
      <c r="E40"/>
      <c r="F40"/>
      <c r="G40"/>
      <c r="H40" s="173"/>
      <c r="I40" s="57"/>
      <c r="K40" s="88"/>
      <c r="L40"/>
    </row>
    <row r="41">
      <c r="B41"/>
      <c r="C41"/>
      <c r="D41"/>
      <c r="E41"/>
      <c r="F41"/>
      <c r="G41"/>
      <c r="H41" s="173"/>
      <c r="I41" s="57"/>
      <c r="K41" s="88"/>
      <c r="L41"/>
    </row>
    <row r="42">
      <c r="B42"/>
      <c r="C42"/>
      <c r="D42"/>
      <c r="E42"/>
      <c r="F42"/>
      <c r="G42"/>
      <c r="H42" s="173"/>
      <c r="I42" s="57"/>
      <c r="K42" s="88"/>
      <c r="L42"/>
    </row>
    <row r="43">
      <c r="B43"/>
      <c r="C43"/>
      <c r="D43"/>
      <c r="E43"/>
      <c r="F43"/>
      <c r="G43"/>
      <c r="H43" s="173"/>
      <c r="I43" s="57"/>
      <c r="K43" s="88"/>
      <c r="L43"/>
    </row>
    <row r="44">
      <c r="B44"/>
      <c r="C44"/>
      <c r="D44"/>
      <c r="E44"/>
      <c r="F44"/>
      <c r="G44"/>
      <c r="H44" s="173"/>
      <c r="I44" s="57"/>
      <c r="K44" s="88"/>
      <c r="L44"/>
    </row>
    <row r="45">
      <c r="B45"/>
      <c r="C45"/>
      <c r="D45"/>
      <c r="E45"/>
      <c r="F45"/>
      <c r="G45"/>
      <c r="H45" s="173"/>
      <c r="I45" s="57"/>
      <c r="K45" s="88"/>
      <c r="L45"/>
    </row>
    <row r="46">
      <c r="B46"/>
      <c r="C46"/>
      <c r="D46"/>
      <c r="E46"/>
      <c r="F46"/>
      <c r="G46"/>
      <c r="H46" s="173"/>
      <c r="I46" s="57"/>
      <c r="K46" s="88"/>
      <c r="L46"/>
    </row>
    <row r="47">
      <c r="B47"/>
      <c r="C47"/>
      <c r="D47"/>
      <c r="E47"/>
      <c r="F47"/>
      <c r="G47"/>
      <c r="H47" s="173"/>
      <c r="I47" s="57"/>
      <c r="K47" s="88"/>
      <c r="L47"/>
    </row>
  </sheetData>
  <mergeCells>
    <mergeCell ref="L3:L4"/>
    <mergeCell ref="B5:K5"/>
    <mergeCell ref="B8:K8"/>
    <mergeCell ref="A3:A4"/>
    <mergeCell ref="A1:L2"/>
    <mergeCell ref="B3:B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dimension ref="A1:N29"/>
  <sheetViews>
    <sheetView topLeftCell="A1" workbookViewId="0">
      <selection activeCell="F26" sqref="F26"/>
    </sheetView>
  </sheetViews>
  <sheetFormatPr defaultColWidth="8.7109375" defaultRowHeight="13"/>
  <cols>
    <col min="1" max="1" width="9.85546875" style="55" customWidth="1"/>
    <col min="2" max="2" width="26" style="15" bestFit="1" customWidth="1"/>
    <col min="3" max="3" width="21.42578125" style="15" bestFit="1" customWidth="1"/>
    <col min="4" max="4" width="10.5703125" style="15" bestFit="1" customWidth="1"/>
    <col min="5" max="5" width="8.42578125" style="15" bestFit="1" customWidth="1"/>
    <col min="6" max="6" width="18" style="15" customWidth="1"/>
    <col min="7" max="7" width="32.28515625" style="15" customWidth="1"/>
    <col min="8" max="10" width="5.5703125" style="15" bestFit="1" customWidth="1"/>
    <col min="11" max="11" width="4.5703125" style="15" bestFit="1" customWidth="1"/>
    <col min="12" max="12" width="11.85546875" style="15" customWidth="1"/>
    <col min="13" max="13" width="8.5703125" style="15" bestFit="1" customWidth="1"/>
    <col min="14" max="14" width="15.42578125" style="15" bestFit="1" customWidth="1"/>
  </cols>
  <sheetData>
    <row r="1" s="1" customFormat="1" ht="15" customHeight="1">
      <c r="A1" s="200" t="s">
        <v>647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5"/>
    </row>
    <row r="2" s="1" customFormat="1" ht="116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190" t="s">
        <v>533</v>
      </c>
      <c r="M3" s="190" t="s">
        <v>6</v>
      </c>
      <c r="N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191"/>
      <c r="M4" s="191"/>
      <c r="N4" s="193"/>
    </row>
    <row r="5" ht="16">
      <c r="A5" s="57"/>
      <c r="B5" s="194" t="s">
        <v>30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>
      <c r="A6" s="84" t="s">
        <v>330</v>
      </c>
      <c r="B6" s="16" t="s">
        <v>383</v>
      </c>
      <c r="C6" s="16" t="s">
        <v>382</v>
      </c>
      <c r="D6" s="91">
        <v>87.9</v>
      </c>
      <c r="E6" s="16" t="str">
        <f>"0,6463"</f>
        <v>0,6463</v>
      </c>
      <c r="F6" s="16" t="s">
        <v>14</v>
      </c>
      <c r="G6" s="16" t="s">
        <v>537</v>
      </c>
      <c r="H6" s="158" t="s">
        <v>265</v>
      </c>
      <c r="I6" s="158" t="s">
        <v>228</v>
      </c>
      <c r="J6" s="90" t="s">
        <v>210</v>
      </c>
      <c r="K6" s="17"/>
      <c r="L6" s="84">
        <v>182.5</v>
      </c>
      <c r="M6" s="66" t="str">
        <f>"117,9498"</f>
        <v>117,9498</v>
      </c>
      <c r="N6" s="16" t="s">
        <v>86</v>
      </c>
    </row>
    <row r="7">
      <c r="A7" s="59"/>
      <c r="H7" s="22"/>
      <c r="I7" s="22"/>
      <c r="J7" s="22"/>
    </row>
    <row r="8">
      <c r="A8" s="15"/>
      <c r="H8"/>
      <c r="I8"/>
      <c r="J8"/>
      <c r="K8"/>
      <c r="L8"/>
      <c r="M8"/>
      <c r="N8"/>
    </row>
    <row r="9">
      <c r="A9" s="15"/>
      <c r="H9"/>
      <c r="I9"/>
      <c r="J9"/>
      <c r="K9"/>
      <c r="L9"/>
      <c r="M9"/>
      <c r="N9"/>
    </row>
    <row r="10">
      <c r="A10" s="15"/>
      <c r="H10"/>
      <c r="I10"/>
      <c r="J10"/>
      <c r="K10"/>
      <c r="L10"/>
      <c r="M10"/>
      <c r="N10"/>
    </row>
    <row r="11">
      <c r="A11" s="15"/>
      <c r="H11"/>
      <c r="I11"/>
      <c r="J11"/>
      <c r="K11"/>
      <c r="L11"/>
      <c r="M11"/>
      <c r="N11"/>
    </row>
    <row r="12">
      <c r="A12" s="15"/>
      <c r="H12"/>
      <c r="I12"/>
      <c r="J12"/>
      <c r="K12"/>
      <c r="L12"/>
      <c r="M12"/>
      <c r="N12"/>
    </row>
    <row r="13">
      <c r="A13" s="1"/>
      <c r="I13"/>
      <c r="J13"/>
      <c r="K13"/>
      <c r="L13"/>
      <c r="M13"/>
      <c r="N13"/>
    </row>
    <row r="14">
      <c r="A14" s="15"/>
      <c r="I14"/>
      <c r="J14"/>
      <c r="K14"/>
      <c r="L14"/>
      <c r="M14"/>
      <c r="N14"/>
    </row>
    <row r="15">
      <c r="A15" s="15"/>
      <c r="I15"/>
      <c r="J15"/>
      <c r="K15"/>
      <c r="L15"/>
      <c r="M15"/>
      <c r="N15"/>
    </row>
    <row r="16">
      <c r="A16" s="15"/>
      <c r="I16"/>
      <c r="J16"/>
      <c r="K16"/>
      <c r="L16"/>
      <c r="M16"/>
      <c r="N16"/>
    </row>
    <row r="17">
      <c r="A17" s="1"/>
      <c r="B17"/>
      <c r="C17"/>
      <c r="D17"/>
      <c r="E17"/>
      <c r="F17"/>
      <c r="G17"/>
      <c r="H17"/>
      <c r="I17"/>
      <c r="J17"/>
      <c r="K17"/>
      <c r="L17"/>
      <c r="M17"/>
      <c r="N17"/>
    </row>
    <row r="18">
      <c r="A18" s="1"/>
      <c r="B18"/>
      <c r="C18"/>
      <c r="D18"/>
      <c r="E18"/>
      <c r="F18"/>
      <c r="G18"/>
      <c r="H18"/>
      <c r="I18"/>
      <c r="J18"/>
      <c r="K18"/>
      <c r="L18"/>
      <c r="M18"/>
      <c r="N18"/>
    </row>
    <row r="19">
      <c r="A19" s="1"/>
      <c r="B19"/>
      <c r="C19"/>
      <c r="D19"/>
      <c r="E19"/>
      <c r="F19"/>
      <c r="G19"/>
      <c r="H19"/>
      <c r="I19"/>
      <c r="J19"/>
      <c r="K19"/>
      <c r="L19"/>
      <c r="M19"/>
      <c r="N19"/>
    </row>
    <row r="20">
      <c r="A20" s="1"/>
      <c r="B20"/>
      <c r="C20"/>
      <c r="D20"/>
      <c r="E20"/>
      <c r="F20"/>
      <c r="G20"/>
      <c r="H20"/>
      <c r="I20"/>
      <c r="J20"/>
      <c r="K20"/>
      <c r="L20"/>
      <c r="M20"/>
      <c r="N20"/>
    </row>
    <row r="21">
      <c r="A21" s="1"/>
      <c r="B21"/>
      <c r="C21"/>
      <c r="D21"/>
      <c r="E21"/>
      <c r="F21"/>
      <c r="G21"/>
      <c r="H21"/>
      <c r="I21"/>
      <c r="J21"/>
      <c r="K21"/>
      <c r="L21"/>
      <c r="M21"/>
      <c r="N2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57"/>
    </row>
    <row r="29">
      <c r="A29" s="57"/>
    </row>
  </sheetData>
  <mergeCells>
    <mergeCell ref="A3:A4"/>
    <mergeCell ref="A1:N2"/>
    <mergeCell ref="L3:L4"/>
    <mergeCell ref="M3:M4"/>
    <mergeCell ref="N3:N4"/>
    <mergeCell ref="B5:M5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N20" sqref="N20"/>
    </sheetView>
  </sheetViews>
  <sheetFormatPr defaultColWidth="8.7109375" defaultRowHeight="13"/>
  <cols>
    <col min="1" max="1" width="9.85546875" style="85" customWidth="1"/>
    <col min="2" max="2" width="23.5703125" style="15" customWidth="1"/>
    <col min="3" max="3" width="24.140625" style="15" customWidth="1"/>
    <col min="4" max="4" width="10.5703125" style="15" bestFit="1" customWidth="1"/>
    <col min="5" max="5" width="8.42578125" style="15" bestFit="1" customWidth="1"/>
    <col min="6" max="6" width="20.7109375" style="15" customWidth="1"/>
    <col min="7" max="7" width="32.5703125" style="15" customWidth="1"/>
    <col min="8" max="10" width="5.5703125" style="15" bestFit="1" customWidth="1"/>
    <col min="11" max="11" width="4.5703125" style="15" bestFit="1" customWidth="1"/>
    <col min="12" max="12" width="11.85546875" style="176" customWidth="1"/>
    <col min="13" max="13" width="7.5703125" style="22" bestFit="1" customWidth="1"/>
    <col min="14" max="14" width="22.140625" style="15" customWidth="1"/>
  </cols>
  <sheetData>
    <row r="1" s="1" customFormat="1" ht="15" customHeight="1">
      <c r="A1" s="200" t="s">
        <v>648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5"/>
    </row>
    <row r="2" s="1" customFormat="1" ht="121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208" t="s">
        <v>533</v>
      </c>
      <c r="M3" s="190" t="s">
        <v>6</v>
      </c>
      <c r="N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209"/>
      <c r="M4" s="191"/>
      <c r="N4" s="193"/>
    </row>
    <row r="5" ht="16">
      <c r="A5" s="88"/>
      <c r="B5" s="194" t="s">
        <v>99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>
      <c r="A6" s="84" t="s">
        <v>330</v>
      </c>
      <c r="B6" s="16" t="s">
        <v>332</v>
      </c>
      <c r="C6" s="16" t="s">
        <v>363</v>
      </c>
      <c r="D6" s="91">
        <v>59.9</v>
      </c>
      <c r="E6" s="16" t="str">
        <f>"1,1163"</f>
        <v>1,1163</v>
      </c>
      <c r="F6" s="16" t="s">
        <v>72</v>
      </c>
      <c r="G6" s="16" t="s">
        <v>537</v>
      </c>
      <c r="H6" s="159" t="s">
        <v>384</v>
      </c>
      <c r="I6" s="89" t="s">
        <v>105</v>
      </c>
      <c r="J6" s="89" t="s">
        <v>105</v>
      </c>
      <c r="K6" s="17"/>
      <c r="L6" s="175">
        <v>55</v>
      </c>
      <c r="M6" s="66" t="str">
        <f>"61,3965"</f>
        <v>61,3965</v>
      </c>
      <c r="N6" s="16" t="s">
        <v>525</v>
      </c>
    </row>
    <row r="7">
      <c r="A7" s="96"/>
    </row>
    <row r="8" ht="16">
      <c r="B8" s="189" t="s">
        <v>30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>
      <c r="A9" s="84" t="s">
        <v>330</v>
      </c>
      <c r="B9" s="16" t="s">
        <v>149</v>
      </c>
      <c r="C9" s="16" t="s">
        <v>150</v>
      </c>
      <c r="D9" s="91">
        <v>89.3</v>
      </c>
      <c r="E9" s="16" t="str">
        <f>"0,6410"</f>
        <v>0,6410</v>
      </c>
      <c r="F9" s="16" t="s">
        <v>14</v>
      </c>
      <c r="G9" s="16" t="s">
        <v>537</v>
      </c>
      <c r="H9" s="159" t="s">
        <v>48</v>
      </c>
      <c r="I9" s="89" t="s">
        <v>53</v>
      </c>
      <c r="J9" s="89" t="s">
        <v>53</v>
      </c>
      <c r="K9" s="17"/>
      <c r="L9" s="175">
        <v>132.5</v>
      </c>
      <c r="M9" s="66" t="str">
        <f>"84,9325"</f>
        <v>84,9325</v>
      </c>
      <c r="N9" s="16" t="s">
        <v>86</v>
      </c>
    </row>
    <row r="11" ht="16">
      <c r="B11" s="189" t="s">
        <v>42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>
      <c r="A12" s="84" t="s">
        <v>330</v>
      </c>
      <c r="B12" s="16" t="s">
        <v>365</v>
      </c>
      <c r="C12" s="16" t="s">
        <v>366</v>
      </c>
      <c r="D12" s="91">
        <v>95.6</v>
      </c>
      <c r="E12" s="16" t="str">
        <f>"0,6203"</f>
        <v>0,6203</v>
      </c>
      <c r="F12" s="16" t="s">
        <v>551</v>
      </c>
      <c r="G12" s="16" t="s">
        <v>142</v>
      </c>
      <c r="H12" s="159" t="s">
        <v>22</v>
      </c>
      <c r="I12" s="159" t="s">
        <v>23</v>
      </c>
      <c r="J12" s="89" t="s">
        <v>47</v>
      </c>
      <c r="K12" s="17"/>
      <c r="L12" s="175">
        <v>115</v>
      </c>
      <c r="M12" s="66" t="str">
        <f>"71,3345"</f>
        <v>71,3345</v>
      </c>
      <c r="N12" s="16" t="s">
        <v>510</v>
      </c>
    </row>
    <row r="13">
      <c r="A13" s="74"/>
    </row>
    <row r="14">
      <c r="I14"/>
      <c r="J14"/>
      <c r="K14"/>
      <c r="M14" s="87"/>
      <c r="N14"/>
    </row>
    <row r="15">
      <c r="I15"/>
      <c r="J15"/>
      <c r="K15"/>
      <c r="M15" s="87"/>
      <c r="N15"/>
    </row>
    <row r="16">
      <c r="I16"/>
      <c r="J16"/>
      <c r="K16"/>
      <c r="M16" s="87"/>
      <c r="N16"/>
    </row>
    <row r="17">
      <c r="A17" s="74"/>
      <c r="B17"/>
      <c r="C17"/>
      <c r="D17"/>
      <c r="E17"/>
      <c r="F17"/>
      <c r="G17"/>
      <c r="H17"/>
      <c r="I17"/>
      <c r="J17"/>
      <c r="K17"/>
      <c r="M17" s="87"/>
      <c r="N17"/>
    </row>
    <row r="18">
      <c r="A18" s="74"/>
      <c r="B18"/>
      <c r="C18"/>
      <c r="D18"/>
      <c r="E18"/>
      <c r="F18"/>
      <c r="G18"/>
      <c r="H18"/>
      <c r="I18"/>
      <c r="J18"/>
      <c r="K18"/>
      <c r="M18" s="87"/>
      <c r="N18"/>
    </row>
    <row r="19">
      <c r="A19" s="74"/>
      <c r="B19"/>
      <c r="C19"/>
      <c r="D19"/>
      <c r="E19"/>
      <c r="F19"/>
      <c r="G19"/>
      <c r="H19"/>
      <c r="I19"/>
      <c r="J19"/>
      <c r="K19"/>
      <c r="M19" s="87"/>
      <c r="N19"/>
    </row>
    <row r="20">
      <c r="A20" s="74"/>
      <c r="B20"/>
      <c r="C20"/>
      <c r="D20"/>
      <c r="E20"/>
      <c r="F20"/>
      <c r="G20"/>
      <c r="H20"/>
      <c r="I20"/>
      <c r="J20"/>
      <c r="K20"/>
      <c r="M20" s="87"/>
      <c r="N20"/>
    </row>
    <row r="21">
      <c r="A21" s="74"/>
      <c r="B21"/>
      <c r="C21"/>
      <c r="D21"/>
      <c r="E21"/>
      <c r="F21"/>
      <c r="G21"/>
      <c r="H21"/>
      <c r="I21"/>
      <c r="J21"/>
      <c r="K21"/>
      <c r="M21" s="87"/>
      <c r="N21"/>
    </row>
    <row r="22">
      <c r="A22" s="74"/>
      <c r="B22"/>
      <c r="C22"/>
      <c r="D22"/>
      <c r="E22"/>
      <c r="F22"/>
      <c r="G22"/>
      <c r="H22"/>
      <c r="I22"/>
      <c r="J22"/>
      <c r="K22"/>
      <c r="M22" s="87"/>
      <c r="N22"/>
    </row>
    <row r="23">
      <c r="A23" s="74"/>
      <c r="B23"/>
      <c r="C23"/>
      <c r="D23"/>
      <c r="E23"/>
      <c r="F23"/>
      <c r="G23"/>
      <c r="H23"/>
      <c r="I23"/>
      <c r="J23"/>
      <c r="K23"/>
      <c r="M23" s="87"/>
      <c r="N23"/>
    </row>
    <row r="24">
      <c r="A24" s="74"/>
      <c r="B24"/>
      <c r="C24"/>
      <c r="D24"/>
      <c r="E24"/>
      <c r="F24"/>
      <c r="G24"/>
      <c r="H24"/>
      <c r="I24"/>
      <c r="J24"/>
      <c r="K24"/>
      <c r="M24" s="87"/>
      <c r="N24"/>
    </row>
    <row r="25">
      <c r="A25" s="74"/>
      <c r="B25"/>
      <c r="C25"/>
      <c r="D25"/>
      <c r="E25"/>
      <c r="F25"/>
      <c r="G25"/>
      <c r="H25"/>
      <c r="I25"/>
      <c r="J25"/>
      <c r="K25"/>
      <c r="M25" s="87"/>
      <c r="N25"/>
    </row>
    <row r="26">
      <c r="A26" s="74"/>
      <c r="B26"/>
      <c r="C26"/>
      <c r="D26"/>
      <c r="E26"/>
      <c r="F26"/>
      <c r="G26"/>
      <c r="H26"/>
      <c r="I26"/>
      <c r="J26"/>
      <c r="K26"/>
      <c r="M26" s="87"/>
      <c r="N26"/>
    </row>
    <row r="27">
      <c r="A27" s="74"/>
      <c r="B27"/>
      <c r="C27"/>
      <c r="D27"/>
      <c r="E27"/>
      <c r="F27"/>
      <c r="G27"/>
      <c r="H27"/>
      <c r="I27"/>
      <c r="J27"/>
      <c r="K27"/>
      <c r="M27" s="87"/>
      <c r="N27"/>
    </row>
    <row r="28">
      <c r="A28" s="88"/>
      <c r="B28"/>
      <c r="C28"/>
      <c r="D28"/>
      <c r="E28"/>
      <c r="F28"/>
      <c r="G28"/>
      <c r="H28"/>
      <c r="I28"/>
      <c r="J28"/>
      <c r="K28"/>
      <c r="M28" s="87"/>
      <c r="N28"/>
    </row>
    <row r="29">
      <c r="A29" s="88"/>
      <c r="B29"/>
      <c r="C29"/>
      <c r="D29"/>
      <c r="E29"/>
      <c r="F29" t="s">
        <v>632</v>
      </c>
      <c r="G29"/>
      <c r="H29"/>
      <c r="I29"/>
      <c r="J29"/>
      <c r="K29"/>
      <c r="M29" s="87"/>
      <c r="N29"/>
    </row>
    <row r="30">
      <c r="B30"/>
      <c r="C30"/>
      <c r="D30"/>
      <c r="E30"/>
      <c r="F30"/>
      <c r="G30"/>
      <c r="H30"/>
      <c r="I30"/>
      <c r="J30"/>
      <c r="K30"/>
      <c r="M30" s="87"/>
      <c r="N30"/>
    </row>
    <row r="31">
      <c r="B31"/>
      <c r="C31"/>
      <c r="D31"/>
      <c r="E31"/>
      <c r="F31"/>
      <c r="G31"/>
      <c r="H31"/>
      <c r="I31"/>
      <c r="J31"/>
      <c r="K31"/>
      <c r="M31" s="87"/>
      <c r="N31"/>
    </row>
    <row r="32">
      <c r="B32"/>
      <c r="C32"/>
      <c r="D32"/>
      <c r="E32"/>
      <c r="F32"/>
      <c r="G32"/>
      <c r="H32"/>
      <c r="I32"/>
      <c r="J32"/>
      <c r="K32"/>
      <c r="M32" s="87"/>
      <c r="N32"/>
    </row>
    <row r="33">
      <c r="B33"/>
      <c r="C33"/>
      <c r="D33"/>
      <c r="E33"/>
      <c r="F33"/>
      <c r="G33"/>
      <c r="H33"/>
      <c r="I33"/>
      <c r="J33"/>
      <c r="K33"/>
      <c r="M33" s="87"/>
      <c r="N33"/>
    </row>
    <row r="34">
      <c r="B34"/>
      <c r="C34"/>
      <c r="D34"/>
      <c r="E34"/>
      <c r="F34"/>
      <c r="G34"/>
      <c r="H34"/>
      <c r="I34"/>
      <c r="J34"/>
      <c r="K34"/>
      <c r="M34" s="87"/>
      <c r="N34"/>
    </row>
    <row r="35">
      <c r="B35"/>
      <c r="C35"/>
      <c r="D35"/>
      <c r="E35"/>
      <c r="F35"/>
      <c r="G35"/>
      <c r="H35"/>
      <c r="I35"/>
      <c r="J35"/>
      <c r="K35"/>
      <c r="M35" s="87"/>
      <c r="N35"/>
    </row>
    <row r="36">
      <c r="B36"/>
      <c r="C36"/>
      <c r="D36"/>
      <c r="E36"/>
      <c r="F36"/>
      <c r="G36"/>
      <c r="H36"/>
      <c r="I36"/>
      <c r="J36"/>
      <c r="K36"/>
      <c r="M36" s="87"/>
      <c r="N36"/>
    </row>
    <row r="37">
      <c r="B37"/>
      <c r="C37"/>
      <c r="D37"/>
      <c r="E37"/>
      <c r="F37"/>
      <c r="G37"/>
      <c r="H37"/>
      <c r="I37"/>
      <c r="J37"/>
      <c r="K37"/>
      <c r="M37" s="87"/>
      <c r="N37"/>
    </row>
    <row r="38">
      <c r="B38"/>
      <c r="C38"/>
      <c r="D38"/>
      <c r="E38"/>
      <c r="F38"/>
      <c r="G38"/>
      <c r="H38"/>
      <c r="I38"/>
      <c r="J38"/>
      <c r="K38"/>
      <c r="M38" s="87"/>
      <c r="N38"/>
    </row>
  </sheetData>
  <mergeCells>
    <mergeCell ref="A1:N2"/>
    <mergeCell ref="B11:M11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B5:M5"/>
    <mergeCell ref="B8:M8"/>
    <mergeCell ref="A3:A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29"/>
  <sheetViews>
    <sheetView topLeftCell="A1" workbookViewId="0">
      <selection activeCell="F22" sqref="F22"/>
    </sheetView>
  </sheetViews>
  <sheetFormatPr defaultColWidth="8.7109375" defaultRowHeight="13"/>
  <cols>
    <col min="1" max="1" width="9.85546875" style="55" customWidth="1"/>
    <col min="2" max="2" width="28.28515625" style="4" bestFit="1" customWidth="1"/>
    <col min="3" max="3" width="31.28515625" style="1" customWidth="1"/>
    <col min="4" max="4" width="9.7109375" style="1" customWidth="1"/>
    <col min="5" max="5" width="6.5703125" style="1" bestFit="1" customWidth="1"/>
    <col min="6" max="6" width="16.28515625" style="5" customWidth="1"/>
    <col min="7" max="7" width="28.28515625" style="5" customWidth="1"/>
    <col min="8" max="8" width="4.5703125" style="1" bestFit="1" customWidth="1"/>
    <col min="9" max="9" width="3.85546875" style="1" customWidth="1"/>
    <col min="10" max="10" width="3.7109375" style="1" customWidth="1"/>
    <col min="11" max="11" width="4.5703125" style="1" bestFit="1" customWidth="1"/>
    <col min="12" max="12" width="10.7109375" style="4" customWidth="1"/>
    <col min="13" max="13" width="6.5703125" style="1" bestFit="1" customWidth="1"/>
    <col min="14" max="14" width="15.42578125" style="5" bestFit="1" customWidth="1"/>
    <col min="15" max="16384" width="8.7109375" style="1"/>
  </cols>
  <sheetData>
    <row r="1" ht="15" customHeight="1">
      <c r="A1" s="200" t="s">
        <v>649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5"/>
    </row>
    <row r="2" ht="114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222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190" t="s">
        <v>533</v>
      </c>
      <c r="M3" s="190" t="s">
        <v>6</v>
      </c>
      <c r="N3" s="192" t="s">
        <v>5</v>
      </c>
    </row>
    <row r="4" s="2" customFormat="1" ht="21" customHeight="1" thickBot="1">
      <c r="A4" s="223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191"/>
      <c r="M4" s="191"/>
      <c r="N4" s="193"/>
    </row>
    <row r="5" ht="16">
      <c r="A5" s="57"/>
      <c r="B5" s="221" t="s">
        <v>42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>
      <c r="A6" s="84" t="s">
        <v>330</v>
      </c>
      <c r="B6" s="58" t="s">
        <v>372</v>
      </c>
      <c r="C6" s="7" t="s">
        <v>385</v>
      </c>
      <c r="D6" s="104">
        <v>93.2</v>
      </c>
      <c r="E6" s="6" t="str">
        <f>"0,6276"</f>
        <v>0,6276</v>
      </c>
      <c r="F6" s="7" t="s">
        <v>551</v>
      </c>
      <c r="G6" s="7" t="s">
        <v>297</v>
      </c>
      <c r="H6" s="105" t="s">
        <v>249</v>
      </c>
      <c r="I6" s="8"/>
      <c r="J6" s="8"/>
      <c r="K6" s="8"/>
      <c r="L6" s="73" t="s">
        <v>607</v>
      </c>
      <c r="M6" s="73" t="s">
        <v>607</v>
      </c>
      <c r="N6" s="7" t="s">
        <v>86</v>
      </c>
    </row>
    <row r="7">
      <c r="A7" s="59"/>
    </row>
    <row r="8">
      <c r="A8" s="1"/>
      <c r="B8" s="1"/>
      <c r="E8" s="4"/>
      <c r="F8" s="1"/>
      <c r="L8" s="1"/>
      <c r="N8" s="1"/>
    </row>
    <row r="9">
      <c r="A9" s="1"/>
      <c r="B9" s="1"/>
      <c r="E9" s="4"/>
      <c r="F9" s="1"/>
      <c r="L9" s="1"/>
      <c r="N9" s="1"/>
    </row>
    <row r="10">
      <c r="A10" s="1"/>
      <c r="B10" s="1"/>
      <c r="E10" s="4"/>
      <c r="F10" s="1"/>
      <c r="L10" s="1"/>
      <c r="N10" s="1"/>
    </row>
    <row r="11">
      <c r="A11" s="1"/>
      <c r="B11" s="1"/>
      <c r="E11" s="4"/>
      <c r="F11" s="1"/>
      <c r="L11" s="1"/>
      <c r="N11" s="1"/>
    </row>
    <row r="12">
      <c r="A12" s="1"/>
      <c r="B12" s="1"/>
      <c r="E12" s="4"/>
      <c r="F12" s="1"/>
      <c r="L12" s="1"/>
      <c r="N12" s="1"/>
    </row>
    <row r="13">
      <c r="A13" s="1"/>
      <c r="B13" s="1"/>
      <c r="E13" s="4"/>
      <c r="F13" s="1"/>
      <c r="L13" s="1"/>
      <c r="N13" s="1"/>
    </row>
    <row r="14">
      <c r="A14" s="1"/>
      <c r="B14" s="1"/>
      <c r="E14" s="4"/>
      <c r="F14" s="1"/>
      <c r="L14" s="1"/>
      <c r="N14" s="1"/>
    </row>
    <row r="15">
      <c r="B15" s="1"/>
      <c r="F15" s="4"/>
      <c r="G15" s="1"/>
      <c r="H15" s="5"/>
      <c r="L15" s="1"/>
      <c r="N15" s="1"/>
    </row>
    <row r="16">
      <c r="B16" s="1"/>
      <c r="F16" s="4"/>
      <c r="G16" s="1"/>
      <c r="H16" s="5"/>
      <c r="L16" s="1"/>
      <c r="N16" s="1"/>
    </row>
    <row r="17">
      <c r="A17" s="1"/>
      <c r="B17" s="1"/>
      <c r="F17" s="4"/>
      <c r="G17" s="1"/>
      <c r="H17" s="5"/>
      <c r="L17" s="1"/>
      <c r="N17" s="1"/>
    </row>
    <row r="18">
      <c r="A18" s="1"/>
      <c r="B18" s="1"/>
      <c r="F18" s="4"/>
      <c r="G18" s="1"/>
      <c r="H18" s="5"/>
      <c r="L18" s="1"/>
      <c r="N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57"/>
    </row>
    <row r="29">
      <c r="A29" s="57"/>
    </row>
  </sheetData>
  <mergeCells>
    <mergeCell ref="A1:N2"/>
    <mergeCell ref="B5:M5"/>
    <mergeCell ref="E3:E4"/>
    <mergeCell ref="L3:L4"/>
    <mergeCell ref="M3:M4"/>
    <mergeCell ref="A3:A4"/>
    <mergeCell ref="H3:K3"/>
    <mergeCell ref="B3:B4"/>
    <mergeCell ref="C3:C4"/>
    <mergeCell ref="D3:D4"/>
    <mergeCell ref="N3:N4"/>
    <mergeCell ref="G3:G4"/>
    <mergeCell ref="F3:F4"/>
  </mergeCells>
  <pageMargins left="0.196850393700787" right="0.47244094488189" top="0.433070866141732" bottom="0.47244094488189" header="0.511811023622047" footer="0.511811023622047"/>
  <pageSetup scale="58" fitToHeight="100" orientation="landscape" horizontalDpi="300" verticalDpi="300"/>
  <headerFooter alignWithMargins="0">
    <oddFooter>&amp;L&amp;G&amp;R&amp;D&amp;T&amp;P</oddFooter>
  </headerFooter>
  <legacyDrawingHF r:id="fl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dimension ref="A1:M175"/>
  <sheetViews>
    <sheetView topLeftCell="A1" zoomScale="85" zoomScaleNormal="85" zoomScalePageLayoutView="85" workbookViewId="0">
      <selection activeCell="A1" sqref="A1:L1"/>
    </sheetView>
  </sheetViews>
  <sheetFormatPr defaultColWidth="8.7109375" defaultRowHeight="14"/>
  <cols>
    <col min="1" max="1" width="5" style="30" customWidth="1"/>
    <col min="2" max="2" width="6.85546875" style="26" customWidth="1"/>
    <col min="3" max="3" width="29.28515625" style="27" customWidth="1"/>
    <col min="4" max="4" width="14.42578125" style="29" customWidth="1"/>
    <col min="5" max="5" width="8.28515625" style="27" customWidth="1"/>
    <col min="6" max="6" width="7.42578125" style="27" customWidth="1"/>
    <col min="7" max="7" width="10.28515625" style="26" customWidth="1"/>
    <col min="8" max="8" width="12.5703125" style="27" customWidth="1"/>
    <col min="9" max="9" width="25.140625" style="26" customWidth="1"/>
    <col min="10" max="10" width="14.140625" style="28" customWidth="1"/>
    <col min="11" max="11" width="38.140625" style="27" customWidth="1"/>
    <col min="12" max="12" width="25.7109375" style="27" customWidth="1"/>
    <col min="13" max="16384" width="8.7109375" style="26"/>
  </cols>
  <sheetData>
    <row r="1" s="38" customFormat="1" ht="18.75" customHeight="1">
      <c r="A1" s="246" t="s">
        <v>484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="38" customFormat="1" ht="33" customHeight="1">
      <c r="A2" s="248" t="s">
        <v>554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="38" customFormat="1" ht="20.25" customHeight="1">
      <c r="A3" s="253" t="s">
        <v>555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="38" customFormat="1" ht="21" customHeight="1">
      <c r="A4" s="246" t="s">
        <v>482</v>
      </c>
      <c r="B4" s="247"/>
      <c r="C4" s="247"/>
      <c r="D4" s="247"/>
      <c r="E4" s="247"/>
      <c r="F4" s="247"/>
      <c r="G4" s="247"/>
      <c r="H4" s="247"/>
      <c r="I4" s="247"/>
      <c r="J4" s="249"/>
      <c r="K4" s="249"/>
      <c r="L4" s="249"/>
    </row>
    <row r="5" s="33" customFormat="1" ht="30.75" customHeight="1">
      <c r="A5" s="250" t="s">
        <v>481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2"/>
    </row>
    <row r="6" s="32" customFormat="1" ht="41.25" customHeight="1">
      <c r="A6" s="116" t="s">
        <v>461</v>
      </c>
      <c r="B6" s="116" t="s">
        <v>460</v>
      </c>
      <c r="C6" s="117" t="s">
        <v>0</v>
      </c>
      <c r="D6" s="117" t="s">
        <v>459</v>
      </c>
      <c r="E6" s="118" t="s">
        <v>458</v>
      </c>
      <c r="F6" s="117" t="s">
        <v>457</v>
      </c>
      <c r="G6" s="116" t="s">
        <v>456</v>
      </c>
      <c r="H6" s="117" t="s">
        <v>455</v>
      </c>
      <c r="I6" s="116" t="s">
        <v>454</v>
      </c>
      <c r="J6" s="116" t="s">
        <v>453</v>
      </c>
      <c r="K6" s="117" t="s">
        <v>452</v>
      </c>
      <c r="L6" s="119" t="s">
        <v>451</v>
      </c>
    </row>
    <row r="7" s="31" customFormat="1" ht="34.5" customHeight="1">
      <c r="A7" s="120">
        <v>1</v>
      </c>
      <c r="B7" s="119">
        <v>1</v>
      </c>
      <c r="C7" s="121" t="s">
        <v>464</v>
      </c>
      <c r="D7" s="122" t="s">
        <v>556</v>
      </c>
      <c r="E7" s="123">
        <v>72.2</v>
      </c>
      <c r="F7" s="124">
        <v>55</v>
      </c>
      <c r="G7" s="125">
        <v>98</v>
      </c>
      <c r="H7" s="126">
        <f>SUM(F7*G7/E7)</f>
        <v>74.65373961218836</v>
      </c>
      <c r="I7" s="127" t="s">
        <v>557</v>
      </c>
      <c r="J7" s="128">
        <v>1030</v>
      </c>
      <c r="K7" s="129" t="s">
        <v>558</v>
      </c>
      <c r="L7" s="116"/>
    </row>
    <row r="8" s="31" customFormat="1" ht="34.5" customHeight="1">
      <c r="A8" s="130">
        <v>2</v>
      </c>
      <c r="B8" s="119">
        <v>2</v>
      </c>
      <c r="C8" s="121" t="s">
        <v>480</v>
      </c>
      <c r="D8" s="122" t="s">
        <v>559</v>
      </c>
      <c r="E8" s="123">
        <v>68.2</v>
      </c>
      <c r="F8" s="124">
        <v>55</v>
      </c>
      <c r="G8" s="125">
        <v>79</v>
      </c>
      <c r="H8" s="126">
        <f>SUM(F8*G8/E8)</f>
        <v>63.709677419354833</v>
      </c>
      <c r="I8" s="131" t="s">
        <v>560</v>
      </c>
      <c r="J8" s="128">
        <v>1138</v>
      </c>
      <c r="K8" s="129" t="s">
        <v>561</v>
      </c>
      <c r="L8" s="116"/>
    </row>
    <row r="9" s="31" customFormat="1" ht="34.5" customHeight="1">
      <c r="A9" s="130">
        <v>3</v>
      </c>
      <c r="B9" s="119">
        <v>3</v>
      </c>
      <c r="C9" s="121" t="s">
        <v>479</v>
      </c>
      <c r="D9" s="122" t="s">
        <v>562</v>
      </c>
      <c r="E9" s="123">
        <v>68.15</v>
      </c>
      <c r="F9" s="124">
        <v>55</v>
      </c>
      <c r="G9" s="125">
        <v>77</v>
      </c>
      <c r="H9" s="126">
        <f>SUM(F9*G9/E9)</f>
        <v>62.142333088774755</v>
      </c>
      <c r="I9" s="131" t="s">
        <v>449</v>
      </c>
      <c r="J9" s="116"/>
      <c r="K9" s="129" t="s">
        <v>563</v>
      </c>
      <c r="L9" s="116"/>
    </row>
    <row r="10" s="31" customFormat="1" ht="34.5" customHeight="1">
      <c r="A10" s="119">
        <v>4</v>
      </c>
      <c r="B10" s="119">
        <v>4</v>
      </c>
      <c r="C10" s="121" t="s">
        <v>478</v>
      </c>
      <c r="D10" s="122" t="s">
        <v>564</v>
      </c>
      <c r="E10" s="123">
        <v>72.15</v>
      </c>
      <c r="F10" s="124">
        <v>55</v>
      </c>
      <c r="G10" s="125">
        <v>80</v>
      </c>
      <c r="H10" s="126">
        <f>SUM(F10*G10/E10)</f>
        <v>60.984060984060982</v>
      </c>
      <c r="I10" s="131" t="s">
        <v>565</v>
      </c>
      <c r="J10" s="132" t="s">
        <v>566</v>
      </c>
      <c r="K10" s="129" t="s">
        <v>567</v>
      </c>
      <c r="L10" s="116"/>
    </row>
    <row r="11" s="31" customFormat="1" ht="34.5" customHeight="1">
      <c r="A11" s="130">
        <v>5</v>
      </c>
      <c r="B11" s="119">
        <v>5</v>
      </c>
      <c r="C11" s="121" t="s">
        <v>477</v>
      </c>
      <c r="D11" s="122" t="s">
        <v>568</v>
      </c>
      <c r="E11" s="123">
        <v>73.3</v>
      </c>
      <c r="F11" s="124">
        <v>55</v>
      </c>
      <c r="G11" s="125">
        <v>78</v>
      </c>
      <c r="H11" s="126">
        <f>SUM(F11*G11/E11)</f>
        <v>58.526603001364258</v>
      </c>
      <c r="I11" s="131" t="s">
        <v>462</v>
      </c>
      <c r="J11" s="116"/>
      <c r="K11" s="129" t="s">
        <v>567</v>
      </c>
      <c r="L11" s="116"/>
    </row>
    <row r="12" s="31" customFormat="1" ht="34.5" customHeight="1">
      <c r="A12" s="130">
        <v>6</v>
      </c>
      <c r="B12" s="119">
        <v>6</v>
      </c>
      <c r="C12" s="121" t="s">
        <v>569</v>
      </c>
      <c r="D12" s="122" t="s">
        <v>570</v>
      </c>
      <c r="E12" s="123">
        <v>73.7</v>
      </c>
      <c r="F12" s="124">
        <v>55</v>
      </c>
      <c r="G12" s="125">
        <v>75</v>
      </c>
      <c r="H12" s="126">
        <f>SUM(F12*G12/E12)</f>
        <v>55.970149253731343</v>
      </c>
      <c r="I12" s="131" t="s">
        <v>565</v>
      </c>
      <c r="J12" s="128">
        <v>1263</v>
      </c>
      <c r="K12" s="129" t="s">
        <v>571</v>
      </c>
      <c r="L12" s="116"/>
    </row>
    <row r="13" s="31" customFormat="1" ht="34.5" customHeight="1">
      <c r="A13" s="130">
        <v>7</v>
      </c>
      <c r="B13" s="119">
        <v>7</v>
      </c>
      <c r="C13" s="121" t="s">
        <v>476</v>
      </c>
      <c r="D13" s="122" t="s">
        <v>572</v>
      </c>
      <c r="E13" s="123">
        <v>69.7</v>
      </c>
      <c r="F13" s="124">
        <v>55</v>
      </c>
      <c r="G13" s="125">
        <v>61</v>
      </c>
      <c r="H13" s="126">
        <f>SUM(F13*G13/E13)</f>
        <v>48.13486370157819</v>
      </c>
      <c r="I13" s="131" t="s">
        <v>462</v>
      </c>
      <c r="J13" s="116"/>
      <c r="K13" s="129" t="s">
        <v>573</v>
      </c>
      <c r="L13" s="116"/>
    </row>
    <row r="14" s="31" customFormat="1" ht="34.5" customHeight="1">
      <c r="A14" s="130">
        <v>8</v>
      </c>
      <c r="B14" s="119">
        <v>8</v>
      </c>
      <c r="C14" s="121" t="s">
        <v>475</v>
      </c>
      <c r="D14" s="122" t="s">
        <v>574</v>
      </c>
      <c r="E14" s="123">
        <v>69.5</v>
      </c>
      <c r="F14" s="124">
        <v>55</v>
      </c>
      <c r="G14" s="125">
        <v>52</v>
      </c>
      <c r="H14" s="126">
        <f>SUM(F14*G14/E14)</f>
        <v>41.151079136690647</v>
      </c>
      <c r="I14" s="131" t="s">
        <v>466</v>
      </c>
      <c r="J14" s="128">
        <v>1218</v>
      </c>
      <c r="K14" s="129" t="s">
        <v>575</v>
      </c>
      <c r="L14" s="116"/>
    </row>
    <row r="15" s="31" customFormat="1" ht="34.5" customHeight="1">
      <c r="A15" s="241" t="s">
        <v>576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3"/>
    </row>
    <row r="16" s="31" customFormat="1" ht="40.5" customHeight="1">
      <c r="A16" s="116" t="s">
        <v>461</v>
      </c>
      <c r="B16" s="116" t="s">
        <v>460</v>
      </c>
      <c r="C16" s="117" t="s">
        <v>0</v>
      </c>
      <c r="D16" s="117" t="s">
        <v>459</v>
      </c>
      <c r="E16" s="117" t="s">
        <v>458</v>
      </c>
      <c r="F16" s="117" t="s">
        <v>457</v>
      </c>
      <c r="G16" s="116" t="s">
        <v>456</v>
      </c>
      <c r="H16" s="117" t="s">
        <v>455</v>
      </c>
      <c r="I16" s="116" t="s">
        <v>454</v>
      </c>
      <c r="J16" s="116" t="s">
        <v>453</v>
      </c>
      <c r="K16" s="117" t="s">
        <v>452</v>
      </c>
      <c r="L16" s="119" t="s">
        <v>451</v>
      </c>
    </row>
    <row r="17" s="31" customFormat="1" ht="34.5" customHeight="1">
      <c r="A17" s="130">
        <v>9</v>
      </c>
      <c r="B17" s="119">
        <v>1</v>
      </c>
      <c r="C17" s="121" t="s">
        <v>474</v>
      </c>
      <c r="D17" s="122" t="s">
        <v>577</v>
      </c>
      <c r="E17" s="133">
        <v>92.35</v>
      </c>
      <c r="F17" s="124">
        <v>55</v>
      </c>
      <c r="G17" s="125">
        <v>116</v>
      </c>
      <c r="H17" s="126">
        <f>SUM(F17*G17/E17)</f>
        <v>69.085002707092585</v>
      </c>
      <c r="I17" s="131" t="s">
        <v>560</v>
      </c>
      <c r="J17" s="132" t="s">
        <v>578</v>
      </c>
      <c r="K17" s="129" t="s">
        <v>579</v>
      </c>
      <c r="L17" s="116"/>
    </row>
    <row r="18" s="31" customFormat="1" ht="34.5" customHeight="1">
      <c r="A18" s="130">
        <v>10</v>
      </c>
      <c r="B18" s="119">
        <v>2</v>
      </c>
      <c r="C18" s="121" t="s">
        <v>473</v>
      </c>
      <c r="D18" s="122" t="s">
        <v>580</v>
      </c>
      <c r="E18" s="133">
        <v>79.4</v>
      </c>
      <c r="F18" s="124">
        <v>55</v>
      </c>
      <c r="G18" s="125">
        <v>82</v>
      </c>
      <c r="H18" s="126">
        <f>SUM(F18*G18/E18)</f>
        <v>56.80100755667506</v>
      </c>
      <c r="I18" s="131" t="s">
        <v>565</v>
      </c>
      <c r="J18" s="132">
        <v>1024</v>
      </c>
      <c r="K18" s="129" t="s">
        <v>581</v>
      </c>
      <c r="L18" s="116"/>
    </row>
    <row r="19" s="31" customFormat="1" ht="34.5" customHeight="1">
      <c r="A19" s="130">
        <v>11</v>
      </c>
      <c r="B19" s="119">
        <v>3</v>
      </c>
      <c r="C19" s="121" t="s">
        <v>582</v>
      </c>
      <c r="D19" s="117" t="s">
        <v>583</v>
      </c>
      <c r="E19" s="133">
        <v>93.8</v>
      </c>
      <c r="F19" s="124">
        <v>55</v>
      </c>
      <c r="G19" s="125">
        <v>93</v>
      </c>
      <c r="H19" s="126">
        <f>SUM(F19*G19/E19)</f>
        <v>54.530916844349683</v>
      </c>
      <c r="I19" s="131" t="s">
        <v>462</v>
      </c>
      <c r="J19" s="116"/>
      <c r="K19" s="129" t="s">
        <v>584</v>
      </c>
      <c r="L19" s="116"/>
    </row>
    <row r="20" s="31" customFormat="1" ht="34.5" customHeight="1">
      <c r="A20" s="130">
        <v>12</v>
      </c>
      <c r="B20" s="119">
        <v>4</v>
      </c>
      <c r="C20" s="121" t="s">
        <v>472</v>
      </c>
      <c r="D20" s="122" t="s">
        <v>585</v>
      </c>
      <c r="E20" s="133">
        <v>80</v>
      </c>
      <c r="F20" s="124">
        <v>55</v>
      </c>
      <c r="G20" s="125">
        <v>67</v>
      </c>
      <c r="H20" s="126">
        <f>SUM(F20*G20/E20)</f>
        <v>46.0625</v>
      </c>
      <c r="I20" s="131" t="s">
        <v>466</v>
      </c>
      <c r="J20" s="116"/>
      <c r="K20" s="129" t="s">
        <v>584</v>
      </c>
      <c r="L20" s="116"/>
    </row>
    <row r="21" s="32" customFormat="1" ht="37.5" customHeight="1">
      <c r="A21" s="241" t="s">
        <v>586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3"/>
    </row>
    <row r="22" s="31" customFormat="1" ht="39.75" customHeight="1">
      <c r="A22" s="116" t="s">
        <v>461</v>
      </c>
      <c r="B22" s="116" t="s">
        <v>460</v>
      </c>
      <c r="C22" s="117" t="s">
        <v>0</v>
      </c>
      <c r="D22" s="117" t="s">
        <v>459</v>
      </c>
      <c r="E22" s="117" t="s">
        <v>458</v>
      </c>
      <c r="F22" s="117" t="s">
        <v>457</v>
      </c>
      <c r="G22" s="116" t="s">
        <v>456</v>
      </c>
      <c r="H22" s="117" t="s">
        <v>455</v>
      </c>
      <c r="I22" s="116" t="s">
        <v>454</v>
      </c>
      <c r="J22" s="116" t="s">
        <v>453</v>
      </c>
      <c r="K22" s="117" t="s">
        <v>452</v>
      </c>
      <c r="L22" s="119" t="s">
        <v>451</v>
      </c>
    </row>
    <row r="23" s="31" customFormat="1" ht="34.5" customHeight="1">
      <c r="A23" s="130">
        <v>13</v>
      </c>
      <c r="B23" s="119">
        <v>1</v>
      </c>
      <c r="C23" s="121" t="s">
        <v>471</v>
      </c>
      <c r="D23" s="122" t="s">
        <v>587</v>
      </c>
      <c r="E23" s="133">
        <v>85.5</v>
      </c>
      <c r="F23" s="124">
        <v>55</v>
      </c>
      <c r="G23" s="125">
        <v>89</v>
      </c>
      <c r="H23" s="126">
        <f>SUM(F23*G23/E23)</f>
        <v>57.251461988304094</v>
      </c>
      <c r="I23" s="131" t="s">
        <v>565</v>
      </c>
      <c r="J23" s="128">
        <v>1025</v>
      </c>
      <c r="K23" s="129" t="s">
        <v>588</v>
      </c>
      <c r="L23" s="116"/>
    </row>
    <row r="24" s="31" customFormat="1" ht="34.5" customHeight="1">
      <c r="A24" s="130">
        <v>14</v>
      </c>
      <c r="B24" s="119">
        <v>2</v>
      </c>
      <c r="C24" s="121" t="s">
        <v>470</v>
      </c>
      <c r="D24" s="122" t="s">
        <v>589</v>
      </c>
      <c r="E24" s="133">
        <v>87.2</v>
      </c>
      <c r="F24" s="124">
        <v>55</v>
      </c>
      <c r="G24" s="125">
        <v>89</v>
      </c>
      <c r="H24" s="126">
        <f>SUM(F24*G24/E24)</f>
        <v>56.13532110091743</v>
      </c>
      <c r="I24" s="131" t="s">
        <v>462</v>
      </c>
      <c r="J24" s="116"/>
      <c r="K24" s="129" t="s">
        <v>588</v>
      </c>
      <c r="L24" s="116"/>
    </row>
    <row r="25" s="31" customFormat="1" ht="34.5" customHeight="1">
      <c r="A25" s="130">
        <v>15</v>
      </c>
      <c r="B25" s="119">
        <v>3</v>
      </c>
      <c r="C25" s="121" t="s">
        <v>469</v>
      </c>
      <c r="D25" s="122" t="s">
        <v>590</v>
      </c>
      <c r="E25" s="134">
        <v>97.15</v>
      </c>
      <c r="F25" s="124">
        <v>55</v>
      </c>
      <c r="G25" s="125">
        <v>79</v>
      </c>
      <c r="H25" s="126">
        <f>SUM(F25*G25/E25)</f>
        <v>44.724652599073593</v>
      </c>
      <c r="I25" s="131" t="s">
        <v>466</v>
      </c>
      <c r="J25" s="135" t="s">
        <v>591</v>
      </c>
      <c r="K25" s="129" t="s">
        <v>588</v>
      </c>
      <c r="L25" s="116"/>
    </row>
    <row r="26" s="31" customFormat="1" ht="34.5" customHeight="1">
      <c r="A26" s="130">
        <v>16</v>
      </c>
      <c r="B26" s="119">
        <v>4</v>
      </c>
      <c r="C26" s="121" t="s">
        <v>468</v>
      </c>
      <c r="D26" s="122" t="s">
        <v>592</v>
      </c>
      <c r="E26" s="133">
        <v>91.1</v>
      </c>
      <c r="F26" s="124">
        <v>55</v>
      </c>
      <c r="G26" s="125">
        <v>72</v>
      </c>
      <c r="H26" s="126">
        <f>SUM(F26*G26/E26)</f>
        <v>43.468715697036224</v>
      </c>
      <c r="I26" s="131" t="s">
        <v>466</v>
      </c>
      <c r="J26" s="116"/>
      <c r="K26" s="129" t="s">
        <v>588</v>
      </c>
      <c r="L26" s="116"/>
    </row>
    <row r="27" s="31" customFormat="1" ht="34.5" customHeight="1">
      <c r="A27" s="130">
        <v>17</v>
      </c>
      <c r="B27" s="119">
        <v>5</v>
      </c>
      <c r="C27" s="121" t="s">
        <v>467</v>
      </c>
      <c r="D27" s="122" t="s">
        <v>593</v>
      </c>
      <c r="E27" s="133">
        <v>92.3</v>
      </c>
      <c r="F27" s="124">
        <v>55</v>
      </c>
      <c r="G27" s="125">
        <v>68</v>
      </c>
      <c r="H27" s="126">
        <f>SUM(F27*G27/E27)</f>
        <v>40.520043336944745</v>
      </c>
      <c r="I27" s="131" t="s">
        <v>466</v>
      </c>
      <c r="J27" s="116"/>
      <c r="K27" s="129" t="s">
        <v>594</v>
      </c>
      <c r="L27" s="116"/>
    </row>
    <row r="28" s="33" customFormat="1" ht="33.75" customHeight="1">
      <c r="A28" s="130">
        <v>18</v>
      </c>
      <c r="B28" s="119">
        <v>6</v>
      </c>
      <c r="C28" s="136" t="s">
        <v>552</v>
      </c>
      <c r="D28" s="122" t="s">
        <v>595</v>
      </c>
      <c r="E28" s="134">
        <v>98.4</v>
      </c>
      <c r="F28" s="124">
        <v>55</v>
      </c>
      <c r="G28" s="125">
        <v>62</v>
      </c>
      <c r="H28" s="126">
        <f>SUM(F28*G28/E28)</f>
        <v>34.654471544715442</v>
      </c>
      <c r="I28" s="131" t="s">
        <v>465</v>
      </c>
      <c r="J28" s="116"/>
      <c r="K28" s="129" t="s">
        <v>588</v>
      </c>
      <c r="L28" s="116"/>
    </row>
    <row r="29" s="31" customFormat="1" ht="34.5" customHeight="1">
      <c r="A29" s="241" t="s">
        <v>596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3"/>
    </row>
    <row r="30" s="33" customFormat="1" ht="42" customHeight="1">
      <c r="A30" s="116" t="s">
        <v>461</v>
      </c>
      <c r="B30" s="116" t="s">
        <v>460</v>
      </c>
      <c r="C30" s="117" t="s">
        <v>0</v>
      </c>
      <c r="D30" s="117" t="s">
        <v>459</v>
      </c>
      <c r="E30" s="117" t="s">
        <v>458</v>
      </c>
      <c r="F30" s="117" t="s">
        <v>457</v>
      </c>
      <c r="G30" s="116" t="s">
        <v>456</v>
      </c>
      <c r="H30" s="117" t="s">
        <v>455</v>
      </c>
      <c r="I30" s="116" t="s">
        <v>454</v>
      </c>
      <c r="J30" s="116" t="s">
        <v>453</v>
      </c>
      <c r="K30" s="117" t="s">
        <v>452</v>
      </c>
      <c r="L30" s="119" t="s">
        <v>451</v>
      </c>
    </row>
    <row r="31" s="31" customFormat="1" ht="34.5" customHeight="1">
      <c r="A31" s="130">
        <v>20</v>
      </c>
      <c r="B31" s="119">
        <v>1</v>
      </c>
      <c r="C31" s="121" t="s">
        <v>464</v>
      </c>
      <c r="D31" s="122" t="s">
        <v>556</v>
      </c>
      <c r="E31" s="123">
        <v>72.2</v>
      </c>
      <c r="F31" s="124">
        <v>75</v>
      </c>
      <c r="G31" s="125">
        <v>58</v>
      </c>
      <c r="H31" s="126">
        <f>SUM(F31*G31/E31)</f>
        <v>60.249307479224378</v>
      </c>
      <c r="I31" s="131" t="s">
        <v>560</v>
      </c>
      <c r="J31" s="135">
        <v>1030</v>
      </c>
      <c r="K31" s="129" t="s">
        <v>558</v>
      </c>
      <c r="L31" s="116"/>
    </row>
    <row r="32" s="31" customFormat="1" ht="34.5" customHeight="1">
      <c r="A32" s="130">
        <v>21</v>
      </c>
      <c r="B32" s="119">
        <v>2</v>
      </c>
      <c r="C32" s="121" t="s">
        <v>448</v>
      </c>
      <c r="D32" s="122" t="s">
        <v>597</v>
      </c>
      <c r="E32" s="133">
        <v>81.3</v>
      </c>
      <c r="F32" s="124">
        <v>75</v>
      </c>
      <c r="G32" s="125">
        <v>63</v>
      </c>
      <c r="H32" s="126">
        <f>SUM(F32*G32/E32)</f>
        <v>58.118081180811814</v>
      </c>
      <c r="I32" s="131" t="s">
        <v>560</v>
      </c>
      <c r="J32" s="135" t="s">
        <v>598</v>
      </c>
      <c r="K32" s="129" t="s">
        <v>588</v>
      </c>
      <c r="L32" s="116"/>
    </row>
    <row r="33" s="31" customFormat="1" ht="34.5" customHeight="1">
      <c r="A33" s="130">
        <v>22</v>
      </c>
      <c r="B33" s="119">
        <v>3</v>
      </c>
      <c r="C33" s="121" t="s">
        <v>463</v>
      </c>
      <c r="D33" s="122" t="s">
        <v>599</v>
      </c>
      <c r="E33" s="134">
        <v>102.8</v>
      </c>
      <c r="F33" s="124">
        <v>75</v>
      </c>
      <c r="G33" s="125">
        <v>52</v>
      </c>
      <c r="H33" s="126">
        <f>SUM(F33*G33/E33)</f>
        <v>37.937743190661479</v>
      </c>
      <c r="I33" s="131" t="s">
        <v>565</v>
      </c>
      <c r="J33" s="135">
        <v>1205</v>
      </c>
      <c r="K33" s="129" t="s">
        <v>579</v>
      </c>
      <c r="L33" s="116"/>
    </row>
    <row r="34" s="31" customFormat="1" ht="31.5" customHeight="1">
      <c r="A34" s="241" t="s">
        <v>600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3"/>
    </row>
    <row r="35" s="31" customFormat="1" ht="42.75" customHeight="1">
      <c r="A35" s="116" t="s">
        <v>461</v>
      </c>
      <c r="B35" s="116" t="s">
        <v>460</v>
      </c>
      <c r="C35" s="117" t="s">
        <v>0</v>
      </c>
      <c r="D35" s="117" t="s">
        <v>459</v>
      </c>
      <c r="E35" s="117" t="s">
        <v>458</v>
      </c>
      <c r="F35" s="117" t="s">
        <v>457</v>
      </c>
      <c r="G35" s="116" t="s">
        <v>456</v>
      </c>
      <c r="H35" s="117" t="s">
        <v>455</v>
      </c>
      <c r="I35" s="116" t="s">
        <v>454</v>
      </c>
      <c r="J35" s="116" t="s">
        <v>453</v>
      </c>
      <c r="K35" s="117" t="s">
        <v>452</v>
      </c>
      <c r="L35" s="119" t="s">
        <v>451</v>
      </c>
    </row>
    <row r="36" s="31" customFormat="1" ht="34.5" customHeight="1">
      <c r="A36" s="130">
        <v>23</v>
      </c>
      <c r="B36" s="119">
        <v>1</v>
      </c>
      <c r="C36" s="121" t="s">
        <v>450</v>
      </c>
      <c r="D36" s="122" t="s">
        <v>601</v>
      </c>
      <c r="E36" s="134">
        <v>112.8</v>
      </c>
      <c r="F36" s="124">
        <v>100</v>
      </c>
      <c r="G36" s="125">
        <v>53</v>
      </c>
      <c r="H36" s="126">
        <f>SUM(F36*G36/E36)</f>
        <v>46.98581560283688</v>
      </c>
      <c r="I36" s="131" t="s">
        <v>560</v>
      </c>
      <c r="J36" s="116"/>
      <c r="K36" s="129" t="s">
        <v>584</v>
      </c>
      <c r="L36" s="116"/>
    </row>
    <row r="37" s="31" customFormat="1" ht="34.5" customHeight="1">
      <c r="A37" s="130">
        <v>24</v>
      </c>
      <c r="B37" s="119">
        <v>2</v>
      </c>
      <c r="C37" s="121" t="s">
        <v>448</v>
      </c>
      <c r="D37" s="122" t="s">
        <v>597</v>
      </c>
      <c r="E37" s="133">
        <v>81.3</v>
      </c>
      <c r="F37" s="124">
        <v>100</v>
      </c>
      <c r="G37" s="125">
        <v>19</v>
      </c>
      <c r="H37" s="126">
        <f>SUM(F37*G37/E37)</f>
        <v>23.370233702337025</v>
      </c>
      <c r="I37" s="131" t="s">
        <v>447</v>
      </c>
      <c r="J37" s="116"/>
      <c r="K37" s="129" t="s">
        <v>588</v>
      </c>
      <c r="L37" s="116"/>
    </row>
    <row r="38" s="31" customFormat="1" ht="34.5" customHeight="1">
      <c r="A38" s="137"/>
      <c r="B38"/>
      <c r="C38" s="244" t="s">
        <v>446</v>
      </c>
      <c r="D38" s="245"/>
      <c r="E38" s="245"/>
      <c r="F38" s="245"/>
      <c r="G38" s="245"/>
      <c r="H38" s="245"/>
      <c r="I38" s="238"/>
      <c r="J38" s="138"/>
      <c r="K38" s="139"/>
      <c r="L38" s="139"/>
    </row>
    <row r="39" s="31" customFormat="1" ht="34.5" customHeight="1">
      <c r="A39" s="137"/>
      <c r="B39"/>
      <c r="C39" s="140" t="s">
        <v>445</v>
      </c>
      <c r="D39" s="239" t="s">
        <v>439</v>
      </c>
      <c r="E39" s="240"/>
      <c r="F39" s="37" t="s">
        <v>438</v>
      </c>
      <c r="G39" s="237" t="s">
        <v>437</v>
      </c>
      <c r="H39" s="238"/>
      <c r="I39" s="141" t="s">
        <v>436</v>
      </c>
      <c r="J39" s="138"/>
      <c r="K39" s="139"/>
      <c r="L39" s="139"/>
    </row>
    <row r="40" s="31" customFormat="1" ht="34.5" customHeight="1">
      <c r="A40" s="137"/>
      <c r="B40"/>
      <c r="C40" s="140" t="s">
        <v>444</v>
      </c>
      <c r="D40" s="239" t="s">
        <v>434</v>
      </c>
      <c r="E40" s="240"/>
      <c r="F40" s="37" t="s">
        <v>433</v>
      </c>
      <c r="G40" s="237" t="s">
        <v>432</v>
      </c>
      <c r="H40" s="238"/>
      <c r="I40" s="141" t="s">
        <v>431</v>
      </c>
      <c r="J40" s="138"/>
      <c r="K40" s="139"/>
      <c r="L40" s="139"/>
    </row>
    <row r="41" s="31" customFormat="1" ht="34.5" customHeight="1">
      <c r="A41" s="137"/>
      <c r="B41"/>
      <c r="C41" s="140" t="s">
        <v>443</v>
      </c>
      <c r="D41" s="239" t="s">
        <v>434</v>
      </c>
      <c r="E41" s="240"/>
      <c r="F41" s="37" t="s">
        <v>433</v>
      </c>
      <c r="G41" s="237" t="s">
        <v>432</v>
      </c>
      <c r="H41" s="238"/>
      <c r="I41" s="141" t="s">
        <v>431</v>
      </c>
      <c r="J41" s="138"/>
      <c r="K41" s="139"/>
      <c r="L41" s="139"/>
    </row>
    <row r="42" s="31" customFormat="1" ht="34.5" customHeight="1">
      <c r="A42" s="137"/>
      <c r="B42"/>
      <c r="C42" s="140" t="s">
        <v>442</v>
      </c>
      <c r="D42" s="239" t="s">
        <v>441</v>
      </c>
      <c r="E42" s="240"/>
      <c r="F42" s="142"/>
      <c r="G42" s="237" t="s">
        <v>437</v>
      </c>
      <c r="H42" s="238"/>
      <c r="I42" s="141" t="s">
        <v>440</v>
      </c>
      <c r="J42" s="138"/>
      <c r="K42" s="139"/>
      <c r="L42" s="139"/>
    </row>
    <row r="43" s="31" customFormat="1" ht="34.5" customHeight="1">
      <c r="A43" s="137"/>
      <c r="B43"/>
      <c r="C43" s="140" t="s">
        <v>435</v>
      </c>
      <c r="D43" s="239" t="s">
        <v>439</v>
      </c>
      <c r="E43" s="240"/>
      <c r="F43" s="37" t="s">
        <v>438</v>
      </c>
      <c r="G43" s="237" t="s">
        <v>437</v>
      </c>
      <c r="H43" s="238"/>
      <c r="I43" s="141" t="s">
        <v>436</v>
      </c>
      <c r="J43" s="138"/>
      <c r="K43" s="139"/>
      <c r="L43" s="139"/>
    </row>
    <row r="44" s="31" customFormat="1" ht="34.5" customHeight="1">
      <c r="A44" s="137"/>
      <c r="B44"/>
      <c r="C44" s="140" t="s">
        <v>435</v>
      </c>
      <c r="D44" s="239" t="s">
        <v>434</v>
      </c>
      <c r="E44" s="240"/>
      <c r="F44" s="37" t="s">
        <v>433</v>
      </c>
      <c r="G44" s="237" t="s">
        <v>432</v>
      </c>
      <c r="H44" s="238"/>
      <c r="I44" s="141" t="s">
        <v>431</v>
      </c>
      <c r="J44" s="138"/>
      <c r="K44" s="139"/>
      <c r="L44" s="139"/>
    </row>
    <row r="45" s="31" customFormat="1" ht="34.5" customHeight="1">
      <c r="A45" s="30"/>
      <c r="B45" s="26"/>
      <c r="C45" s="28"/>
      <c r="D45" s="27"/>
      <c r="E45" s="27"/>
    </row>
    <row r="46" s="31" customFormat="1" ht="34.5" customHeight="1">
      <c r="A46" s="30"/>
      <c r="B46" s="26"/>
      <c r="C46" s="28"/>
      <c r="D46" s="27"/>
      <c r="E46" s="27"/>
    </row>
    <row r="47" s="31" customFormat="1" ht="34.5" customHeight="1">
      <c r="A47" s="30"/>
      <c r="B47" s="26"/>
      <c r="C47" s="27"/>
      <c r="D47" s="29"/>
      <c r="E47" s="27"/>
      <c r="F47" s="27"/>
      <c r="G47" s="26"/>
      <c r="H47" s="27"/>
      <c r="I47" s="26"/>
      <c r="J47" s="28"/>
      <c r="K47" s="27"/>
      <c r="L47" s="27"/>
    </row>
    <row r="48" s="31" customFormat="1" ht="34.5" customHeight="1">
      <c r="A48" s="30"/>
      <c r="B48" s="26"/>
      <c r="C48" s="27"/>
      <c r="D48" s="29"/>
      <c r="E48" s="27"/>
      <c r="F48" s="27"/>
      <c r="G48" s="26"/>
      <c r="H48" s="27"/>
      <c r="I48" s="26"/>
      <c r="J48" s="28"/>
      <c r="K48" s="27"/>
      <c r="L48" s="27"/>
    </row>
    <row r="49" s="33" customFormat="1" ht="18.75" customHeight="1">
      <c r="A49" s="30"/>
      <c r="B49" s="26"/>
      <c r="C49" s="27"/>
      <c r="D49" s="29"/>
      <c r="E49" s="27"/>
      <c r="F49" s="27"/>
      <c r="G49" s="26"/>
      <c r="H49" s="27"/>
      <c r="I49" s="26"/>
      <c r="J49" s="28"/>
      <c r="K49" s="27"/>
      <c r="L49" s="27"/>
      <c r="M49" s="31"/>
    </row>
    <row r="50" s="32" customFormat="1" ht="15">
      <c r="A50" s="30"/>
      <c r="B50" s="26"/>
      <c r="C50" s="27"/>
      <c r="D50" s="29"/>
      <c r="E50" s="27"/>
      <c r="F50" s="27"/>
      <c r="G50" s="26"/>
      <c r="H50" s="27"/>
      <c r="I50" s="26"/>
      <c r="J50" s="28"/>
      <c r="K50" s="27"/>
      <c r="L50" s="27"/>
      <c r="M50" s="31"/>
    </row>
    <row r="51" s="31" customFormat="1" ht="34.5" customHeight="1">
      <c r="A51" s="30"/>
      <c r="B51" s="26"/>
      <c r="C51" s="27"/>
      <c r="D51" s="29"/>
      <c r="E51" s="27"/>
      <c r="F51" s="27"/>
      <c r="G51" s="26"/>
      <c r="H51" s="27"/>
      <c r="I51" s="26"/>
      <c r="J51" s="28"/>
      <c r="K51" s="27"/>
      <c r="L51" s="27"/>
    </row>
    <row r="52" s="31" customFormat="1" ht="34.5" customHeight="1">
      <c r="A52" s="30"/>
      <c r="B52" s="26"/>
      <c r="C52" s="27"/>
      <c r="D52" s="29"/>
      <c r="E52" s="27"/>
      <c r="F52" s="27"/>
      <c r="G52" s="26"/>
      <c r="H52" s="27"/>
      <c r="I52" s="26"/>
      <c r="J52" s="28"/>
      <c r="K52" s="27"/>
      <c r="L52" s="27"/>
    </row>
    <row r="53" s="31" customFormat="1" ht="34.5" customHeight="1">
      <c r="A53" s="30"/>
      <c r="B53" s="26"/>
      <c r="C53" s="27"/>
      <c r="D53" s="29"/>
      <c r="E53" s="27"/>
      <c r="F53" s="27"/>
      <c r="G53" s="26"/>
      <c r="H53" s="27"/>
      <c r="I53" s="26"/>
      <c r="J53" s="28"/>
      <c r="K53" s="27"/>
      <c r="L53" s="27"/>
    </row>
    <row r="54" s="31" customFormat="1" ht="34.5" customHeight="1">
      <c r="A54" s="30"/>
      <c r="B54" s="26"/>
      <c r="C54" s="27"/>
      <c r="D54" s="29"/>
      <c r="E54" s="27"/>
      <c r="F54" s="27"/>
      <c r="G54" s="26"/>
      <c r="H54" s="27"/>
      <c r="I54" s="26"/>
      <c r="J54" s="28"/>
      <c r="K54" s="27"/>
      <c r="L54" s="27"/>
    </row>
    <row r="55" s="31" customFormat="1" ht="34.5" customHeight="1">
      <c r="A55" s="30"/>
      <c r="B55" s="26"/>
      <c r="C55" s="27"/>
      <c r="D55" s="29"/>
      <c r="E55" s="27"/>
      <c r="F55" s="27"/>
      <c r="G55" s="26"/>
      <c r="H55" s="27"/>
      <c r="I55" s="26"/>
      <c r="J55" s="28"/>
      <c r="K55" s="27"/>
      <c r="L55" s="27"/>
    </row>
    <row r="56" s="33" customFormat="1" ht="18.75" customHeight="1">
      <c r="A56" s="30"/>
      <c r="B56" s="26"/>
      <c r="C56" s="27"/>
      <c r="D56" s="29"/>
      <c r="E56" s="27"/>
      <c r="F56" s="27"/>
      <c r="G56" s="26"/>
      <c r="H56" s="27"/>
      <c r="I56" s="26"/>
      <c r="J56" s="28"/>
      <c r="K56" s="27"/>
      <c r="L56" s="27"/>
      <c r="M56" s="31"/>
    </row>
    <row r="57" s="32" customFormat="1" ht="15">
      <c r="A57" s="30"/>
      <c r="B57" s="26"/>
      <c r="C57" s="27"/>
      <c r="D57" s="29"/>
      <c r="E57" s="27"/>
      <c r="F57" s="27"/>
      <c r="G57" s="26"/>
      <c r="H57" s="27"/>
      <c r="I57" s="26"/>
      <c r="J57" s="28"/>
      <c r="K57" s="27"/>
      <c r="L57" s="27"/>
      <c r="M57" s="31"/>
    </row>
    <row r="58" s="33" customFormat="1" ht="18.75" customHeight="1">
      <c r="A58" s="30"/>
      <c r="B58" s="26"/>
      <c r="C58" s="27"/>
      <c r="D58" s="29"/>
      <c r="E58" s="27"/>
      <c r="F58" s="27"/>
      <c r="G58" s="26"/>
      <c r="H58" s="27"/>
      <c r="I58" s="26"/>
      <c r="J58" s="28"/>
      <c r="K58" s="27"/>
      <c r="L58" s="27"/>
      <c r="M58" s="31"/>
    </row>
    <row r="59" s="32" customFormat="1" ht="38.25" customHeight="1">
      <c r="A59" s="30"/>
      <c r="B59" s="26"/>
      <c r="C59" s="27"/>
      <c r="D59" s="29"/>
      <c r="E59" s="27"/>
      <c r="F59" s="27"/>
      <c r="G59" s="26"/>
      <c r="H59" s="27"/>
      <c r="I59" s="26"/>
      <c r="J59" s="28"/>
      <c r="K59" s="27"/>
      <c r="L59" s="27"/>
      <c r="M59" s="31"/>
    </row>
    <row r="60" s="31" customFormat="1" ht="34.5" customHeight="1">
      <c r="A60" s="30"/>
      <c r="B60" s="26"/>
      <c r="C60" s="27"/>
      <c r="D60" s="29"/>
      <c r="E60" s="27"/>
      <c r="F60" s="27"/>
      <c r="G60" s="26"/>
      <c r="H60" s="27"/>
      <c r="I60" s="26"/>
      <c r="J60" s="28"/>
      <c r="K60" s="27"/>
      <c r="L60" s="27"/>
    </row>
    <row r="61" s="31" customFormat="1" ht="34.5" customHeight="1">
      <c r="A61" s="30"/>
      <c r="B61" s="26"/>
      <c r="C61" s="27"/>
      <c r="D61" s="29"/>
      <c r="E61" s="27"/>
      <c r="F61" s="27"/>
      <c r="G61" s="26"/>
      <c r="H61" s="27"/>
      <c r="I61" s="26"/>
      <c r="J61" s="28"/>
      <c r="K61" s="27"/>
      <c r="L61" s="27"/>
    </row>
    <row r="62" s="31" customFormat="1" ht="34.5" customHeight="1">
      <c r="A62" s="30"/>
      <c r="B62" s="26"/>
      <c r="C62" s="27"/>
      <c r="D62" s="29"/>
      <c r="E62" s="27"/>
      <c r="F62" s="27"/>
      <c r="G62" s="26"/>
      <c r="H62" s="27"/>
      <c r="I62" s="26"/>
      <c r="J62" s="28"/>
      <c r="K62" s="27"/>
      <c r="L62" s="27"/>
    </row>
    <row r="63" s="31" customFormat="1" ht="34.5" customHeight="1">
      <c r="A63" s="30"/>
      <c r="B63" s="26"/>
      <c r="C63" s="27"/>
      <c r="D63" s="29"/>
      <c r="E63" s="27"/>
      <c r="F63" s="27"/>
      <c r="G63" s="26"/>
      <c r="H63" s="27"/>
      <c r="I63" s="26"/>
      <c r="J63" s="28"/>
      <c r="K63" s="27"/>
      <c r="L63" s="27"/>
    </row>
    <row r="64" s="31" customFormat="1" ht="34.5" customHeight="1">
      <c r="A64" s="30"/>
      <c r="B64" s="26"/>
      <c r="C64" s="27"/>
      <c r="D64" s="29"/>
      <c r="E64" s="27"/>
      <c r="F64" s="27"/>
      <c r="G64" s="26"/>
      <c r="H64" s="27"/>
      <c r="I64" s="26"/>
      <c r="J64" s="28"/>
      <c r="K64" s="27"/>
      <c r="L64" s="27"/>
    </row>
    <row r="65" s="31" customFormat="1" ht="34.5" customHeight="1">
      <c r="A65" s="30"/>
      <c r="B65" s="26"/>
      <c r="C65" s="27"/>
      <c r="D65" s="29"/>
      <c r="E65" s="27"/>
      <c r="F65" s="27"/>
      <c r="G65" s="26"/>
      <c r="H65" s="27"/>
      <c r="I65" s="26"/>
      <c r="J65" s="28"/>
      <c r="K65" s="27"/>
      <c r="L65" s="27"/>
    </row>
    <row r="66" s="31" customFormat="1" ht="34.5" customHeight="1">
      <c r="A66" s="30"/>
      <c r="B66" s="26"/>
      <c r="C66" s="27"/>
      <c r="D66" s="29"/>
      <c r="E66" s="27"/>
      <c r="F66" s="27"/>
      <c r="G66" s="26"/>
      <c r="H66" s="27"/>
      <c r="I66" s="26"/>
      <c r="J66" s="28"/>
      <c r="K66" s="27"/>
      <c r="L66" s="27"/>
    </row>
    <row r="67" s="31" customFormat="1" ht="34.5" customHeight="1">
      <c r="A67" s="30"/>
      <c r="B67" s="26"/>
      <c r="C67" s="27"/>
      <c r="D67" s="29"/>
      <c r="E67" s="27"/>
      <c r="F67" s="27"/>
      <c r="G67" s="26"/>
      <c r="H67" s="27"/>
      <c r="I67" s="26"/>
      <c r="J67" s="28"/>
      <c r="K67" s="27"/>
      <c r="L67" s="27"/>
    </row>
    <row r="68" s="31" customFormat="1" ht="34.5" customHeight="1">
      <c r="A68" s="30"/>
      <c r="B68" s="26"/>
      <c r="C68" s="27"/>
      <c r="D68" s="29"/>
      <c r="E68" s="27"/>
      <c r="F68" s="27"/>
      <c r="G68" s="26"/>
      <c r="H68" s="27"/>
      <c r="I68" s="26"/>
      <c r="J68" s="28"/>
      <c r="K68" s="27"/>
      <c r="L68" s="27"/>
    </row>
    <row r="69" s="31" customFormat="1" ht="34.5" customHeight="1">
      <c r="A69" s="30"/>
      <c r="B69" s="26"/>
      <c r="C69" s="27"/>
      <c r="D69" s="29"/>
      <c r="E69" s="27"/>
      <c r="F69" s="27"/>
      <c r="G69" s="26"/>
      <c r="H69" s="27"/>
      <c r="I69" s="26"/>
      <c r="J69" s="28"/>
      <c r="K69" s="27"/>
      <c r="L69" s="27"/>
    </row>
    <row r="70" s="31" customFormat="1" ht="34.5" customHeight="1">
      <c r="A70" s="30"/>
      <c r="B70" s="26"/>
      <c r="C70" s="27"/>
      <c r="D70" s="29"/>
      <c r="E70" s="27"/>
      <c r="F70" s="27"/>
      <c r="G70" s="26"/>
      <c r="H70" s="27"/>
      <c r="I70" s="26"/>
      <c r="J70" s="28"/>
      <c r="K70" s="27"/>
      <c r="L70" s="27"/>
    </row>
    <row r="71" s="31" customFormat="1" ht="34.5" customHeight="1">
      <c r="A71" s="30"/>
      <c r="B71" s="26"/>
      <c r="C71" s="27"/>
      <c r="D71" s="29"/>
      <c r="E71" s="27"/>
      <c r="F71" s="27"/>
      <c r="G71" s="26"/>
      <c r="H71" s="27"/>
      <c r="I71" s="26"/>
      <c r="J71" s="28"/>
      <c r="K71" s="27"/>
      <c r="L71" s="27"/>
    </row>
    <row r="72" s="31" customFormat="1" ht="34.5" customHeight="1">
      <c r="A72" s="30"/>
      <c r="B72" s="26"/>
      <c r="C72" s="27"/>
      <c r="D72" s="29"/>
      <c r="E72" s="27"/>
      <c r="F72" s="27"/>
      <c r="G72" s="26"/>
      <c r="H72" s="27"/>
      <c r="I72" s="26"/>
      <c r="J72" s="28"/>
      <c r="K72" s="27"/>
      <c r="L72" s="27"/>
    </row>
    <row r="73" s="31" customFormat="1" ht="34.5" customHeight="1">
      <c r="A73" s="30"/>
      <c r="B73" s="26"/>
      <c r="C73" s="27"/>
      <c r="D73" s="29"/>
      <c r="E73" s="27"/>
      <c r="F73" s="27"/>
      <c r="G73" s="26"/>
      <c r="H73" s="27"/>
      <c r="I73" s="26"/>
      <c r="J73" s="28"/>
      <c r="K73" s="27"/>
      <c r="L73" s="27"/>
    </row>
    <row r="74" s="31" customFormat="1" ht="34.5" customHeight="1">
      <c r="A74" s="30"/>
      <c r="B74" s="26"/>
      <c r="C74" s="27"/>
      <c r="D74" s="29"/>
      <c r="E74" s="27"/>
      <c r="F74" s="27"/>
      <c r="G74" s="26"/>
      <c r="H74" s="27"/>
      <c r="I74" s="26"/>
      <c r="J74" s="28"/>
      <c r="K74" s="27"/>
      <c r="L74" s="27"/>
    </row>
    <row r="75" s="31" customFormat="1" ht="34.5" customHeight="1">
      <c r="A75" s="30"/>
      <c r="B75" s="26"/>
      <c r="C75" s="27"/>
      <c r="D75" s="29"/>
      <c r="E75" s="27"/>
      <c r="F75" s="27"/>
      <c r="G75" s="26"/>
      <c r="H75" s="27"/>
      <c r="I75" s="26"/>
      <c r="J75" s="28"/>
      <c r="K75" s="27"/>
      <c r="L75" s="27"/>
    </row>
    <row r="76" s="31" customFormat="1" ht="34.5" customHeight="1">
      <c r="A76" s="30"/>
      <c r="B76" s="26"/>
      <c r="C76" s="27"/>
      <c r="D76" s="29"/>
      <c r="E76" s="27"/>
      <c r="F76" s="27"/>
      <c r="G76" s="26"/>
      <c r="H76" s="27"/>
      <c r="I76" s="26"/>
      <c r="J76" s="28"/>
      <c r="K76" s="27"/>
      <c r="L76" s="27"/>
    </row>
    <row r="77" s="31" customFormat="1" ht="34.5" customHeight="1">
      <c r="A77" s="30"/>
      <c r="B77" s="26"/>
      <c r="C77" s="27"/>
      <c r="D77" s="29"/>
      <c r="E77" s="27"/>
      <c r="F77" s="27"/>
      <c r="G77" s="26"/>
      <c r="H77" s="27"/>
      <c r="I77" s="26"/>
      <c r="J77" s="28"/>
      <c r="K77" s="27"/>
      <c r="L77" s="27"/>
    </row>
    <row r="78" s="31" customFormat="1" ht="34.5" customHeight="1">
      <c r="A78" s="30"/>
      <c r="B78" s="26"/>
      <c r="C78" s="27"/>
      <c r="D78" s="29"/>
      <c r="E78" s="27"/>
      <c r="F78" s="27"/>
      <c r="G78" s="26"/>
      <c r="H78" s="27"/>
      <c r="I78" s="26"/>
      <c r="J78" s="28"/>
      <c r="K78" s="27"/>
      <c r="L78" s="27"/>
    </row>
    <row r="79" s="31" customFormat="1" ht="34.5" customHeight="1">
      <c r="A79" s="30"/>
      <c r="B79" s="26"/>
      <c r="C79" s="27"/>
      <c r="D79" s="29"/>
      <c r="E79" s="27"/>
      <c r="F79" s="27"/>
      <c r="G79" s="26"/>
      <c r="H79" s="27"/>
      <c r="I79" s="26"/>
      <c r="J79" s="28"/>
      <c r="K79" s="27"/>
      <c r="L79" s="27"/>
      <c r="M79" s="33"/>
    </row>
    <row r="80" s="31" customFormat="1" ht="34.5" customHeight="1">
      <c r="A80" s="30"/>
      <c r="B80" s="26"/>
      <c r="C80" s="27"/>
      <c r="D80" s="29"/>
      <c r="E80" s="27"/>
      <c r="F80" s="27"/>
      <c r="G80" s="26"/>
      <c r="H80" s="27"/>
      <c r="I80" s="26"/>
      <c r="J80" s="28"/>
      <c r="K80" s="27"/>
      <c r="L80" s="27"/>
      <c r="M80" s="32"/>
    </row>
    <row r="81" s="31" customFormat="1" ht="34.5" customHeight="1">
      <c r="A81" s="30"/>
      <c r="B81" s="26"/>
      <c r="C81" s="27"/>
      <c r="D81" s="29"/>
      <c r="E81" s="27"/>
      <c r="F81" s="27"/>
      <c r="G81" s="26"/>
      <c r="H81" s="27"/>
      <c r="I81" s="26"/>
      <c r="J81" s="28"/>
      <c r="K81" s="27"/>
      <c r="L81" s="27"/>
    </row>
    <row r="82" s="31" customFormat="1" ht="34.5" customHeight="1">
      <c r="A82" s="30"/>
      <c r="B82" s="26"/>
      <c r="C82" s="27"/>
      <c r="D82" s="29"/>
      <c r="E82" s="27"/>
      <c r="F82" s="27"/>
      <c r="G82" s="26"/>
      <c r="H82" s="27"/>
      <c r="I82" s="26"/>
      <c r="J82" s="28"/>
      <c r="K82" s="27"/>
      <c r="L82" s="27"/>
    </row>
    <row r="83" s="31" customFormat="1" ht="34.5" customHeight="1">
      <c r="A83" s="30"/>
      <c r="B83" s="26"/>
      <c r="C83" s="27"/>
      <c r="D83" s="29"/>
      <c r="E83" s="27"/>
      <c r="F83" s="27"/>
      <c r="G83" s="26"/>
      <c r="H83" s="27"/>
      <c r="I83" s="26"/>
      <c r="J83" s="28"/>
      <c r="K83" s="27"/>
      <c r="L83" s="27"/>
    </row>
    <row r="84" s="31" customFormat="1" ht="34.5" customHeight="1">
      <c r="A84" s="30"/>
      <c r="B84" s="26"/>
      <c r="C84" s="27"/>
      <c r="D84" s="29"/>
      <c r="E84" s="27"/>
      <c r="F84" s="27"/>
      <c r="G84" s="26"/>
      <c r="H84" s="27"/>
      <c r="I84" s="26"/>
      <c r="J84" s="28"/>
      <c r="K84" s="27"/>
      <c r="L84" s="27"/>
    </row>
    <row r="85" s="31" customFormat="1" ht="34.5" customHeight="1">
      <c r="A85" s="30"/>
      <c r="B85" s="26"/>
      <c r="C85" s="27"/>
      <c r="D85" s="29"/>
      <c r="E85" s="27"/>
      <c r="F85" s="27"/>
      <c r="G85" s="26"/>
      <c r="H85" s="27"/>
      <c r="I85" s="26"/>
      <c r="J85" s="28"/>
      <c r="K85" s="27"/>
      <c r="L85" s="27"/>
    </row>
    <row r="86" s="31" customFormat="1" ht="34.5" customHeight="1">
      <c r="A86" s="30"/>
      <c r="B86" s="26"/>
      <c r="C86" s="27"/>
      <c r="D86" s="29"/>
      <c r="E86" s="27"/>
      <c r="F86" s="27"/>
      <c r="G86" s="26"/>
      <c r="H86" s="27"/>
      <c r="I86" s="26"/>
      <c r="J86" s="28"/>
      <c r="K86" s="27"/>
      <c r="L86" s="27"/>
    </row>
    <row r="87" s="31" customFormat="1" ht="34.5" customHeight="1">
      <c r="A87" s="30"/>
      <c r="B87" s="26"/>
      <c r="C87" s="27"/>
      <c r="D87" s="29"/>
      <c r="E87" s="27"/>
      <c r="F87" s="27"/>
      <c r="G87" s="26"/>
      <c r="H87" s="27"/>
      <c r="I87" s="26"/>
      <c r="J87" s="28"/>
      <c r="K87" s="27"/>
      <c r="L87" s="27"/>
    </row>
    <row r="88" s="31" customFormat="1" ht="34.5" customHeight="1">
      <c r="A88" s="30"/>
      <c r="B88" s="26"/>
      <c r="C88" s="27"/>
      <c r="D88" s="29"/>
      <c r="E88" s="27"/>
      <c r="F88" s="27"/>
      <c r="G88" s="26"/>
      <c r="H88" s="27"/>
      <c r="I88" s="26"/>
      <c r="J88" s="28"/>
      <c r="K88" s="27"/>
      <c r="L88" s="27"/>
    </row>
    <row r="89" s="31" customFormat="1" ht="34.5" customHeight="1">
      <c r="A89" s="30"/>
      <c r="B89" s="26"/>
      <c r="C89" s="27"/>
      <c r="D89" s="29"/>
      <c r="E89" s="27"/>
      <c r="F89" s="27"/>
      <c r="G89" s="26"/>
      <c r="H89" s="27"/>
      <c r="I89" s="26"/>
      <c r="J89" s="28"/>
      <c r="K89" s="27"/>
      <c r="L89" s="27"/>
    </row>
    <row r="90" s="31" customFormat="1" ht="34.5" customHeight="1">
      <c r="A90" s="30"/>
      <c r="B90" s="26"/>
      <c r="C90" s="27"/>
      <c r="D90" s="29"/>
      <c r="E90" s="27"/>
      <c r="F90" s="27"/>
      <c r="G90" s="26"/>
      <c r="H90" s="27"/>
      <c r="I90" s="26"/>
      <c r="J90" s="28"/>
      <c r="K90" s="27"/>
      <c r="L90" s="27"/>
    </row>
    <row r="91" s="31" customFormat="1" ht="34.5" customHeight="1">
      <c r="A91" s="30"/>
      <c r="B91" s="26"/>
      <c r="C91" s="27"/>
      <c r="D91" s="29"/>
      <c r="E91" s="27"/>
      <c r="F91" s="27"/>
      <c r="G91" s="26"/>
      <c r="H91" s="27"/>
      <c r="I91" s="26"/>
      <c r="J91" s="28"/>
      <c r="K91" s="27"/>
      <c r="L91" s="27"/>
    </row>
    <row r="92" s="31" customFormat="1" ht="34.5" customHeight="1">
      <c r="A92" s="30"/>
      <c r="B92" s="26"/>
      <c r="C92" s="27"/>
      <c r="D92" s="29"/>
      <c r="E92" s="27"/>
      <c r="F92" s="27"/>
      <c r="G92" s="26"/>
      <c r="H92" s="27"/>
      <c r="I92" s="26"/>
      <c r="J92" s="28"/>
      <c r="K92" s="27"/>
      <c r="L92" s="27"/>
    </row>
    <row r="93" s="31" customFormat="1" ht="34.5" customHeight="1">
      <c r="A93" s="30"/>
      <c r="B93" s="26"/>
      <c r="C93" s="27"/>
      <c r="D93" s="29"/>
      <c r="E93" s="27"/>
      <c r="F93" s="27"/>
      <c r="G93" s="26"/>
      <c r="H93" s="27"/>
      <c r="I93" s="26"/>
      <c r="J93" s="28"/>
      <c r="K93" s="27"/>
      <c r="L93" s="27"/>
    </row>
    <row r="94" s="31" customFormat="1" ht="34.5" customHeight="1">
      <c r="A94" s="30"/>
      <c r="B94" s="26"/>
      <c r="C94" s="27"/>
      <c r="D94" s="29"/>
      <c r="E94" s="27"/>
      <c r="F94" s="27"/>
      <c r="G94" s="26"/>
      <c r="H94" s="27"/>
      <c r="I94" s="26"/>
      <c r="J94" s="28"/>
      <c r="K94" s="27"/>
      <c r="L94" s="27"/>
    </row>
    <row r="95" s="31" customFormat="1" ht="34.5" customHeight="1">
      <c r="A95" s="30"/>
      <c r="B95" s="26"/>
      <c r="C95" s="27"/>
      <c r="D95" s="29"/>
      <c r="E95" s="27"/>
      <c r="F95" s="27"/>
      <c r="G95" s="26"/>
      <c r="H95" s="27"/>
      <c r="I95" s="26"/>
      <c r="J95" s="28"/>
      <c r="K95" s="27"/>
      <c r="L95" s="27"/>
    </row>
    <row r="96" s="33" customFormat="1" ht="18.75" customHeight="1">
      <c r="A96" s="30"/>
      <c r="B96" s="26"/>
      <c r="C96" s="27"/>
      <c r="D96" s="29"/>
      <c r="E96" s="27"/>
      <c r="F96" s="27"/>
      <c r="G96" s="26"/>
      <c r="H96" s="27"/>
      <c r="I96" s="26"/>
      <c r="J96" s="28"/>
      <c r="K96" s="27"/>
      <c r="L96" s="27"/>
      <c r="M96" s="31"/>
    </row>
    <row r="97" s="32" customFormat="1" ht="38.25" customHeight="1">
      <c r="A97" s="30"/>
      <c r="B97" s="26"/>
      <c r="C97" s="27"/>
      <c r="D97" s="29"/>
      <c r="E97" s="27"/>
      <c r="F97" s="27"/>
      <c r="G97" s="26"/>
      <c r="H97" s="27"/>
      <c r="I97" s="26"/>
      <c r="J97" s="28"/>
      <c r="K97" s="27"/>
      <c r="L97" s="27"/>
      <c r="M97" s="31"/>
    </row>
    <row r="98" s="31" customFormat="1" ht="34.5" customHeight="1">
      <c r="A98" s="30"/>
      <c r="B98" s="26"/>
      <c r="C98" s="27"/>
      <c r="D98" s="29"/>
      <c r="E98" s="27"/>
      <c r="F98" s="27"/>
      <c r="G98" s="26"/>
      <c r="H98" s="27"/>
      <c r="I98" s="26"/>
      <c r="J98" s="28"/>
      <c r="K98" s="27"/>
      <c r="L98" s="27"/>
    </row>
    <row r="99" s="31" customFormat="1" ht="34.5" customHeight="1">
      <c r="A99" s="30"/>
      <c r="B99" s="26"/>
      <c r="C99" s="27"/>
      <c r="D99" s="29"/>
      <c r="E99" s="27"/>
      <c r="F99" s="27"/>
      <c r="G99" s="26"/>
      <c r="H99" s="27"/>
      <c r="I99" s="26"/>
      <c r="J99" s="28"/>
      <c r="K99" s="27"/>
      <c r="L99" s="27"/>
    </row>
    <row r="100" s="31" customFormat="1" ht="34.5" customHeight="1">
      <c r="A100" s="30"/>
      <c r="B100" s="26"/>
      <c r="C100" s="27"/>
      <c r="D100" s="29"/>
      <c r="E100" s="27"/>
      <c r="F100" s="27"/>
      <c r="G100" s="26"/>
      <c r="H100" s="27"/>
      <c r="I100" s="26"/>
      <c r="J100" s="28"/>
      <c r="K100" s="27"/>
      <c r="L100" s="27"/>
    </row>
    <row r="101" s="31" customFormat="1" ht="34.5" customHeight="1">
      <c r="A101" s="30"/>
      <c r="B101" s="26"/>
      <c r="C101" s="27"/>
      <c r="D101" s="29"/>
      <c r="E101" s="27"/>
      <c r="F101" s="27"/>
      <c r="G101" s="26"/>
      <c r="H101" s="27"/>
      <c r="I101" s="26"/>
      <c r="J101" s="28"/>
      <c r="K101" s="27"/>
      <c r="L101" s="27"/>
    </row>
    <row r="102" s="31" customFormat="1" ht="34.5" customHeight="1">
      <c r="A102" s="30"/>
      <c r="B102" s="26"/>
      <c r="C102" s="27"/>
      <c r="D102" s="29"/>
      <c r="E102" s="27"/>
      <c r="F102" s="27"/>
      <c r="G102" s="26"/>
      <c r="H102" s="27"/>
      <c r="I102" s="26"/>
      <c r="J102" s="28"/>
      <c r="K102" s="27"/>
      <c r="L102" s="27"/>
      <c r="M102" s="36"/>
    </row>
    <row r="103" s="31" customFormat="1" ht="34.5" customHeight="1">
      <c r="A103" s="30"/>
      <c r="B103" s="26"/>
      <c r="C103" s="27"/>
      <c r="D103" s="29"/>
      <c r="E103" s="27"/>
      <c r="F103" s="27"/>
      <c r="G103" s="26"/>
      <c r="H103" s="27"/>
      <c r="I103" s="26"/>
      <c r="J103" s="28"/>
      <c r="K103" s="27"/>
      <c r="L103" s="27"/>
      <c r="M103" s="36"/>
    </row>
    <row r="104" s="31" customFormat="1" ht="34.5" customHeight="1">
      <c r="A104" s="30"/>
      <c r="B104" s="26"/>
      <c r="C104" s="27"/>
      <c r="D104" s="29"/>
      <c r="E104" s="27"/>
      <c r="F104" s="27"/>
      <c r="G104" s="26"/>
      <c r="H104" s="27"/>
      <c r="I104" s="26"/>
      <c r="J104" s="28"/>
      <c r="K104" s="27"/>
      <c r="L104" s="27"/>
      <c r="M104" s="36"/>
    </row>
    <row r="105" s="31" customFormat="1" ht="34.5" customHeight="1">
      <c r="A105" s="30"/>
      <c r="B105" s="26"/>
      <c r="C105" s="27"/>
      <c r="D105" s="29"/>
      <c r="E105" s="27"/>
      <c r="F105" s="27"/>
      <c r="G105" s="26"/>
      <c r="H105" s="27"/>
      <c r="I105" s="26"/>
      <c r="J105" s="28"/>
      <c r="K105" s="27"/>
      <c r="L105" s="27"/>
      <c r="M105" s="36"/>
    </row>
    <row r="106" s="31" customFormat="1" ht="34.5" customHeight="1">
      <c r="A106" s="30"/>
      <c r="B106" s="26"/>
      <c r="C106" s="27"/>
      <c r="D106" s="29"/>
      <c r="E106" s="27"/>
      <c r="F106" s="27"/>
      <c r="G106" s="26"/>
      <c r="H106" s="27"/>
      <c r="I106" s="26"/>
      <c r="J106" s="28"/>
      <c r="K106" s="27"/>
      <c r="L106" s="27"/>
      <c r="M106" s="36"/>
    </row>
    <row r="107" s="31" customFormat="1" ht="34.5" customHeight="1">
      <c r="A107" s="30"/>
      <c r="B107" s="26"/>
      <c r="C107" s="27"/>
      <c r="D107" s="29"/>
      <c r="E107" s="27"/>
      <c r="F107" s="27"/>
      <c r="G107" s="26"/>
      <c r="H107" s="27"/>
      <c r="I107" s="26"/>
      <c r="J107" s="28"/>
      <c r="K107" s="27"/>
      <c r="L107" s="27"/>
      <c r="M107" s="36"/>
    </row>
    <row r="108" s="31" customFormat="1" ht="34.5" customHeight="1">
      <c r="A108" s="30"/>
      <c r="B108" s="26"/>
      <c r="C108" s="27"/>
      <c r="D108" s="29"/>
      <c r="E108" s="27"/>
      <c r="F108" s="27"/>
      <c r="G108" s="26"/>
      <c r="H108" s="27"/>
      <c r="I108" s="26"/>
      <c r="J108" s="28"/>
      <c r="K108" s="27"/>
      <c r="L108" s="27"/>
      <c r="M108" s="34"/>
    </row>
    <row r="109" s="31" customFormat="1" ht="34.5" customHeight="1">
      <c r="A109" s="30"/>
      <c r="B109" s="26"/>
      <c r="C109" s="27"/>
      <c r="D109" s="29"/>
      <c r="E109" s="27"/>
      <c r="F109" s="27"/>
      <c r="G109" s="26"/>
      <c r="H109" s="27"/>
      <c r="I109" s="26"/>
      <c r="J109" s="28"/>
      <c r="K109" s="27"/>
      <c r="L109" s="27"/>
      <c r="M109" s="36"/>
    </row>
    <row r="110" s="31" customFormat="1" ht="34.5" customHeight="1">
      <c r="A110" s="30"/>
      <c r="B110" s="26"/>
      <c r="C110" s="27"/>
      <c r="D110" s="29"/>
      <c r="E110" s="27"/>
      <c r="F110" s="27"/>
      <c r="G110" s="26"/>
      <c r="H110" s="27"/>
      <c r="I110" s="26"/>
      <c r="J110" s="28"/>
      <c r="K110" s="27"/>
      <c r="L110" s="27"/>
      <c r="M110" s="35"/>
    </row>
    <row r="111" s="31" customFormat="1" ht="34.5" customHeight="1">
      <c r="A111" s="30"/>
      <c r="B111" s="26"/>
      <c r="C111" s="27"/>
      <c r="D111" s="29"/>
      <c r="E111" s="27"/>
      <c r="F111" s="27"/>
      <c r="G111" s="26"/>
      <c r="H111" s="27"/>
      <c r="I111" s="26"/>
      <c r="J111" s="28"/>
      <c r="K111" s="27"/>
      <c r="L111" s="27"/>
      <c r="M111" s="35"/>
    </row>
    <row r="112" s="31" customFormat="1" ht="34.5" customHeight="1">
      <c r="A112" s="30"/>
      <c r="B112" s="26"/>
      <c r="C112" s="27"/>
      <c r="D112" s="29"/>
      <c r="E112" s="27"/>
      <c r="F112" s="27"/>
      <c r="G112" s="26"/>
      <c r="H112" s="27"/>
      <c r="I112" s="26"/>
      <c r="J112" s="28"/>
      <c r="K112" s="27"/>
      <c r="L112" s="27"/>
      <c r="M112" s="34"/>
    </row>
    <row r="113" s="31" customFormat="1" ht="34.5" customHeight="1">
      <c r="A113" s="30"/>
      <c r="B113" s="26"/>
      <c r="C113" s="27"/>
      <c r="D113" s="29"/>
      <c r="E113" s="27"/>
      <c r="F113" s="27"/>
      <c r="G113" s="26"/>
      <c r="H113" s="27"/>
      <c r="I113" s="26"/>
      <c r="J113" s="28"/>
      <c r="K113" s="27"/>
      <c r="L113" s="27"/>
      <c r="M113" s="33"/>
    </row>
    <row r="114" s="31" customFormat="1" ht="34.5" customHeight="1">
      <c r="A114" s="30"/>
      <c r="B114" s="26"/>
      <c r="C114" s="27"/>
      <c r="D114" s="29"/>
      <c r="E114" s="27"/>
      <c r="F114" s="27"/>
      <c r="G114" s="26"/>
      <c r="H114" s="27"/>
      <c r="I114" s="26"/>
      <c r="J114" s="28"/>
      <c r="K114" s="27"/>
      <c r="L114" s="27"/>
      <c r="M114" s="32"/>
    </row>
    <row r="115" s="31" customFormat="1" ht="34.5" customHeight="1">
      <c r="A115" s="30"/>
      <c r="B115" s="26"/>
      <c r="C115" s="27"/>
      <c r="D115" s="29"/>
      <c r="E115" s="27"/>
      <c r="F115" s="27"/>
      <c r="G115" s="26"/>
      <c r="H115" s="27"/>
      <c r="I115" s="26"/>
      <c r="J115" s="28"/>
      <c r="K115" s="27"/>
      <c r="L115" s="27"/>
    </row>
    <row r="116" s="31" customFormat="1" ht="34.5" customHeight="1">
      <c r="A116" s="30"/>
      <c r="B116" s="26"/>
      <c r="C116" s="27"/>
      <c r="D116" s="29"/>
      <c r="E116" s="27"/>
      <c r="F116" s="27"/>
      <c r="G116" s="26"/>
      <c r="H116" s="27"/>
      <c r="I116" s="26"/>
      <c r="J116" s="28"/>
      <c r="K116" s="27"/>
      <c r="L116" s="27"/>
    </row>
    <row r="117" s="31" customFormat="1" ht="34.5" customHeight="1">
      <c r="A117" s="30"/>
      <c r="B117" s="26"/>
      <c r="C117" s="27"/>
      <c r="D117" s="29"/>
      <c r="E117" s="27"/>
      <c r="F117" s="27"/>
      <c r="G117" s="26"/>
      <c r="H117" s="27"/>
      <c r="I117" s="26"/>
      <c r="J117" s="28"/>
      <c r="K117" s="27"/>
      <c r="L117" s="27"/>
    </row>
    <row r="118" s="31" customFormat="1" ht="34.5" customHeight="1">
      <c r="A118" s="30"/>
      <c r="B118" s="26"/>
      <c r="C118" s="27"/>
      <c r="D118" s="29"/>
      <c r="E118" s="27"/>
      <c r="F118" s="27"/>
      <c r="G118" s="26"/>
      <c r="H118" s="27"/>
      <c r="I118" s="26"/>
      <c r="J118" s="28"/>
      <c r="K118" s="27"/>
      <c r="L118" s="27"/>
    </row>
    <row r="119" s="36" customFormat="1" ht="28.5" customHeight="1">
      <c r="A119" s="30"/>
      <c r="B119" s="26"/>
      <c r="C119" s="27"/>
      <c r="D119" s="29"/>
      <c r="E119" s="27"/>
      <c r="F119" s="27"/>
      <c r="G119" s="26"/>
      <c r="H119" s="27"/>
      <c r="I119" s="26"/>
      <c r="J119" s="28"/>
      <c r="K119" s="27"/>
      <c r="L119" s="27"/>
      <c r="M119" s="31"/>
    </row>
    <row r="120" s="36" customFormat="1" ht="17.25" customHeight="1">
      <c r="A120" s="30"/>
      <c r="B120" s="26"/>
      <c r="C120" s="27"/>
      <c r="D120" s="29"/>
      <c r="E120" s="27"/>
      <c r="F120" s="27"/>
      <c r="G120" s="26"/>
      <c r="H120" s="27"/>
      <c r="I120" s="26"/>
      <c r="J120" s="28"/>
      <c r="K120" s="27"/>
      <c r="L120" s="27"/>
      <c r="M120" s="31"/>
    </row>
    <row r="121" s="36" customFormat="1" ht="28.5" customHeight="1">
      <c r="A121" s="30"/>
      <c r="B121" s="26"/>
      <c r="C121" s="27"/>
      <c r="D121" s="29"/>
      <c r="E121" s="27"/>
      <c r="F121" s="27"/>
      <c r="G121" s="26"/>
      <c r="H121" s="27"/>
      <c r="I121" s="26"/>
      <c r="J121" s="28"/>
      <c r="K121" s="27"/>
      <c r="L121" s="27"/>
      <c r="M121" s="31"/>
    </row>
    <row r="122" s="36" customFormat="1" ht="28.5" customHeight="1">
      <c r="A122" s="30"/>
      <c r="B122" s="26"/>
      <c r="C122" s="27"/>
      <c r="D122" s="29"/>
      <c r="E122" s="27"/>
      <c r="F122" s="27"/>
      <c r="G122" s="26"/>
      <c r="H122" s="27"/>
      <c r="I122" s="26"/>
      <c r="J122" s="28"/>
      <c r="K122" s="27"/>
      <c r="L122" s="27"/>
      <c r="M122" s="31"/>
    </row>
    <row r="123" s="36" customFormat="1" ht="28.5" customHeight="1">
      <c r="A123" s="30"/>
      <c r="B123" s="26"/>
      <c r="C123" s="27"/>
      <c r="D123" s="29"/>
      <c r="E123" s="27"/>
      <c r="F123" s="27"/>
      <c r="G123" s="26"/>
      <c r="H123" s="27"/>
      <c r="I123" s="26"/>
      <c r="J123" s="28"/>
      <c r="K123" s="27"/>
      <c r="L123" s="27"/>
      <c r="M123" s="31"/>
    </row>
    <row r="124" s="36" customFormat="1" ht="28.5" customHeight="1">
      <c r="A124" s="30"/>
      <c r="B124" s="26"/>
      <c r="C124" s="27"/>
      <c r="D124" s="29"/>
      <c r="E124" s="27"/>
      <c r="F124" s="27"/>
      <c r="G124" s="26"/>
      <c r="H124" s="27"/>
      <c r="I124" s="26"/>
      <c r="J124" s="28"/>
      <c r="K124" s="27"/>
      <c r="L124" s="27"/>
      <c r="M124" s="31"/>
    </row>
    <row r="125" s="34" customFormat="1" ht="28.5" customHeight="1">
      <c r="A125" s="30"/>
      <c r="B125" s="26"/>
      <c r="C125" s="27"/>
      <c r="D125" s="29"/>
      <c r="E125" s="27"/>
      <c r="F125" s="27"/>
      <c r="G125" s="26"/>
      <c r="H125" s="27"/>
      <c r="I125" s="26"/>
      <c r="J125" s="28"/>
      <c r="K125" s="27"/>
      <c r="L125" s="27"/>
      <c r="M125" s="31"/>
    </row>
    <row r="126" s="36" customFormat="1" ht="17.25" customHeight="1">
      <c r="A126" s="30"/>
      <c r="B126" s="26"/>
      <c r="C126" s="27"/>
      <c r="D126" s="29"/>
      <c r="E126" s="27"/>
      <c r="F126" s="27"/>
      <c r="G126" s="26"/>
      <c r="H126" s="27"/>
      <c r="I126" s="26"/>
      <c r="J126" s="28"/>
      <c r="K126" s="27"/>
      <c r="L126" s="27"/>
      <c r="M126" s="31"/>
    </row>
    <row r="127" s="35" customFormat="1" ht="27" customHeight="1">
      <c r="A127" s="30"/>
      <c r="B127" s="26"/>
      <c r="C127" s="27"/>
      <c r="D127" s="29"/>
      <c r="E127" s="27"/>
      <c r="F127" s="27"/>
      <c r="G127" s="26"/>
      <c r="H127" s="27"/>
      <c r="I127" s="26"/>
      <c r="J127" s="28"/>
      <c r="K127" s="27"/>
      <c r="L127" s="27"/>
      <c r="M127" s="31"/>
    </row>
    <row r="128" s="35" customFormat="1" ht="27" customHeight="1">
      <c r="A128" s="30"/>
      <c r="B128" s="26"/>
      <c r="C128" s="27"/>
      <c r="D128" s="29"/>
      <c r="E128" s="27"/>
      <c r="F128" s="27"/>
      <c r="G128" s="26"/>
      <c r="H128" s="27"/>
      <c r="I128" s="26"/>
      <c r="J128" s="28"/>
      <c r="K128" s="27"/>
      <c r="L128" s="27"/>
      <c r="M128" s="31"/>
    </row>
    <row r="129" s="34" customFormat="1" ht="22.5" customHeight="1">
      <c r="A129" s="30"/>
      <c r="B129" s="26"/>
      <c r="C129" s="27"/>
      <c r="D129" s="29"/>
      <c r="E129" s="27"/>
      <c r="F129" s="27"/>
      <c r="G129" s="26"/>
      <c r="H129" s="27"/>
      <c r="I129" s="26"/>
      <c r="J129" s="28"/>
      <c r="K129" s="27"/>
      <c r="L129" s="27"/>
      <c r="M129" s="31"/>
    </row>
    <row r="130" s="33" customFormat="1" ht="18.75" customHeight="1">
      <c r="A130" s="30"/>
      <c r="B130" s="26"/>
      <c r="C130" s="27"/>
      <c r="D130" s="29"/>
      <c r="E130" s="27"/>
      <c r="F130" s="27"/>
      <c r="G130" s="26"/>
      <c r="H130" s="27"/>
      <c r="I130" s="26"/>
      <c r="J130" s="28"/>
      <c r="K130" s="27"/>
      <c r="L130" s="27"/>
      <c r="M130" s="31"/>
    </row>
    <row r="131" s="32" customFormat="1" ht="38.25" customHeight="1">
      <c r="A131" s="30"/>
      <c r="B131" s="26"/>
      <c r="C131" s="27"/>
      <c r="D131" s="29"/>
      <c r="E131" s="27"/>
      <c r="F131" s="27"/>
      <c r="G131" s="26"/>
      <c r="H131" s="27"/>
      <c r="I131" s="26"/>
      <c r="J131" s="28"/>
      <c r="K131" s="27"/>
      <c r="L131" s="27"/>
      <c r="M131" s="31"/>
    </row>
    <row r="132" s="31" customFormat="1" ht="34.5" customHeight="1">
      <c r="A132" s="30"/>
      <c r="B132" s="26"/>
      <c r="C132" s="27"/>
      <c r="D132" s="29"/>
      <c r="E132" s="27"/>
      <c r="F132" s="27"/>
      <c r="G132" s="26"/>
      <c r="H132" s="27"/>
      <c r="I132" s="26"/>
      <c r="J132" s="28"/>
      <c r="K132" s="27"/>
      <c r="L132" s="27"/>
    </row>
    <row r="133" s="31" customFormat="1" ht="34.5" customHeight="1">
      <c r="A133" s="30"/>
      <c r="B133" s="26"/>
      <c r="C133" s="27"/>
      <c r="D133" s="29"/>
      <c r="E133" s="27"/>
      <c r="F133" s="27"/>
      <c r="G133" s="26"/>
      <c r="H133" s="27"/>
      <c r="I133" s="26"/>
      <c r="J133" s="28"/>
      <c r="K133" s="27"/>
      <c r="L133" s="27"/>
    </row>
    <row r="134" s="31" customFormat="1" ht="34.5" customHeight="1">
      <c r="A134" s="30"/>
      <c r="B134" s="26"/>
      <c r="C134" s="27"/>
      <c r="D134" s="29"/>
      <c r="E134" s="27"/>
      <c r="F134" s="27"/>
      <c r="G134" s="26"/>
      <c r="H134" s="27"/>
      <c r="I134" s="26"/>
      <c r="J134" s="28"/>
      <c r="K134" s="27"/>
      <c r="L134" s="27"/>
      <c r="M134" s="34"/>
    </row>
    <row r="135" s="31" customFormat="1" ht="34.5" customHeight="1">
      <c r="A135" s="30"/>
      <c r="B135" s="26"/>
      <c r="C135" s="27"/>
      <c r="D135" s="29"/>
      <c r="E135" s="27"/>
      <c r="F135" s="27"/>
      <c r="G135" s="26"/>
      <c r="H135" s="27"/>
      <c r="I135" s="26"/>
      <c r="J135" s="28"/>
      <c r="K135" s="27"/>
      <c r="L135" s="27"/>
      <c r="M135" s="34"/>
    </row>
    <row r="136" s="31" customFormat="1" ht="34.5" customHeight="1">
      <c r="A136" s="30"/>
      <c r="B136" s="26"/>
      <c r="C136" s="27"/>
      <c r="D136" s="29"/>
      <c r="E136" s="27"/>
      <c r="F136" s="27"/>
      <c r="G136" s="26"/>
      <c r="H136" s="27"/>
      <c r="I136" s="26"/>
      <c r="J136" s="28"/>
      <c r="K136" s="27"/>
      <c r="L136" s="27"/>
      <c r="M136" s="26"/>
    </row>
    <row r="137" s="31" customFormat="1" ht="34.5" customHeight="1">
      <c r="A137" s="30"/>
      <c r="B137" s="26"/>
      <c r="C137" s="27"/>
      <c r="D137" s="29"/>
      <c r="E137" s="27"/>
      <c r="F137" s="27"/>
      <c r="G137" s="26"/>
      <c r="H137" s="27"/>
      <c r="I137" s="26"/>
      <c r="J137" s="28"/>
      <c r="K137" s="27"/>
      <c r="L137" s="27"/>
      <c r="M137" s="34"/>
    </row>
    <row r="138" s="31" customFormat="1" ht="34.5" customHeight="1">
      <c r="A138" s="30"/>
      <c r="B138" s="26"/>
      <c r="C138" s="27"/>
      <c r="D138" s="29"/>
      <c r="E138" s="27"/>
      <c r="F138" s="27"/>
      <c r="G138" s="26"/>
      <c r="H138" s="27"/>
      <c r="I138" s="26"/>
      <c r="J138" s="28"/>
      <c r="K138" s="27"/>
      <c r="L138" s="27"/>
      <c r="M138" s="35"/>
    </row>
    <row r="139" s="31" customFormat="1" ht="34.5" customHeight="1">
      <c r="A139" s="30"/>
      <c r="B139" s="26"/>
      <c r="C139" s="27"/>
      <c r="D139" s="29"/>
      <c r="E139" s="27"/>
      <c r="F139" s="27"/>
      <c r="G139" s="26"/>
      <c r="H139" s="27"/>
      <c r="I139" s="26"/>
      <c r="J139" s="28"/>
      <c r="K139" s="27"/>
      <c r="L139" s="27"/>
      <c r="M139" s="34"/>
    </row>
    <row r="140" s="31" customFormat="1" ht="34.5" customHeight="1">
      <c r="A140" s="30"/>
      <c r="B140" s="26"/>
      <c r="C140" s="27"/>
      <c r="D140" s="29"/>
      <c r="E140" s="27"/>
      <c r="F140" s="27"/>
      <c r="G140" s="26"/>
      <c r="H140" s="27"/>
      <c r="I140" s="26"/>
      <c r="J140" s="28"/>
      <c r="K140" s="27"/>
      <c r="L140" s="27"/>
      <c r="M140" s="34"/>
    </row>
    <row r="141" s="31" customFormat="1" ht="34.5" customHeight="1">
      <c r="A141" s="30"/>
      <c r="B141" s="26"/>
      <c r="C141" s="27"/>
      <c r="D141" s="29"/>
      <c r="E141" s="27"/>
      <c r="F141" s="27"/>
      <c r="G141" s="26"/>
      <c r="H141" s="27"/>
      <c r="I141" s="26"/>
      <c r="J141" s="28"/>
      <c r="K141" s="27"/>
      <c r="L141" s="27"/>
      <c r="M141" s="34"/>
    </row>
    <row r="142" s="31" customFormat="1" ht="34.5" customHeight="1">
      <c r="A142" s="30"/>
      <c r="B142" s="26"/>
      <c r="C142" s="27"/>
      <c r="D142" s="29"/>
      <c r="E142" s="27"/>
      <c r="F142" s="27"/>
      <c r="G142" s="26"/>
      <c r="H142" s="27"/>
      <c r="I142" s="26"/>
      <c r="J142" s="28"/>
      <c r="K142" s="27"/>
      <c r="L142" s="27"/>
      <c r="M142" s="33"/>
    </row>
    <row r="143" s="31" customFormat="1" ht="34.5" customHeight="1">
      <c r="A143" s="30"/>
      <c r="B143" s="26"/>
      <c r="C143" s="27"/>
      <c r="D143" s="29"/>
      <c r="E143" s="27"/>
      <c r="F143" s="27"/>
      <c r="G143" s="26"/>
      <c r="H143" s="27"/>
      <c r="I143" s="26"/>
      <c r="J143" s="28"/>
      <c r="K143" s="27"/>
      <c r="L143" s="27"/>
      <c r="M143" s="32"/>
    </row>
    <row r="144" s="31" customFormat="1" ht="34.5" customHeight="1">
      <c r="A144" s="30"/>
      <c r="B144" s="26"/>
      <c r="C144" s="27"/>
      <c r="D144" s="29"/>
      <c r="E144" s="27"/>
      <c r="F144" s="27"/>
      <c r="G144" s="26"/>
      <c r="H144" s="27"/>
      <c r="I144" s="26"/>
      <c r="J144" s="28"/>
      <c r="K144" s="27"/>
      <c r="L144" s="27"/>
    </row>
    <row r="145" s="31" customFormat="1" ht="34.5" customHeight="1">
      <c r="A145" s="30"/>
      <c r="B145" s="26"/>
      <c r="C145" s="27"/>
      <c r="D145" s="29"/>
      <c r="E145" s="27"/>
      <c r="F145" s="27"/>
      <c r="G145" s="26"/>
      <c r="H145" s="27"/>
      <c r="I145" s="26"/>
      <c r="J145" s="28"/>
      <c r="K145" s="27"/>
      <c r="L145" s="27"/>
    </row>
    <row r="146" s="31" customFormat="1" ht="34.5" customHeight="1">
      <c r="A146" s="30"/>
      <c r="B146" s="26"/>
      <c r="C146" s="27"/>
      <c r="D146" s="29"/>
      <c r="E146" s="27"/>
      <c r="F146" s="27"/>
      <c r="G146" s="26"/>
      <c r="H146" s="27"/>
      <c r="I146" s="26"/>
      <c r="J146" s="28"/>
      <c r="K146" s="27"/>
      <c r="L146" s="27"/>
    </row>
    <row r="147" s="31" customFormat="1" ht="34.5" customHeight="1">
      <c r="A147" s="30"/>
      <c r="B147" s="26"/>
      <c r="C147" s="27"/>
      <c r="D147" s="29"/>
      <c r="E147" s="27"/>
      <c r="F147" s="27"/>
      <c r="G147" s="26"/>
      <c r="H147" s="27"/>
      <c r="I147" s="26"/>
      <c r="J147" s="28"/>
      <c r="K147" s="27"/>
      <c r="L147" s="27"/>
    </row>
    <row r="148" s="31" customFormat="1" ht="34.5" customHeight="1">
      <c r="A148" s="30"/>
      <c r="B148" s="26"/>
      <c r="C148" s="27"/>
      <c r="D148" s="29"/>
      <c r="E148" s="27"/>
      <c r="F148" s="27"/>
      <c r="G148" s="26"/>
      <c r="H148" s="27"/>
      <c r="I148" s="26"/>
      <c r="J148" s="28"/>
      <c r="K148" s="27"/>
      <c r="L148" s="27"/>
    </row>
    <row r="149" s="31" customFormat="1" ht="34.5" customHeight="1">
      <c r="A149" s="30"/>
      <c r="B149" s="26"/>
      <c r="C149" s="27"/>
      <c r="D149" s="29"/>
      <c r="E149" s="27"/>
      <c r="F149" s="27"/>
      <c r="G149" s="26"/>
      <c r="H149" s="27"/>
      <c r="I149" s="26"/>
      <c r="J149" s="28"/>
      <c r="K149" s="27"/>
      <c r="L149" s="27"/>
    </row>
    <row r="150" s="31" customFormat="1" ht="34.5" customHeight="1">
      <c r="A150" s="30"/>
      <c r="B150" s="26"/>
      <c r="C150" s="27"/>
      <c r="D150" s="29"/>
      <c r="E150" s="27"/>
      <c r="F150" s="27"/>
      <c r="G150" s="26"/>
      <c r="H150" s="27"/>
      <c r="I150" s="26"/>
      <c r="J150" s="28"/>
      <c r="K150" s="27"/>
      <c r="L150" s="27"/>
    </row>
    <row r="151" s="34" customFormat="1" ht="22.5" customHeight="1">
      <c r="A151" s="30"/>
      <c r="B151" s="26"/>
      <c r="C151" s="27"/>
      <c r="D151" s="29"/>
      <c r="E151" s="27"/>
      <c r="F151" s="27"/>
      <c r="G151" s="26"/>
      <c r="H151" s="27"/>
      <c r="I151" s="26"/>
      <c r="J151" s="28"/>
      <c r="K151" s="27"/>
      <c r="L151" s="27"/>
      <c r="M151" s="31"/>
    </row>
    <row r="152" s="34" customFormat="1" ht="22.5" customHeight="1">
      <c r="A152" s="30"/>
      <c r="B152" s="26"/>
      <c r="C152" s="27"/>
      <c r="D152" s="29"/>
      <c r="E152" s="27"/>
      <c r="F152" s="27"/>
      <c r="G152" s="26"/>
      <c r="H152" s="27"/>
      <c r="I152" s="26"/>
      <c r="J152" s="28"/>
      <c r="K152" s="27"/>
      <c r="L152" s="27"/>
      <c r="M152" s="31"/>
    </row>
    <row r="153" ht="15">
      <c r="M153" s="31"/>
    </row>
    <row r="154" s="34" customFormat="1" ht="27.75" customHeight="1">
      <c r="A154" s="30"/>
      <c r="B154" s="26"/>
      <c r="C154" s="27"/>
      <c r="D154" s="29"/>
      <c r="E154" s="27"/>
      <c r="F154" s="27"/>
      <c r="G154" s="26"/>
      <c r="H154" s="27"/>
      <c r="I154" s="26"/>
      <c r="J154" s="28"/>
      <c r="K154" s="27"/>
      <c r="L154" s="27"/>
      <c r="M154" s="31"/>
    </row>
    <row r="155" s="35" customFormat="1" ht="27" customHeight="1">
      <c r="A155" s="30"/>
      <c r="B155" s="26"/>
      <c r="C155" s="27"/>
      <c r="D155" s="29"/>
      <c r="E155" s="27"/>
      <c r="F155" s="27"/>
      <c r="G155" s="26"/>
      <c r="H155" s="27"/>
      <c r="I155" s="26"/>
      <c r="J155" s="28"/>
      <c r="K155" s="27"/>
      <c r="L155" s="27"/>
      <c r="M155" s="31"/>
    </row>
    <row r="156" s="34" customFormat="1" ht="22.5" customHeight="1">
      <c r="A156" s="30"/>
      <c r="B156" s="26"/>
      <c r="C156" s="27"/>
      <c r="D156" s="29"/>
      <c r="E156" s="27"/>
      <c r="F156" s="27"/>
      <c r="G156" s="26"/>
      <c r="H156" s="27"/>
      <c r="I156" s="26"/>
      <c r="J156" s="28"/>
      <c r="K156" s="27"/>
      <c r="L156" s="27"/>
      <c r="M156" s="31"/>
    </row>
    <row r="157" s="34" customFormat="1" ht="22.5" customHeight="1">
      <c r="A157" s="30"/>
      <c r="B157" s="26"/>
      <c r="C157" s="27"/>
      <c r="D157" s="29"/>
      <c r="E157" s="27"/>
      <c r="F157" s="27"/>
      <c r="G157" s="26"/>
      <c r="H157" s="27"/>
      <c r="I157" s="26"/>
      <c r="J157" s="28"/>
      <c r="K157" s="27"/>
      <c r="L157" s="27"/>
      <c r="M157" s="31"/>
    </row>
    <row r="158" s="34" customFormat="1" ht="22.5" customHeight="1">
      <c r="A158" s="30"/>
      <c r="B158" s="26"/>
      <c r="C158" s="27"/>
      <c r="D158" s="29"/>
      <c r="E158" s="27"/>
      <c r="F158" s="27"/>
      <c r="G158" s="26"/>
      <c r="H158" s="27"/>
      <c r="I158" s="26"/>
      <c r="J158" s="28"/>
      <c r="K158" s="27"/>
      <c r="L158" s="27"/>
      <c r="M158" s="31"/>
    </row>
    <row r="159" s="33" customFormat="1" ht="18.75" customHeight="1">
      <c r="A159" s="30"/>
      <c r="B159" s="26"/>
      <c r="C159" s="27"/>
      <c r="D159" s="29"/>
      <c r="E159" s="27"/>
      <c r="F159" s="27"/>
      <c r="G159" s="26"/>
      <c r="H159" s="27"/>
      <c r="I159" s="26"/>
      <c r="J159" s="28"/>
      <c r="K159" s="27"/>
      <c r="L159" s="27"/>
      <c r="M159" s="26"/>
    </row>
    <row r="160" s="32" customFormat="1" ht="38.25" customHeight="1">
      <c r="A160" s="30"/>
      <c r="B160" s="26"/>
      <c r="C160" s="27"/>
      <c r="D160" s="29"/>
      <c r="E160" s="27"/>
      <c r="F160" s="27"/>
      <c r="G160" s="26"/>
      <c r="H160" s="27"/>
      <c r="I160" s="26"/>
      <c r="J160" s="28"/>
      <c r="K160" s="27"/>
      <c r="L160" s="27"/>
      <c r="M160" s="26"/>
    </row>
    <row r="161" s="31" customFormat="1" ht="34.5" customHeight="1">
      <c r="A161" s="30"/>
      <c r="B161" s="26"/>
      <c r="C161" s="27"/>
      <c r="D161" s="29"/>
      <c r="E161" s="27"/>
      <c r="F161" s="27"/>
      <c r="G161" s="26"/>
      <c r="H161" s="27"/>
      <c r="I161" s="26"/>
      <c r="J161" s="28"/>
      <c r="K161" s="27"/>
      <c r="L161" s="27"/>
      <c r="M161" s="26"/>
    </row>
    <row r="162" s="31" customFormat="1" ht="34.5" customHeight="1">
      <c r="A162" s="30"/>
      <c r="B162" s="26"/>
      <c r="C162" s="27"/>
      <c r="D162" s="29"/>
      <c r="E162" s="27"/>
      <c r="F162" s="27"/>
      <c r="G162" s="26"/>
      <c r="H162" s="27"/>
      <c r="I162" s="26"/>
      <c r="J162" s="28"/>
      <c r="K162" s="27"/>
      <c r="L162" s="27"/>
      <c r="M162" s="26"/>
    </row>
    <row r="163" s="31" customFormat="1" ht="34.5" customHeight="1">
      <c r="A163" s="30"/>
      <c r="B163" s="26"/>
      <c r="C163" s="27"/>
      <c r="D163" s="29"/>
      <c r="E163" s="27"/>
      <c r="F163" s="27"/>
      <c r="G163" s="26"/>
      <c r="H163" s="27"/>
      <c r="I163" s="26"/>
      <c r="J163" s="28"/>
      <c r="K163" s="27"/>
      <c r="L163" s="27"/>
      <c r="M163" s="26"/>
    </row>
    <row r="164" s="31" customFormat="1" ht="34.5" customHeight="1">
      <c r="A164" s="30"/>
      <c r="B164" s="26"/>
      <c r="C164" s="27"/>
      <c r="D164" s="29"/>
      <c r="E164" s="27"/>
      <c r="F164" s="27"/>
      <c r="G164" s="26"/>
      <c r="H164" s="27"/>
      <c r="I164" s="26"/>
      <c r="J164" s="28"/>
      <c r="K164" s="27"/>
      <c r="L164" s="27"/>
      <c r="M164" s="26"/>
    </row>
    <row r="165" s="31" customFormat="1" ht="34.5" customHeight="1">
      <c r="A165" s="30"/>
      <c r="B165" s="26"/>
      <c r="C165" s="27"/>
      <c r="D165" s="29"/>
      <c r="E165" s="27"/>
      <c r="F165" s="27"/>
      <c r="G165" s="26"/>
      <c r="H165" s="27"/>
      <c r="I165" s="26"/>
      <c r="J165" s="28"/>
      <c r="K165" s="27"/>
      <c r="L165" s="27"/>
      <c r="M165" s="26"/>
    </row>
    <row r="166" s="31" customFormat="1" ht="34.5" customHeight="1">
      <c r="A166" s="30"/>
      <c r="B166" s="26"/>
      <c r="C166" s="27"/>
      <c r="D166" s="29"/>
      <c r="E166" s="27"/>
      <c r="F166" s="27"/>
      <c r="G166" s="26"/>
      <c r="H166" s="27"/>
      <c r="I166" s="26"/>
      <c r="J166" s="28"/>
      <c r="K166" s="27"/>
      <c r="L166" s="27"/>
      <c r="M166" s="26"/>
    </row>
    <row r="167" s="31" customFormat="1" ht="34.5" customHeight="1">
      <c r="A167" s="30"/>
      <c r="B167" s="26"/>
      <c r="C167" s="27"/>
      <c r="D167" s="29"/>
      <c r="E167" s="27"/>
      <c r="F167" s="27"/>
      <c r="G167" s="26"/>
      <c r="H167" s="27"/>
      <c r="I167" s="26"/>
      <c r="J167" s="28"/>
      <c r="K167" s="27"/>
      <c r="L167" s="27"/>
      <c r="M167" s="26"/>
    </row>
    <row r="168" s="31" customFormat="1" ht="34.5" customHeight="1">
      <c r="A168" s="30"/>
      <c r="B168" s="26"/>
      <c r="C168" s="27"/>
      <c r="D168" s="29"/>
      <c r="E168" s="27"/>
      <c r="F168" s="27"/>
      <c r="G168" s="26"/>
      <c r="H168" s="27"/>
      <c r="I168" s="26"/>
      <c r="J168" s="28"/>
      <c r="K168" s="27"/>
      <c r="L168" s="27"/>
      <c r="M168" s="26"/>
    </row>
    <row r="169" s="31" customFormat="1" ht="34.5" customHeight="1">
      <c r="A169" s="30"/>
      <c r="B169" s="26"/>
      <c r="C169" s="27"/>
      <c r="D169" s="29"/>
      <c r="E169" s="27"/>
      <c r="F169" s="27"/>
      <c r="G169" s="26"/>
      <c r="H169" s="27"/>
      <c r="I169" s="26"/>
      <c r="J169" s="28"/>
      <c r="K169" s="27"/>
      <c r="L169" s="27"/>
      <c r="M169" s="26"/>
    </row>
    <row r="170" s="31" customFormat="1" ht="34.5" customHeight="1">
      <c r="A170" s="30"/>
      <c r="B170" s="26"/>
      <c r="C170" s="27"/>
      <c r="D170" s="29"/>
      <c r="E170" s="27"/>
      <c r="F170" s="27"/>
      <c r="G170" s="26"/>
      <c r="H170" s="27"/>
      <c r="I170" s="26"/>
      <c r="J170" s="28"/>
      <c r="K170" s="27"/>
      <c r="L170" s="27"/>
      <c r="M170" s="26"/>
    </row>
    <row r="171" s="31" customFormat="1" ht="34.5" customHeight="1">
      <c r="A171" s="30"/>
      <c r="B171" s="26"/>
      <c r="C171" s="27"/>
      <c r="D171" s="29"/>
      <c r="E171" s="27"/>
      <c r="F171" s="27"/>
      <c r="G171" s="26"/>
      <c r="H171" s="27"/>
      <c r="I171" s="26"/>
      <c r="J171" s="28"/>
      <c r="K171" s="27"/>
      <c r="L171" s="27"/>
      <c r="M171" s="26"/>
    </row>
    <row r="172" s="31" customFormat="1" ht="34.5" customHeight="1">
      <c r="A172" s="30"/>
      <c r="B172" s="26"/>
      <c r="C172" s="27"/>
      <c r="D172" s="29"/>
      <c r="E172" s="27"/>
      <c r="F172" s="27"/>
      <c r="G172" s="26"/>
      <c r="H172" s="27"/>
      <c r="I172" s="26"/>
      <c r="J172" s="28"/>
      <c r="K172" s="27"/>
      <c r="L172" s="27"/>
      <c r="M172" s="26"/>
    </row>
    <row r="173" s="31" customFormat="1" ht="34.5" customHeight="1">
      <c r="A173" s="30"/>
      <c r="B173" s="26"/>
      <c r="C173" s="27"/>
      <c r="D173" s="29"/>
      <c r="E173" s="27"/>
      <c r="F173" s="27"/>
      <c r="G173" s="26"/>
      <c r="H173" s="27"/>
      <c r="I173" s="26"/>
      <c r="J173" s="28"/>
      <c r="K173" s="27"/>
      <c r="L173" s="27"/>
      <c r="M173" s="26"/>
    </row>
    <row r="174" s="31" customFormat="1" ht="34.5" customHeight="1">
      <c r="A174" s="30"/>
      <c r="B174" s="26"/>
      <c r="C174" s="27"/>
      <c r="D174" s="29"/>
      <c r="E174" s="27"/>
      <c r="F174" s="27"/>
      <c r="G174" s="26"/>
      <c r="H174" s="27"/>
      <c r="I174" s="26"/>
      <c r="J174" s="28"/>
      <c r="K174" s="27"/>
      <c r="L174" s="27"/>
      <c r="M174" s="26"/>
    </row>
    <row r="175" s="31" customFormat="1" ht="34.5" customHeight="1">
      <c r="A175" s="30"/>
      <c r="B175" s="26"/>
      <c r="C175" s="27"/>
      <c r="D175" s="29"/>
      <c r="E175" s="27"/>
      <c r="F175" s="27"/>
      <c r="G175" s="26"/>
      <c r="H175" s="27"/>
      <c r="I175" s="26"/>
      <c r="J175" s="28"/>
      <c r="K175" s="27"/>
      <c r="L175" s="27"/>
      <c r="M175" s="26"/>
    </row>
  </sheetData>
  <mergeCells>
    <mergeCell ref="A1:L1"/>
    <mergeCell ref="A2:L2"/>
    <mergeCell ref="A4:L4"/>
    <mergeCell ref="A5:L5"/>
    <mergeCell ref="A3:L3"/>
    <mergeCell ref="A15:L15"/>
    <mergeCell ref="D42:E42"/>
    <mergeCell ref="G42:H42"/>
    <mergeCell ref="G43:H43"/>
    <mergeCell ref="A34:L34"/>
    <mergeCell ref="A29:L29"/>
    <mergeCell ref="A21:L21"/>
    <mergeCell ref="C38:I38"/>
    <mergeCell ref="G39:H39"/>
    <mergeCell ref="G40:H40"/>
    <mergeCell ref="G44:H44"/>
    <mergeCell ref="D39:E39"/>
    <mergeCell ref="D40:E40"/>
    <mergeCell ref="D43:E43"/>
    <mergeCell ref="D44:E44"/>
    <mergeCell ref="D41:E41"/>
    <mergeCell ref="G41:H41"/>
  </mergeCells>
  <pageMargins left="0.7" right="0.7" top="0.75" bottom="0.75" header="0.3" footer="0.3"/>
  <pageSetup paperSize="121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V29"/>
  <sheetViews>
    <sheetView topLeftCell="A1" workbookViewId="0">
      <selection activeCell="A1" sqref="A1:V2"/>
    </sheetView>
  </sheetViews>
  <sheetFormatPr defaultColWidth="8.7109375" defaultRowHeight="13"/>
  <cols>
    <col min="1" max="1" width="9.85546875" style="85" customWidth="1"/>
    <col min="2" max="2" width="20" style="15" customWidth="1"/>
    <col min="3" max="3" width="24.7109375" style="15" customWidth="1"/>
    <col min="4" max="4" width="10.5703125" style="92" bestFit="1" customWidth="1"/>
    <col min="5" max="5" width="8.42578125" style="15" bestFit="1" customWidth="1"/>
    <col min="6" max="6" width="9.42578125" style="15" customWidth="1"/>
    <col min="7" max="7" width="33.85546875" style="15" customWidth="1"/>
    <col min="8" max="10" width="5.5703125" style="15" bestFit="1" customWidth="1"/>
    <col min="11" max="11" width="4.5703125" style="15" bestFit="1" customWidth="1"/>
    <col min="12" max="14" width="5.5703125" style="15" bestFit="1" customWidth="1"/>
    <col min="15" max="15" width="4.5703125" style="15" bestFit="1" customWidth="1"/>
    <col min="16" max="18" width="5.5703125" style="15" bestFit="1" customWidth="1"/>
    <col min="19" max="19" width="4.5703125" style="15" bestFit="1" customWidth="1"/>
    <col min="20" max="20" width="7.85546875" style="176" bestFit="1" customWidth="1"/>
    <col min="21" max="21" width="8.5703125" style="85" bestFit="1" customWidth="1"/>
    <col min="22" max="22" width="15.42578125" style="15" bestFit="1" customWidth="1"/>
  </cols>
  <sheetData>
    <row r="1" s="1" customFormat="1" ht="15" customHeight="1">
      <c r="A1" s="200" t="s">
        <v>631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5"/>
    </row>
    <row r="2" s="1" customFormat="1" ht="114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7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1</v>
      </c>
      <c r="I3" s="190"/>
      <c r="J3" s="190"/>
      <c r="K3" s="190"/>
      <c r="L3" s="190" t="s">
        <v>2</v>
      </c>
      <c r="M3" s="190"/>
      <c r="N3" s="190"/>
      <c r="O3" s="190"/>
      <c r="P3" s="190" t="s">
        <v>3</v>
      </c>
      <c r="Q3" s="190"/>
      <c r="R3" s="190"/>
      <c r="S3" s="190"/>
      <c r="T3" s="208" t="s">
        <v>4</v>
      </c>
      <c r="U3" s="190" t="s">
        <v>6</v>
      </c>
      <c r="V3" s="192" t="s">
        <v>5</v>
      </c>
    </row>
    <row r="4" s="2" customFormat="1" ht="21" customHeight="1" thickBot="1">
      <c r="A4" s="196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3">
        <v>1</v>
      </c>
      <c r="Q4" s="3">
        <v>2</v>
      </c>
      <c r="R4" s="3">
        <v>3</v>
      </c>
      <c r="S4" s="3" t="s">
        <v>8</v>
      </c>
      <c r="T4" s="209"/>
      <c r="U4" s="191"/>
      <c r="V4" s="193"/>
    </row>
    <row r="5" ht="16">
      <c r="A5" s="88"/>
      <c r="B5" s="194" t="s">
        <v>25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>
      <c r="A6" s="84" t="s">
        <v>330</v>
      </c>
      <c r="B6" s="16" t="s">
        <v>258</v>
      </c>
      <c r="C6" s="16" t="s">
        <v>259</v>
      </c>
      <c r="D6" s="91">
        <v>79.6</v>
      </c>
      <c r="E6" s="16" t="str">
        <f>"0,6849"</f>
        <v>0,6849</v>
      </c>
      <c r="F6" s="16" t="s">
        <v>14</v>
      </c>
      <c r="G6" s="16" t="s">
        <v>260</v>
      </c>
      <c r="H6" s="90" t="s">
        <v>85</v>
      </c>
      <c r="I6" s="158" t="s">
        <v>85</v>
      </c>
      <c r="J6" s="158" t="s">
        <v>166</v>
      </c>
      <c r="K6" s="69"/>
      <c r="L6" s="158" t="s">
        <v>47</v>
      </c>
      <c r="M6" s="158" t="s">
        <v>80</v>
      </c>
      <c r="N6" s="90" t="s">
        <v>73</v>
      </c>
      <c r="O6" s="69"/>
      <c r="P6" s="158" t="s">
        <v>61</v>
      </c>
      <c r="Q6" s="158" t="s">
        <v>261</v>
      </c>
      <c r="R6" s="158" t="s">
        <v>262</v>
      </c>
      <c r="S6" s="17"/>
      <c r="T6" s="175">
        <v>587.5</v>
      </c>
      <c r="U6" s="84" t="str">
        <f>"402,3787"</f>
        <v>402,3787</v>
      </c>
      <c r="V6" s="16" t="s">
        <v>86</v>
      </c>
    </row>
    <row r="7">
      <c r="I7" s="187"/>
      <c r="J7" s="187"/>
    </row>
    <row r="8" ht="16">
      <c r="A8" s="88"/>
      <c r="B8" s="189" t="s">
        <v>30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</row>
    <row r="9">
      <c r="A9" s="84" t="s">
        <v>330</v>
      </c>
      <c r="B9" s="16" t="s">
        <v>263</v>
      </c>
      <c r="C9" s="16" t="s">
        <v>264</v>
      </c>
      <c r="D9" s="94">
        <v>90</v>
      </c>
      <c r="E9" s="16" t="str">
        <f>"0,6384"</f>
        <v>0,6384</v>
      </c>
      <c r="F9" s="16" t="s">
        <v>72</v>
      </c>
      <c r="G9" s="16" t="s">
        <v>537</v>
      </c>
      <c r="H9" s="158" t="s">
        <v>73</v>
      </c>
      <c r="I9" s="158" t="s">
        <v>117</v>
      </c>
      <c r="J9" s="90" t="s">
        <v>265</v>
      </c>
      <c r="K9" s="69"/>
      <c r="L9" s="90" t="s">
        <v>22</v>
      </c>
      <c r="M9" s="158" t="s">
        <v>22</v>
      </c>
      <c r="N9" s="90" t="s">
        <v>110</v>
      </c>
      <c r="O9" s="69"/>
      <c r="P9" s="158" t="s">
        <v>29</v>
      </c>
      <c r="Q9" s="158" t="s">
        <v>36</v>
      </c>
      <c r="R9" s="158" t="s">
        <v>189</v>
      </c>
      <c r="S9" s="162"/>
      <c r="T9" s="175">
        <v>465</v>
      </c>
      <c r="U9" s="84" t="str">
        <f>"296,8560"</f>
        <v>296,8560</v>
      </c>
      <c r="V9" s="16" t="s">
        <v>513</v>
      </c>
    </row>
    <row r="11" ht="16">
      <c r="B11" s="189" t="s">
        <v>42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</row>
    <row r="12">
      <c r="A12" s="84" t="s">
        <v>330</v>
      </c>
      <c r="B12" s="16" t="s">
        <v>266</v>
      </c>
      <c r="C12" s="16" t="s">
        <v>267</v>
      </c>
      <c r="D12" s="91">
        <v>91.7</v>
      </c>
      <c r="E12" s="16" t="str">
        <f>"0,6325"</f>
        <v>0,6325</v>
      </c>
      <c r="F12" s="16" t="s">
        <v>14</v>
      </c>
      <c r="G12" s="16" t="s">
        <v>542</v>
      </c>
      <c r="H12" s="90" t="s">
        <v>35</v>
      </c>
      <c r="I12" s="90" t="s">
        <v>35</v>
      </c>
      <c r="J12" s="90" t="s">
        <v>35</v>
      </c>
      <c r="K12" s="69"/>
      <c r="L12" s="90" t="s">
        <v>21</v>
      </c>
      <c r="M12" s="69"/>
      <c r="N12" s="69"/>
      <c r="O12" s="69"/>
      <c r="P12" s="90" t="s">
        <v>35</v>
      </c>
      <c r="Q12" s="69"/>
      <c r="R12" s="69"/>
      <c r="S12" s="17"/>
      <c r="T12" s="108">
        <v>0</v>
      </c>
      <c r="U12" s="84" t="s">
        <v>607</v>
      </c>
      <c r="V12" s="16" t="s">
        <v>86</v>
      </c>
    </row>
    <row r="13">
      <c r="A13" s="84" t="s">
        <v>330</v>
      </c>
      <c r="B13" s="16" t="s">
        <v>268</v>
      </c>
      <c r="C13" s="16" t="s">
        <v>269</v>
      </c>
      <c r="D13" s="91">
        <v>99.1</v>
      </c>
      <c r="E13" s="16" t="str">
        <f>"0,6108"</f>
        <v>0,6108</v>
      </c>
      <c r="F13" s="16" t="s">
        <v>72</v>
      </c>
      <c r="G13" s="16" t="s">
        <v>537</v>
      </c>
      <c r="H13" s="90" t="s">
        <v>166</v>
      </c>
      <c r="I13" s="158" t="s">
        <v>166</v>
      </c>
      <c r="J13" s="90" t="s">
        <v>270</v>
      </c>
      <c r="K13" s="69"/>
      <c r="L13" s="158" t="s">
        <v>29</v>
      </c>
      <c r="M13" s="158" t="s">
        <v>35</v>
      </c>
      <c r="N13" s="90" t="s">
        <v>172</v>
      </c>
      <c r="O13" s="69"/>
      <c r="P13" s="158" t="s">
        <v>85</v>
      </c>
      <c r="Q13" s="158" t="s">
        <v>206</v>
      </c>
      <c r="R13" s="158" t="s">
        <v>271</v>
      </c>
      <c r="S13" s="17"/>
      <c r="T13" s="175">
        <v>622.5</v>
      </c>
      <c r="U13" s="84" t="str">
        <f>"380,2230"</f>
        <v>380,2230</v>
      </c>
      <c r="V13" s="16" t="s">
        <v>513</v>
      </c>
    </row>
    <row r="14">
      <c r="K14" s="163"/>
      <c r="L14" s="163"/>
      <c r="M14" s="163"/>
      <c r="N14" s="163"/>
    </row>
    <row r="15">
      <c r="A15" s="22"/>
      <c r="K15" s="163"/>
      <c r="L15" s="163"/>
      <c r="M15" s="163"/>
      <c r="N15" s="137"/>
      <c r="O15"/>
      <c r="P15"/>
      <c r="Q15"/>
      <c r="R15"/>
      <c r="S15"/>
      <c r="U15" s="88"/>
      <c r="V15"/>
    </row>
    <row r="16">
      <c r="A16" s="22"/>
      <c r="N16"/>
      <c r="O16"/>
      <c r="P16"/>
      <c r="Q16"/>
      <c r="R16"/>
      <c r="S16"/>
      <c r="U16" s="88"/>
      <c r="V16"/>
    </row>
    <row r="17">
      <c r="A17" s="22"/>
      <c r="N17"/>
      <c r="O17"/>
      <c r="P17"/>
      <c r="Q17"/>
      <c r="R17"/>
      <c r="S17"/>
      <c r="U17" s="88"/>
      <c r="V17"/>
    </row>
    <row r="18">
      <c r="P18"/>
      <c r="Q18"/>
      <c r="R18"/>
      <c r="S18"/>
      <c r="U18" s="88"/>
      <c r="V18"/>
    </row>
    <row r="19">
      <c r="P19"/>
      <c r="Q19"/>
      <c r="R19"/>
      <c r="S19"/>
      <c r="U19" s="88"/>
      <c r="V19"/>
    </row>
    <row r="20">
      <c r="A20" s="22"/>
      <c r="P20"/>
      <c r="Q20"/>
      <c r="R20"/>
      <c r="S20"/>
      <c r="U20" s="88"/>
      <c r="V20"/>
    </row>
    <row r="21">
      <c r="A21" s="22"/>
      <c r="F21" s="15" t="s">
        <v>632</v>
      </c>
      <c r="P21"/>
      <c r="Q21"/>
      <c r="R21"/>
      <c r="S21"/>
      <c r="U21" s="88"/>
      <c r="V21"/>
    </row>
    <row r="22">
      <c r="A22" s="22"/>
      <c r="P22"/>
      <c r="Q22"/>
      <c r="R22"/>
      <c r="S22"/>
      <c r="U22" s="88"/>
      <c r="V22"/>
    </row>
    <row r="23">
      <c r="A23" s="22"/>
      <c r="P23"/>
      <c r="Q23"/>
      <c r="R23"/>
      <c r="S23"/>
      <c r="U23" s="88"/>
      <c r="V23"/>
    </row>
    <row r="24">
      <c r="A24" s="22"/>
      <c r="P24"/>
      <c r="Q24"/>
      <c r="R24"/>
      <c r="S24"/>
      <c r="U24" s="88"/>
      <c r="V24"/>
    </row>
    <row r="25">
      <c r="A25" s="22"/>
      <c r="P25"/>
      <c r="Q25"/>
      <c r="R25"/>
      <c r="S25"/>
      <c r="U25" s="88"/>
      <c r="V25"/>
    </row>
    <row r="26">
      <c r="A26" s="22"/>
      <c r="F26" s="15" t="s">
        <v>630</v>
      </c>
      <c r="P26"/>
      <c r="Q26"/>
      <c r="R26"/>
      <c r="S26"/>
      <c r="U26" s="88"/>
      <c r="V26"/>
    </row>
    <row r="27">
      <c r="A27" s="22"/>
      <c r="P27"/>
      <c r="Q27"/>
      <c r="R27"/>
      <c r="S27"/>
      <c r="U27" s="88"/>
      <c r="V27"/>
    </row>
    <row r="28">
      <c r="A28" s="22"/>
      <c r="P28"/>
      <c r="Q28"/>
      <c r="R28"/>
      <c r="S28"/>
      <c r="U28" s="88"/>
      <c r="V28"/>
    </row>
    <row r="29">
      <c r="P29"/>
      <c r="Q29"/>
      <c r="R29"/>
      <c r="S29"/>
      <c r="U29" s="88"/>
      <c r="V29"/>
    </row>
  </sheetData>
  <mergeCells>
    <mergeCell ref="B11:U11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  <mergeCell ref="B5:U5"/>
    <mergeCell ref="B8:U8"/>
    <mergeCell ref="A3:A4"/>
    <mergeCell ref="A1:V2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dimension ref="A1:T27"/>
  <sheetViews>
    <sheetView topLeftCell="A1" zoomScale="90" zoomScaleNormal="90" zoomScalePageLayoutView="90" workbookViewId="0">
      <selection activeCell="A1" sqref="A1:T1"/>
    </sheetView>
  </sheetViews>
  <sheetFormatPr defaultColWidth="8.7109375" defaultRowHeight="14"/>
  <cols>
    <col min="1" max="3" width="8.7109375" style="26"/>
    <col min="4" max="4" width="36.5703125" style="26" customWidth="1"/>
    <col min="5" max="5" width="10.140625" style="26" bestFit="1" customWidth="1"/>
    <col min="6" max="7" width="8.7109375" style="26"/>
    <col min="8" max="8" width="27.42578125" style="26" customWidth="1"/>
    <col min="9" max="9" width="10.7109375" style="26" bestFit="1" customWidth="1"/>
    <col min="10" max="11" width="8.7109375" style="26"/>
    <col min="12" max="12" width="10.140625" style="26" bestFit="1" customWidth="1"/>
    <col min="13" max="17" width="8.7109375" style="26"/>
    <col min="18" max="18" width="11.7109375" style="26" bestFit="1" customWidth="1"/>
    <col min="19" max="16384" width="8.7109375" style="26"/>
  </cols>
  <sheetData>
    <row r="1" ht="18.75" customHeight="1">
      <c r="A1" s="257" t="s">
        <v>504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9"/>
    </row>
    <row r="2" ht="24.75" customHeight="1">
      <c r="A2" s="260" t="s">
        <v>483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2"/>
    </row>
    <row r="3" ht="21.75" customHeight="1">
      <c r="A3" s="263" t="s">
        <v>503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5"/>
    </row>
    <row r="4" ht="18.75" customHeight="1">
      <c r="A4" s="257" t="s">
        <v>502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9"/>
    </row>
    <row r="5" ht="18.75" customHeight="1">
      <c r="A5" s="143"/>
      <c r="B5" s="257" t="s">
        <v>501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9"/>
    </row>
    <row r="6">
      <c r="A6" s="266" t="s">
        <v>461</v>
      </c>
      <c r="B6" s="266" t="s">
        <v>495</v>
      </c>
      <c r="C6" s="266" t="s">
        <v>494</v>
      </c>
      <c r="D6" s="266" t="s">
        <v>0</v>
      </c>
      <c r="E6" s="266" t="s">
        <v>459</v>
      </c>
      <c r="F6" s="266" t="s">
        <v>493</v>
      </c>
      <c r="G6" s="266" t="s">
        <v>453</v>
      </c>
      <c r="H6" s="266" t="s">
        <v>452</v>
      </c>
      <c r="I6" s="270" t="s">
        <v>492</v>
      </c>
      <c r="J6" s="255"/>
      <c r="K6" s="256"/>
      <c r="L6" s="254" t="s">
        <v>491</v>
      </c>
      <c r="M6" s="255"/>
      <c r="N6" s="256"/>
      <c r="O6" s="271" t="s">
        <v>490</v>
      </c>
      <c r="P6" s="255"/>
      <c r="Q6" s="256"/>
      <c r="R6" s="268" t="s">
        <v>489</v>
      </c>
      <c r="S6" s="266" t="s">
        <v>454</v>
      </c>
      <c r="T6" s="266" t="s">
        <v>451</v>
      </c>
    </row>
    <row r="7" ht="24">
      <c r="A7" s="267"/>
      <c r="B7" s="267"/>
      <c r="C7" s="267"/>
      <c r="D7" s="267"/>
      <c r="E7" s="267"/>
      <c r="F7" s="267"/>
      <c r="G7" s="267"/>
      <c r="H7" s="267"/>
      <c r="I7" s="144" t="s">
        <v>488</v>
      </c>
      <c r="J7" s="144" t="s">
        <v>487</v>
      </c>
      <c r="K7" s="144" t="s">
        <v>486</v>
      </c>
      <c r="L7" s="145" t="s">
        <v>488</v>
      </c>
      <c r="M7" s="145" t="s">
        <v>487</v>
      </c>
      <c r="N7" s="145" t="s">
        <v>486</v>
      </c>
      <c r="O7" s="146" t="s">
        <v>488</v>
      </c>
      <c r="P7" s="146" t="s">
        <v>487</v>
      </c>
      <c r="Q7" s="146" t="s">
        <v>486</v>
      </c>
      <c r="R7" s="269"/>
      <c r="S7" s="267"/>
      <c r="T7" s="267"/>
    </row>
    <row r="8" ht="48" customHeight="1">
      <c r="A8" s="52">
        <v>25</v>
      </c>
      <c r="B8" s="51">
        <v>1</v>
      </c>
      <c r="C8" s="50">
        <f>SUM(R8/F8)</f>
        <v>39.280575539568346</v>
      </c>
      <c r="D8" s="147" t="s">
        <v>475</v>
      </c>
      <c r="E8" s="53" t="s">
        <v>574</v>
      </c>
      <c r="F8" s="49">
        <v>69.5</v>
      </c>
      <c r="G8" s="37">
        <v>1218</v>
      </c>
      <c r="H8" s="129" t="s">
        <v>575</v>
      </c>
      <c r="I8" s="48">
        <v>67.5</v>
      </c>
      <c r="J8" s="47">
        <v>13</v>
      </c>
      <c r="K8" s="46">
        <f>SUM(I8*J8)</f>
        <v>877.5</v>
      </c>
      <c r="L8" s="45">
        <v>70</v>
      </c>
      <c r="M8" s="44">
        <v>13</v>
      </c>
      <c r="N8" s="43">
        <f>SUM(L8*M8)</f>
        <v>910</v>
      </c>
      <c r="O8" s="42">
        <v>72.5</v>
      </c>
      <c r="P8" s="41">
        <v>13</v>
      </c>
      <c r="Q8" s="40">
        <f>SUM(O8*P8)</f>
        <v>942.5</v>
      </c>
      <c r="R8" s="39">
        <f>SUM(K8+N8+Q8)</f>
        <v>2730</v>
      </c>
      <c r="S8" s="148" t="s">
        <v>465</v>
      </c>
      <c r="T8" s="149"/>
    </row>
    <row r="9" ht="18">
      <c r="A9" s="143"/>
      <c r="B9" s="257" t="s">
        <v>602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9"/>
    </row>
    <row r="10" ht="18.75" customHeight="1">
      <c r="A10" s="266" t="s">
        <v>461</v>
      </c>
      <c r="B10" s="266" t="s">
        <v>495</v>
      </c>
      <c r="C10" s="266" t="s">
        <v>494</v>
      </c>
      <c r="D10" s="266" t="s">
        <v>0</v>
      </c>
      <c r="E10" s="266" t="s">
        <v>459</v>
      </c>
      <c r="F10" s="266" t="s">
        <v>493</v>
      </c>
      <c r="G10" s="266" t="s">
        <v>453</v>
      </c>
      <c r="H10" s="266" t="s">
        <v>452</v>
      </c>
      <c r="I10" s="270" t="s">
        <v>492</v>
      </c>
      <c r="J10" s="255"/>
      <c r="K10" s="256"/>
      <c r="L10" s="254" t="s">
        <v>491</v>
      </c>
      <c r="M10" s="255"/>
      <c r="N10" s="256"/>
      <c r="O10" s="271" t="s">
        <v>490</v>
      </c>
      <c r="P10" s="255"/>
      <c r="Q10" s="256"/>
      <c r="R10" s="268" t="s">
        <v>489</v>
      </c>
      <c r="S10" s="266" t="s">
        <v>454</v>
      </c>
      <c r="T10" s="266" t="s">
        <v>451</v>
      </c>
    </row>
    <row r="11" ht="24">
      <c r="A11" s="267"/>
      <c r="B11" s="267"/>
      <c r="C11" s="267"/>
      <c r="D11" s="267"/>
      <c r="E11" s="267"/>
      <c r="F11" s="267"/>
      <c r="G11" s="267"/>
      <c r="H11" s="267"/>
      <c r="I11" s="144" t="s">
        <v>488</v>
      </c>
      <c r="J11" s="144" t="s">
        <v>487</v>
      </c>
      <c r="K11" s="144" t="s">
        <v>486</v>
      </c>
      <c r="L11" s="145" t="s">
        <v>488</v>
      </c>
      <c r="M11" s="145" t="s">
        <v>487</v>
      </c>
      <c r="N11" s="145" t="s">
        <v>486</v>
      </c>
      <c r="O11" s="146" t="s">
        <v>488</v>
      </c>
      <c r="P11" s="146" t="s">
        <v>487</v>
      </c>
      <c r="Q11" s="146" t="s">
        <v>486</v>
      </c>
      <c r="R11" s="269"/>
      <c r="S11" s="267"/>
      <c r="T11" s="267"/>
    </row>
    <row r="12" ht="46.5" customHeight="1">
      <c r="A12" s="52">
        <v>26</v>
      </c>
      <c r="B12" s="51">
        <v>1</v>
      </c>
      <c r="C12" s="50">
        <f>SUM(R12/F12)</f>
        <v>39.823008849557525</v>
      </c>
      <c r="D12" s="147" t="s">
        <v>500</v>
      </c>
      <c r="E12" s="53" t="s">
        <v>603</v>
      </c>
      <c r="F12" s="49">
        <v>96.05</v>
      </c>
      <c r="G12" s="150" t="s">
        <v>604</v>
      </c>
      <c r="H12" s="129" t="s">
        <v>573</v>
      </c>
      <c r="I12" s="48">
        <v>105</v>
      </c>
      <c r="J12" s="47">
        <v>13</v>
      </c>
      <c r="K12" s="46">
        <f>SUM(I12*J12)</f>
        <v>1365</v>
      </c>
      <c r="L12" s="45">
        <v>105</v>
      </c>
      <c r="M12" s="44">
        <v>12</v>
      </c>
      <c r="N12" s="43">
        <f>SUM(L12*M12)</f>
        <v>1260</v>
      </c>
      <c r="O12" s="42">
        <v>100</v>
      </c>
      <c r="P12" s="41">
        <v>12</v>
      </c>
      <c r="Q12" s="40">
        <f>SUM(O12*P12)</f>
        <v>1200</v>
      </c>
      <c r="R12" s="39">
        <f>K12+N12+Q12</f>
        <v>3825</v>
      </c>
      <c r="S12" s="148" t="s">
        <v>447</v>
      </c>
      <c r="T12" s="149"/>
    </row>
    <row r="13" ht="18">
      <c r="A13" s="143"/>
      <c r="B13" s="257" t="s">
        <v>499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9"/>
    </row>
    <row r="14">
      <c r="A14" s="266" t="s">
        <v>461</v>
      </c>
      <c r="B14" s="266" t="s">
        <v>495</v>
      </c>
      <c r="C14" s="266" t="s">
        <v>494</v>
      </c>
      <c r="D14" s="266" t="s">
        <v>0</v>
      </c>
      <c r="E14" s="266" t="s">
        <v>459</v>
      </c>
      <c r="F14" s="266" t="s">
        <v>493</v>
      </c>
      <c r="G14" s="266" t="s">
        <v>453</v>
      </c>
      <c r="H14" s="266" t="s">
        <v>452</v>
      </c>
      <c r="I14" s="270" t="s">
        <v>492</v>
      </c>
      <c r="J14" s="255"/>
      <c r="K14" s="256"/>
      <c r="L14" s="254" t="s">
        <v>491</v>
      </c>
      <c r="M14" s="255"/>
      <c r="N14" s="256"/>
      <c r="O14" s="271" t="s">
        <v>490</v>
      </c>
      <c r="P14" s="255"/>
      <c r="Q14" s="256"/>
      <c r="R14" s="268" t="s">
        <v>489</v>
      </c>
      <c r="S14" s="266" t="s">
        <v>454</v>
      </c>
      <c r="T14" s="266" t="s">
        <v>451</v>
      </c>
    </row>
    <row r="15" ht="24">
      <c r="A15" s="267"/>
      <c r="B15" s="267"/>
      <c r="C15" s="267"/>
      <c r="D15" s="267"/>
      <c r="E15" s="267"/>
      <c r="F15" s="267"/>
      <c r="G15" s="267"/>
      <c r="H15" s="267"/>
      <c r="I15" s="144" t="s">
        <v>488</v>
      </c>
      <c r="J15" s="144" t="s">
        <v>487</v>
      </c>
      <c r="K15" s="144" t="s">
        <v>486</v>
      </c>
      <c r="L15" s="145" t="s">
        <v>488</v>
      </c>
      <c r="M15" s="145" t="s">
        <v>487</v>
      </c>
      <c r="N15" s="145" t="s">
        <v>486</v>
      </c>
      <c r="O15" s="146" t="s">
        <v>488</v>
      </c>
      <c r="P15" s="146" t="s">
        <v>487</v>
      </c>
      <c r="Q15" s="146" t="s">
        <v>486</v>
      </c>
      <c r="R15" s="269"/>
      <c r="S15" s="267"/>
      <c r="T15" s="267"/>
    </row>
    <row r="16" ht="48.75" customHeight="1">
      <c r="A16" s="52">
        <v>27</v>
      </c>
      <c r="B16" s="51">
        <v>1</v>
      </c>
      <c r="C16" s="50">
        <f>SUM(R16/F16)</f>
        <v>53.987898789878983</v>
      </c>
      <c r="D16" s="147" t="s">
        <v>498</v>
      </c>
      <c r="E16" s="53" t="s">
        <v>497</v>
      </c>
      <c r="F16" s="49">
        <v>90.9</v>
      </c>
      <c r="G16" s="37" t="s">
        <v>433</v>
      </c>
      <c r="H16" s="129" t="s">
        <v>561</v>
      </c>
      <c r="I16" s="48">
        <v>135</v>
      </c>
      <c r="J16" s="47">
        <v>13</v>
      </c>
      <c r="K16" s="46">
        <f>SUM(I16*J16)</f>
        <v>1755</v>
      </c>
      <c r="L16" s="45">
        <v>130</v>
      </c>
      <c r="M16" s="44">
        <v>12</v>
      </c>
      <c r="N16" s="43">
        <f>SUM(L16*M16)</f>
        <v>1560</v>
      </c>
      <c r="O16" s="42">
        <v>122.5</v>
      </c>
      <c r="P16" s="41">
        <v>13</v>
      </c>
      <c r="Q16" s="40">
        <f>SUM(O16*P16)</f>
        <v>1592.5</v>
      </c>
      <c r="R16" s="39">
        <f>SUM(K16+N16+Q16)</f>
        <v>4907.5</v>
      </c>
      <c r="S16" s="148" t="s">
        <v>466</v>
      </c>
      <c r="T16" s="149"/>
    </row>
    <row r="17" ht="18">
      <c r="A17" s="143"/>
      <c r="B17" s="257" t="s">
        <v>496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9"/>
    </row>
    <row r="18">
      <c r="A18" s="266" t="s">
        <v>461</v>
      </c>
      <c r="B18" s="266" t="s">
        <v>495</v>
      </c>
      <c r="C18" s="266" t="s">
        <v>494</v>
      </c>
      <c r="D18" s="266" t="s">
        <v>0</v>
      </c>
      <c r="E18" s="266" t="s">
        <v>459</v>
      </c>
      <c r="F18" s="266" t="s">
        <v>493</v>
      </c>
      <c r="G18" s="266" t="s">
        <v>453</v>
      </c>
      <c r="H18" s="266" t="s">
        <v>452</v>
      </c>
      <c r="I18" s="270" t="s">
        <v>492</v>
      </c>
      <c r="J18" s="255"/>
      <c r="K18" s="256"/>
      <c r="L18" s="254" t="s">
        <v>491</v>
      </c>
      <c r="M18" s="255"/>
      <c r="N18" s="256"/>
      <c r="O18" s="271" t="s">
        <v>490</v>
      </c>
      <c r="P18" s="255"/>
      <c r="Q18" s="256"/>
      <c r="R18" s="268" t="s">
        <v>489</v>
      </c>
      <c r="S18" s="266" t="s">
        <v>454</v>
      </c>
      <c r="T18" s="266" t="s">
        <v>451</v>
      </c>
    </row>
    <row r="19" ht="24">
      <c r="A19" s="267"/>
      <c r="B19" s="267"/>
      <c r="C19" s="267"/>
      <c r="D19" s="267"/>
      <c r="E19" s="267"/>
      <c r="F19" s="267"/>
      <c r="G19" s="267"/>
      <c r="H19" s="267"/>
      <c r="I19" s="144" t="s">
        <v>488</v>
      </c>
      <c r="J19" s="144" t="s">
        <v>487</v>
      </c>
      <c r="K19" s="144" t="s">
        <v>486</v>
      </c>
      <c r="L19" s="145" t="s">
        <v>488</v>
      </c>
      <c r="M19" s="145" t="s">
        <v>487</v>
      </c>
      <c r="N19" s="145" t="s">
        <v>486</v>
      </c>
      <c r="O19" s="146" t="s">
        <v>488</v>
      </c>
      <c r="P19" s="146" t="s">
        <v>487</v>
      </c>
      <c r="Q19" s="146" t="s">
        <v>486</v>
      </c>
      <c r="R19" s="269"/>
      <c r="S19" s="267"/>
      <c r="T19" s="267"/>
    </row>
    <row r="20" ht="47.25" customHeight="1">
      <c r="A20" s="52">
        <v>28</v>
      </c>
      <c r="B20" s="51">
        <v>1</v>
      </c>
      <c r="C20" s="50">
        <f>SUM(R20/F20)</f>
        <v>49.326521133302364</v>
      </c>
      <c r="D20" s="147" t="s">
        <v>485</v>
      </c>
      <c r="E20" s="53" t="s">
        <v>605</v>
      </c>
      <c r="F20" s="49">
        <v>107.65</v>
      </c>
      <c r="G20" s="150" t="s">
        <v>606</v>
      </c>
      <c r="H20" s="129" t="s">
        <v>561</v>
      </c>
      <c r="I20" s="48">
        <v>165</v>
      </c>
      <c r="J20" s="47">
        <v>10</v>
      </c>
      <c r="K20" s="46">
        <f>SUM(I20*J20)</f>
        <v>1650</v>
      </c>
      <c r="L20" s="45">
        <v>155</v>
      </c>
      <c r="M20" s="44">
        <v>12</v>
      </c>
      <c r="N20" s="43">
        <f>SUM(L20*M20)</f>
        <v>1860</v>
      </c>
      <c r="O20" s="42">
        <v>150</v>
      </c>
      <c r="P20" s="41">
        <v>12</v>
      </c>
      <c r="Q20" s="40">
        <f>SUM(O20*P20)</f>
        <v>1800</v>
      </c>
      <c r="R20" s="39">
        <f>SUM(K20+N20+Q20)</f>
        <v>5310</v>
      </c>
      <c r="S20" s="131" t="s">
        <v>565</v>
      </c>
      <c r="T20" s="149"/>
    </row>
    <row r="21" ht="15">
      <c r="A21" s="272" t="s">
        <v>446</v>
      </c>
      <c r="B21" s="273"/>
      <c r="C21" s="273"/>
      <c r="D21" s="273"/>
      <c r="E21" s="273"/>
      <c r="F21" s="273"/>
      <c r="G21" s="273"/>
      <c r="H21" s="274"/>
      <c r="I21" s="139"/>
      <c r="J21" s="139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ht="15">
      <c r="A22" s="275" t="s">
        <v>445</v>
      </c>
      <c r="B22" s="276"/>
      <c r="C22" s="276"/>
      <c r="D22" s="152" t="s">
        <v>439</v>
      </c>
      <c r="E22" s="37" t="s">
        <v>438</v>
      </c>
      <c r="F22" s="275" t="s">
        <v>437</v>
      </c>
      <c r="G22" s="275"/>
      <c r="H22" s="153" t="s">
        <v>436</v>
      </c>
      <c r="I22"/>
      <c r="J22"/>
      <c r="K22"/>
      <c r="L22"/>
      <c r="M22"/>
      <c r="N22"/>
      <c r="O22"/>
      <c r="P22"/>
      <c r="Q22"/>
      <c r="R22"/>
      <c r="S22"/>
      <c r="T22"/>
    </row>
    <row r="23" ht="15">
      <c r="A23" s="275" t="s">
        <v>444</v>
      </c>
      <c r="B23" s="276"/>
      <c r="C23" s="276"/>
      <c r="D23" s="152" t="s">
        <v>434</v>
      </c>
      <c r="E23" s="37" t="s">
        <v>433</v>
      </c>
      <c r="F23" s="275" t="s">
        <v>432</v>
      </c>
      <c r="G23" s="275"/>
      <c r="H23" s="153" t="s">
        <v>431</v>
      </c>
      <c r="I23"/>
      <c r="J23"/>
      <c r="K23"/>
      <c r="L23"/>
      <c r="M23"/>
      <c r="N23"/>
      <c r="O23"/>
      <c r="P23"/>
      <c r="Q23"/>
      <c r="R23"/>
      <c r="S23"/>
      <c r="T23"/>
    </row>
    <row r="24" ht="15">
      <c r="A24" s="275" t="s">
        <v>443</v>
      </c>
      <c r="B24" s="276"/>
      <c r="C24" s="276"/>
      <c r="D24" s="152" t="s">
        <v>434</v>
      </c>
      <c r="E24" s="37" t="s">
        <v>433</v>
      </c>
      <c r="F24" s="275" t="s">
        <v>432</v>
      </c>
      <c r="G24" s="275"/>
      <c r="H24" s="153" t="s">
        <v>431</v>
      </c>
      <c r="I24"/>
      <c r="J24"/>
      <c r="K24"/>
      <c r="L24"/>
      <c r="M24"/>
      <c r="N24"/>
      <c r="O24"/>
      <c r="P24"/>
      <c r="Q24"/>
      <c r="R24"/>
      <c r="S24"/>
      <c r="T24"/>
    </row>
    <row r="25" ht="15">
      <c r="A25" s="275" t="s">
        <v>442</v>
      </c>
      <c r="B25" s="276"/>
      <c r="C25" s="276"/>
      <c r="D25" s="152" t="s">
        <v>441</v>
      </c>
      <c r="E25"/>
      <c r="F25" s="275" t="s">
        <v>437</v>
      </c>
      <c r="G25" s="275"/>
      <c r="H25" s="153" t="s">
        <v>440</v>
      </c>
      <c r="I25"/>
      <c r="J25"/>
      <c r="K25"/>
      <c r="L25"/>
      <c r="M25"/>
      <c r="N25"/>
      <c r="O25"/>
      <c r="P25"/>
      <c r="Q25"/>
      <c r="R25"/>
      <c r="S25"/>
      <c r="T25"/>
    </row>
    <row r="26" ht="15">
      <c r="A26" s="275" t="s">
        <v>435</v>
      </c>
      <c r="B26" s="276"/>
      <c r="C26" s="276"/>
      <c r="D26" s="152" t="s">
        <v>439</v>
      </c>
      <c r="E26" s="37" t="s">
        <v>438</v>
      </c>
      <c r="F26" s="275" t="s">
        <v>437</v>
      </c>
      <c r="G26" s="275"/>
      <c r="H26" s="153" t="s">
        <v>436</v>
      </c>
      <c r="I26"/>
      <c r="J26"/>
      <c r="K26"/>
      <c r="L26"/>
      <c r="M26"/>
      <c r="N26"/>
      <c r="O26"/>
      <c r="P26"/>
      <c r="Q26"/>
      <c r="R26"/>
      <c r="S26"/>
      <c r="T26"/>
    </row>
    <row r="27" ht="15">
      <c r="A27" s="275" t="s">
        <v>435</v>
      </c>
      <c r="B27" s="276"/>
      <c r="C27" s="276"/>
      <c r="D27" s="152" t="s">
        <v>434</v>
      </c>
      <c r="E27" s="37" t="s">
        <v>433</v>
      </c>
      <c r="F27" s="275" t="s">
        <v>432</v>
      </c>
      <c r="G27" s="275"/>
      <c r="H27" s="153" t="s">
        <v>431</v>
      </c>
      <c r="I27"/>
      <c r="J27"/>
      <c r="K27"/>
      <c r="L27"/>
      <c r="M27"/>
      <c r="N27"/>
      <c r="O27"/>
      <c r="P27"/>
      <c r="Q27"/>
      <c r="R27"/>
      <c r="S27"/>
      <c r="T27"/>
    </row>
  </sheetData>
  <mergeCells>
    <mergeCell ref="A27:C27"/>
    <mergeCell ref="F27:G27"/>
    <mergeCell ref="A24:C24"/>
    <mergeCell ref="F24:G24"/>
    <mergeCell ref="A25:C25"/>
    <mergeCell ref="F25:G25"/>
    <mergeCell ref="A26:C26"/>
    <mergeCell ref="F26:G26"/>
    <mergeCell ref="S18:S19"/>
    <mergeCell ref="I18:K18"/>
    <mergeCell ref="L18:N18"/>
    <mergeCell ref="O18:Q18"/>
    <mergeCell ref="R18:R19"/>
    <mergeCell ref="A21:H21"/>
    <mergeCell ref="A22:C22"/>
    <mergeCell ref="F22:G22"/>
    <mergeCell ref="A23:C23"/>
    <mergeCell ref="F23:G23"/>
    <mergeCell ref="H18:H19"/>
    <mergeCell ref="O6:Q6"/>
    <mergeCell ref="T18:T19"/>
    <mergeCell ref="T14:T15"/>
    <mergeCell ref="B17:T17"/>
    <mergeCell ref="F18:F19"/>
    <mergeCell ref="G18:G19"/>
    <mergeCell ref="F14:F15"/>
    <mergeCell ref="G14:G15"/>
    <mergeCell ref="S14:S15"/>
    <mergeCell ref="L14:N14"/>
    <mergeCell ref="O14:Q14"/>
    <mergeCell ref="S10:S11"/>
    <mergeCell ref="T10:T11"/>
    <mergeCell ref="B13:T13"/>
    <mergeCell ref="R14:R15"/>
    <mergeCell ref="A18:A19"/>
    <mergeCell ref="B18:B19"/>
    <mergeCell ref="C18:C19"/>
    <mergeCell ref="D18:D19"/>
    <mergeCell ref="E18:E19"/>
    <mergeCell ref="H14:H15"/>
    <mergeCell ref="I14:K14"/>
    <mergeCell ref="A10:A11"/>
    <mergeCell ref="G10:G11"/>
    <mergeCell ref="H10:H11"/>
    <mergeCell ref="I10:K10"/>
    <mergeCell ref="A14:A15"/>
    <mergeCell ref="B14:B15"/>
    <mergeCell ref="C14:C15"/>
    <mergeCell ref="D14:D15"/>
    <mergeCell ref="E14:E15"/>
    <mergeCell ref="B10:B11"/>
    <mergeCell ref="C10:C11"/>
    <mergeCell ref="D10:D11"/>
    <mergeCell ref="E10:E11"/>
    <mergeCell ref="R10:R11"/>
    <mergeCell ref="O10:Q10"/>
    <mergeCell ref="F6:F7"/>
    <mergeCell ref="G6:G7"/>
    <mergeCell ref="H6:H7"/>
    <mergeCell ref="I6:K6"/>
    <mergeCell ref="L6:N6"/>
    <mergeCell ref="L10:N10"/>
    <mergeCell ref="A1:T1"/>
    <mergeCell ref="A2:T2"/>
    <mergeCell ref="A3:T3"/>
    <mergeCell ref="A4:T4"/>
    <mergeCell ref="B5:T5"/>
    <mergeCell ref="A6:A7"/>
    <mergeCell ref="B6:B7"/>
    <mergeCell ref="C6:C7"/>
    <mergeCell ref="D6:D7"/>
    <mergeCell ref="E6:E7"/>
    <mergeCell ref="R6:R7"/>
    <mergeCell ref="S6:S7"/>
    <mergeCell ref="T6:T7"/>
    <mergeCell ref="B9:T9"/>
    <mergeCell ref="F10:F11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>
  <dimension ref="A2:B8"/>
  <sheetViews>
    <sheetView tabSelected="1" topLeftCell="A1" workbookViewId="0">
      <selection activeCell="B12" sqref="B12"/>
    </sheetView>
  </sheetViews>
  <sheetFormatPr defaultColWidth="8.7109375" defaultRowHeight="13"/>
  <cols>
    <col min="1" max="1" width="55.7109375" customWidth="1"/>
    <col min="2" max="2" width="98.140625" customWidth="1"/>
  </cols>
  <sheetData>
    <row r="2" ht="22">
      <c r="A2" s="23" t="s">
        <v>529</v>
      </c>
    </row>
    <row r="4" ht="16">
      <c r="A4" s="11" t="s">
        <v>87</v>
      </c>
      <c r="B4" s="5" t="s">
        <v>333</v>
      </c>
    </row>
    <row r="5" ht="16">
      <c r="A5" s="11" t="s">
        <v>88</v>
      </c>
      <c r="B5" s="5" t="s">
        <v>333</v>
      </c>
    </row>
    <row r="6" ht="16">
      <c r="A6" s="188" t="s">
        <v>335</v>
      </c>
      <c r="B6" s="24" t="s">
        <v>553</v>
      </c>
    </row>
    <row r="7" ht="16">
      <c r="A7" s="188" t="s">
        <v>334</v>
      </c>
      <c r="B7" s="24" t="s">
        <v>530</v>
      </c>
    </row>
    <row r="8" ht="16">
      <c r="A8" s="11" t="s">
        <v>89</v>
      </c>
      <c r="B8" s="5" t="s">
        <v>332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V36"/>
  <sheetViews>
    <sheetView topLeftCell="A1" workbookViewId="0">
      <selection activeCell="G24" sqref="G24"/>
    </sheetView>
  </sheetViews>
  <sheetFormatPr defaultColWidth="8.7109375" defaultRowHeight="13"/>
  <cols>
    <col min="1" max="1" width="9.85546875" style="85" customWidth="1"/>
    <col min="2" max="2" width="21.140625" style="15" customWidth="1"/>
    <col min="3" max="3" width="24.42578125" style="15" customWidth="1"/>
    <col min="4" max="4" width="10.5703125" style="92" bestFit="1" customWidth="1"/>
    <col min="5" max="5" width="8.42578125" style="15" bestFit="1" customWidth="1"/>
    <col min="6" max="6" width="11.5703125" style="15" customWidth="1"/>
    <col min="7" max="7" width="33.140625" style="15" customWidth="1"/>
    <col min="8" max="10" width="5.5703125" style="15" bestFit="1" customWidth="1"/>
    <col min="11" max="11" width="4.5703125" style="15" bestFit="1" customWidth="1"/>
    <col min="12" max="14" width="5.5703125" style="15" bestFit="1" customWidth="1"/>
    <col min="15" max="15" width="4.5703125" style="15" bestFit="1" customWidth="1"/>
    <col min="16" max="18" width="5.5703125" style="15" bestFit="1" customWidth="1"/>
    <col min="19" max="19" width="4.5703125" style="15" bestFit="1" customWidth="1"/>
    <col min="20" max="20" width="7.85546875" style="85" bestFit="1" customWidth="1"/>
    <col min="21" max="21" width="8.5703125" style="85" bestFit="1" customWidth="1"/>
    <col min="22" max="22" width="16.5703125" style="15" bestFit="1" customWidth="1"/>
  </cols>
  <sheetData>
    <row r="1" s="1" customFormat="1" ht="15" customHeight="1">
      <c r="A1" s="200" t="s">
        <v>633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5"/>
    </row>
    <row r="2" s="1" customFormat="1" ht="119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7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1</v>
      </c>
      <c r="I3" s="190"/>
      <c r="J3" s="190"/>
      <c r="K3" s="190"/>
      <c r="L3" s="190" t="s">
        <v>2</v>
      </c>
      <c r="M3" s="190"/>
      <c r="N3" s="190"/>
      <c r="O3" s="190"/>
      <c r="P3" s="190" t="s">
        <v>3</v>
      </c>
      <c r="Q3" s="190"/>
      <c r="R3" s="190"/>
      <c r="S3" s="190"/>
      <c r="T3" s="190" t="s">
        <v>4</v>
      </c>
      <c r="U3" s="190" t="s">
        <v>6</v>
      </c>
      <c r="V3" s="192" t="s">
        <v>5</v>
      </c>
    </row>
    <row r="4" s="2" customFormat="1" ht="21" customHeight="1" thickBot="1">
      <c r="A4" s="196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3">
        <v>1</v>
      </c>
      <c r="Q4" s="3">
        <v>2</v>
      </c>
      <c r="R4" s="3">
        <v>3</v>
      </c>
      <c r="S4" s="3" t="s">
        <v>8</v>
      </c>
      <c r="T4" s="191"/>
      <c r="U4" s="191"/>
      <c r="V4" s="193"/>
    </row>
    <row r="5" ht="16">
      <c r="A5" s="88"/>
      <c r="B5" s="194" t="s">
        <v>17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>
      <c r="A6" s="84" t="s">
        <v>330</v>
      </c>
      <c r="B6" s="16" t="s">
        <v>247</v>
      </c>
      <c r="C6" s="16" t="s">
        <v>248</v>
      </c>
      <c r="D6" s="91">
        <v>64.6</v>
      </c>
      <c r="E6" s="16" t="str">
        <f>"1,0539"</f>
        <v>1,0539</v>
      </c>
      <c r="F6" s="16" t="s">
        <v>72</v>
      </c>
      <c r="G6" s="16" t="s">
        <v>537</v>
      </c>
      <c r="H6" s="90" t="s">
        <v>80</v>
      </c>
      <c r="I6" s="158" t="s">
        <v>115</v>
      </c>
      <c r="J6" s="90" t="s">
        <v>53</v>
      </c>
      <c r="K6" s="69"/>
      <c r="L6" s="158" t="s">
        <v>249</v>
      </c>
      <c r="M6" s="158" t="s">
        <v>250</v>
      </c>
      <c r="N6" s="90" t="s">
        <v>220</v>
      </c>
      <c r="O6" s="69"/>
      <c r="P6" s="90" t="s">
        <v>73</v>
      </c>
      <c r="Q6" s="158" t="s">
        <v>115</v>
      </c>
      <c r="R6" s="69"/>
      <c r="S6" s="17"/>
      <c r="T6" s="84">
        <v>377.5</v>
      </c>
      <c r="U6" s="84" t="str">
        <f>"397,8473"</f>
        <v>397,8473</v>
      </c>
      <c r="V6" s="16" t="s">
        <v>506</v>
      </c>
    </row>
    <row r="8" ht="16">
      <c r="A8" s="88"/>
      <c r="B8" s="189" t="s">
        <v>74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</row>
    <row r="9">
      <c r="A9" s="84" t="s">
        <v>330</v>
      </c>
      <c r="B9" s="16" t="s">
        <v>251</v>
      </c>
      <c r="C9" s="16" t="s">
        <v>252</v>
      </c>
      <c r="D9" s="91">
        <v>123.8</v>
      </c>
      <c r="E9" s="16" t="str">
        <f>"0,5710"</f>
        <v>0,5710</v>
      </c>
      <c r="F9" s="16" t="s">
        <v>72</v>
      </c>
      <c r="G9" s="16" t="s">
        <v>537</v>
      </c>
      <c r="H9" s="158" t="s">
        <v>253</v>
      </c>
      <c r="I9" s="90" t="s">
        <v>254</v>
      </c>
      <c r="J9" s="90" t="s">
        <v>254</v>
      </c>
      <c r="K9" s="69"/>
      <c r="L9" s="90" t="s">
        <v>189</v>
      </c>
      <c r="M9" s="158" t="s">
        <v>60</v>
      </c>
      <c r="N9" s="158" t="s">
        <v>255</v>
      </c>
      <c r="O9" s="69"/>
      <c r="P9" s="158" t="s">
        <v>256</v>
      </c>
      <c r="Q9" s="158" t="s">
        <v>257</v>
      </c>
      <c r="R9" s="158" t="s">
        <v>254</v>
      </c>
      <c r="S9" s="17"/>
      <c r="T9" s="84">
        <v>902.5</v>
      </c>
      <c r="U9" s="84" t="str">
        <f>"515,3275"</f>
        <v>515,3275</v>
      </c>
      <c r="V9" s="16" t="s">
        <v>513</v>
      </c>
    </row>
    <row r="11">
      <c r="A11" s="22"/>
      <c r="O11"/>
      <c r="P11"/>
      <c r="Q11"/>
      <c r="R11"/>
      <c r="S11"/>
      <c r="T11" s="88"/>
      <c r="U11" s="88"/>
      <c r="V11"/>
    </row>
    <row r="12">
      <c r="A12" s="22"/>
      <c r="O12"/>
      <c r="P12"/>
      <c r="Q12"/>
      <c r="R12"/>
      <c r="S12"/>
      <c r="T12" s="88"/>
      <c r="U12" s="88"/>
      <c r="V12"/>
    </row>
    <row r="13">
      <c r="A13" s="22"/>
      <c r="O13"/>
      <c r="P13"/>
      <c r="Q13"/>
      <c r="R13"/>
      <c r="S13"/>
      <c r="T13" s="88"/>
      <c r="U13" s="88"/>
      <c r="V13"/>
    </row>
    <row r="14">
      <c r="P14"/>
      <c r="Q14"/>
      <c r="R14"/>
      <c r="S14"/>
      <c r="T14" s="88"/>
      <c r="U14" s="88"/>
      <c r="V14"/>
    </row>
    <row r="15">
      <c r="A15" s="22"/>
      <c r="P15"/>
      <c r="Q15"/>
      <c r="R15"/>
      <c r="S15"/>
      <c r="T15" s="88"/>
      <c r="U15" s="88"/>
      <c r="V15"/>
    </row>
    <row r="16">
      <c r="A16" s="22"/>
      <c r="P16"/>
      <c r="Q16"/>
      <c r="R16"/>
      <c r="S16"/>
      <c r="T16" s="88"/>
      <c r="U16" s="88"/>
      <c r="V16"/>
    </row>
    <row r="17">
      <c r="A17" s="22"/>
      <c r="P17"/>
      <c r="Q17"/>
      <c r="R17"/>
      <c r="S17"/>
      <c r="T17" s="88"/>
      <c r="U17" s="88"/>
      <c r="V17"/>
    </row>
    <row r="18">
      <c r="P18"/>
      <c r="Q18"/>
      <c r="R18"/>
      <c r="S18"/>
      <c r="T18" s="88"/>
      <c r="U18" s="88"/>
      <c r="V18"/>
    </row>
    <row r="19">
      <c r="P19"/>
      <c r="Q19"/>
      <c r="R19"/>
      <c r="S19"/>
      <c r="T19" s="88"/>
      <c r="U19" s="88"/>
      <c r="V19"/>
    </row>
    <row r="20">
      <c r="A20" s="22"/>
      <c r="P20"/>
      <c r="Q20"/>
      <c r="R20"/>
      <c r="S20"/>
      <c r="T20" s="88"/>
      <c r="U20" s="88"/>
      <c r="V20"/>
    </row>
    <row r="21">
      <c r="A21" s="22"/>
      <c r="P21"/>
      <c r="Q21"/>
      <c r="R21"/>
      <c r="S21"/>
      <c r="T21" s="88"/>
      <c r="U21" s="88"/>
      <c r="V21"/>
    </row>
    <row r="22">
      <c r="A22" s="22"/>
      <c r="P22"/>
      <c r="Q22"/>
      <c r="R22"/>
      <c r="S22"/>
      <c r="T22" s="88"/>
      <c r="U22" s="88"/>
      <c r="V22"/>
    </row>
    <row r="23">
      <c r="A23" s="22"/>
      <c r="P23"/>
      <c r="Q23"/>
      <c r="R23"/>
      <c r="S23"/>
      <c r="T23" s="88"/>
      <c r="U23" s="88"/>
      <c r="V23"/>
    </row>
    <row r="24">
      <c r="A24" s="22"/>
      <c r="P24"/>
      <c r="Q24"/>
      <c r="R24"/>
      <c r="S24"/>
      <c r="T24" s="88"/>
      <c r="U24" s="88"/>
      <c r="V24"/>
    </row>
    <row r="25">
      <c r="A25" s="22"/>
      <c r="P25"/>
      <c r="Q25"/>
      <c r="R25"/>
      <c r="S25"/>
      <c r="T25" s="88"/>
      <c r="U25" s="88"/>
      <c r="V25"/>
    </row>
    <row r="26">
      <c r="A26" s="22"/>
      <c r="P26"/>
      <c r="Q26"/>
      <c r="R26"/>
      <c r="S26"/>
      <c r="T26" s="88"/>
      <c r="U26" s="88"/>
      <c r="V26"/>
    </row>
    <row r="27">
      <c r="A27" s="22"/>
      <c r="P27"/>
      <c r="Q27"/>
      <c r="R27"/>
      <c r="S27"/>
      <c r="T27" s="88"/>
      <c r="U27" s="88"/>
      <c r="V27"/>
    </row>
    <row r="28">
      <c r="A28" s="22"/>
      <c r="P28"/>
      <c r="Q28"/>
      <c r="R28"/>
      <c r="S28"/>
      <c r="T28" s="88"/>
      <c r="U28" s="88"/>
      <c r="V28"/>
    </row>
    <row r="29">
      <c r="P29"/>
      <c r="Q29"/>
      <c r="R29"/>
      <c r="S29"/>
      <c r="T29" s="88"/>
      <c r="U29" s="88"/>
      <c r="V29"/>
    </row>
    <row r="30">
      <c r="P30"/>
      <c r="Q30"/>
      <c r="R30"/>
      <c r="S30"/>
      <c r="T30" s="88"/>
      <c r="U30" s="88"/>
      <c r="V30"/>
    </row>
    <row r="31">
      <c r="P31"/>
      <c r="Q31"/>
      <c r="R31"/>
      <c r="S31"/>
      <c r="T31" s="88"/>
      <c r="U31" s="88"/>
      <c r="V31"/>
    </row>
    <row r="32">
      <c r="P32"/>
      <c r="Q32"/>
      <c r="R32"/>
      <c r="S32"/>
      <c r="T32" s="88"/>
      <c r="U32" s="88"/>
      <c r="V32"/>
    </row>
    <row r="33">
      <c r="P33"/>
      <c r="Q33"/>
      <c r="R33"/>
      <c r="S33"/>
      <c r="T33" s="88"/>
      <c r="U33" s="88"/>
      <c r="V33"/>
    </row>
    <row r="34">
      <c r="P34"/>
      <c r="Q34"/>
      <c r="R34"/>
      <c r="S34"/>
      <c r="T34" s="88"/>
      <c r="U34" s="88"/>
      <c r="V34"/>
    </row>
    <row r="35">
      <c r="P35"/>
      <c r="Q35"/>
      <c r="R35"/>
      <c r="S35"/>
      <c r="T35" s="88"/>
      <c r="U35" s="88"/>
      <c r="V35"/>
    </row>
    <row r="36">
      <c r="P36"/>
      <c r="Q36"/>
      <c r="R36"/>
      <c r="S36"/>
      <c r="T36" s="88"/>
      <c r="U36" s="88"/>
      <c r="V36"/>
    </row>
  </sheetData>
  <mergeCells>
    <mergeCell ref="B5:U5"/>
    <mergeCell ref="B8:U8"/>
    <mergeCell ref="A3:A4"/>
    <mergeCell ref="A1:V2"/>
    <mergeCell ref="B3:B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R31"/>
  <sheetViews>
    <sheetView topLeftCell="A1" workbookViewId="0">
      <selection activeCell="G19" sqref="G19"/>
    </sheetView>
  </sheetViews>
  <sheetFormatPr defaultColWidth="8.7109375" defaultRowHeight="13"/>
  <cols>
    <col min="1" max="1" width="9.85546875" style="85" customWidth="1"/>
    <col min="2" max="2" width="26" style="15" bestFit="1" customWidth="1"/>
    <col min="3" max="3" width="27.140625" style="15" bestFit="1" customWidth="1"/>
    <col min="4" max="4" width="10.5703125" style="92" bestFit="1" customWidth="1"/>
    <col min="5" max="5" width="8.42578125" style="15" bestFit="1" customWidth="1"/>
    <col min="6" max="6" width="10.5703125" style="15" customWidth="1"/>
    <col min="7" max="7" width="42.7109375" style="15" customWidth="1"/>
    <col min="8" max="10" width="5.5703125" style="15" bestFit="1" customWidth="1"/>
    <col min="11" max="11" width="4.5703125" style="15" bestFit="1" customWidth="1"/>
    <col min="12" max="14" width="5.5703125" style="15" bestFit="1" customWidth="1"/>
    <col min="15" max="15" width="4.5703125" style="15" bestFit="1" customWidth="1"/>
    <col min="16" max="16" width="13.7109375" style="85" customWidth="1"/>
    <col min="17" max="17" width="8.5703125" style="22" bestFit="1" customWidth="1"/>
    <col min="18" max="18" width="15.42578125" style="15" bestFit="1" customWidth="1"/>
  </cols>
  <sheetData>
    <row r="1" s="1" customFormat="1" ht="15" customHeight="1">
      <c r="A1" s="212" t="s">
        <v>625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178"/>
      <c r="R1" s="154"/>
    </row>
    <row r="2" s="1" customFormat="1" ht="84.75" customHeight="1" thickBot="1">
      <c r="A2" s="214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179"/>
      <c r="R2" s="155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5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190" t="s">
        <v>3</v>
      </c>
      <c r="M3" s="190"/>
      <c r="N3" s="190"/>
      <c r="O3" s="190"/>
      <c r="P3" s="190" t="s">
        <v>533</v>
      </c>
      <c r="Q3" s="190" t="s">
        <v>6</v>
      </c>
      <c r="R3" s="192" t="s">
        <v>5</v>
      </c>
    </row>
    <row r="4" s="2" customFormat="1" ht="21" customHeight="1" thickBot="1">
      <c r="A4" s="196"/>
      <c r="B4" s="196"/>
      <c r="C4" s="191"/>
      <c r="D4" s="216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191"/>
      <c r="Q4" s="191"/>
      <c r="R4" s="193"/>
    </row>
    <row r="5" ht="16">
      <c r="A5" s="87"/>
      <c r="B5" s="194" t="s">
        <v>42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</row>
    <row r="6">
      <c r="A6" s="84" t="s">
        <v>330</v>
      </c>
      <c r="B6" s="16" t="s">
        <v>266</v>
      </c>
      <c r="C6" s="16" t="s">
        <v>267</v>
      </c>
      <c r="D6" s="91">
        <v>91.7</v>
      </c>
      <c r="E6" s="16" t="str">
        <f>"0,6325"</f>
        <v>0,6325</v>
      </c>
      <c r="F6" s="16" t="s">
        <v>14</v>
      </c>
      <c r="G6" s="16" t="s">
        <v>542</v>
      </c>
      <c r="H6" s="90" t="s">
        <v>21</v>
      </c>
      <c r="I6" s="158" t="s">
        <v>21</v>
      </c>
      <c r="J6" s="158" t="s">
        <v>22</v>
      </c>
      <c r="K6" s="17"/>
      <c r="L6" s="158" t="s">
        <v>35</v>
      </c>
      <c r="M6" s="158" t="s">
        <v>36</v>
      </c>
      <c r="N6" s="158" t="s">
        <v>209</v>
      </c>
      <c r="O6" s="17"/>
      <c r="P6" s="84" t="s">
        <v>608</v>
      </c>
      <c r="Q6" s="66" t="str">
        <f>"183,4250"</f>
        <v>183,4250</v>
      </c>
      <c r="R6" s="16" t="s">
        <v>86</v>
      </c>
    </row>
    <row r="8" ht="16">
      <c r="A8" s="87"/>
      <c r="B8" s="189" t="s">
        <v>74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</row>
    <row r="9">
      <c r="A9" s="84" t="s">
        <v>330</v>
      </c>
      <c r="B9" s="16" t="s">
        <v>316</v>
      </c>
      <c r="C9" s="16" t="s">
        <v>317</v>
      </c>
      <c r="D9" s="91">
        <v>121.6</v>
      </c>
      <c r="E9" s="16" t="str">
        <f>"0,5732"</f>
        <v>0,5732</v>
      </c>
      <c r="F9" s="16" t="s">
        <v>72</v>
      </c>
      <c r="G9" s="16" t="s">
        <v>537</v>
      </c>
      <c r="H9" s="158" t="s">
        <v>189</v>
      </c>
      <c r="I9" s="158" t="s">
        <v>318</v>
      </c>
      <c r="J9" s="158" t="s">
        <v>62</v>
      </c>
      <c r="K9" s="17"/>
      <c r="L9" s="158" t="s">
        <v>282</v>
      </c>
      <c r="M9" s="90" t="s">
        <v>319</v>
      </c>
      <c r="N9" s="90" t="s">
        <v>319</v>
      </c>
      <c r="O9" s="17"/>
      <c r="P9" s="84" t="s">
        <v>609</v>
      </c>
      <c r="Q9" s="66" t="str">
        <f>"289,4660"</f>
        <v>289,4660</v>
      </c>
      <c r="R9" s="16" t="s">
        <v>86</v>
      </c>
    </row>
    <row r="11">
      <c r="A11" s="22"/>
      <c r="K11"/>
      <c r="L11"/>
      <c r="M11"/>
      <c r="N11"/>
      <c r="O11"/>
      <c r="P11" s="88"/>
      <c r="Q11" s="87"/>
      <c r="R11"/>
    </row>
    <row r="12">
      <c r="A12" s="22"/>
      <c r="K12"/>
      <c r="L12"/>
      <c r="M12"/>
      <c r="N12"/>
      <c r="O12"/>
      <c r="P12" s="88"/>
      <c r="Q12" s="87"/>
      <c r="R12"/>
    </row>
    <row r="13">
      <c r="A13" s="22"/>
      <c r="K13"/>
      <c r="L13"/>
      <c r="M13"/>
      <c r="N13"/>
      <c r="O13"/>
      <c r="P13" s="88"/>
      <c r="Q13" s="87"/>
      <c r="R13"/>
    </row>
    <row r="14">
      <c r="A14" s="22"/>
      <c r="K14"/>
      <c r="L14"/>
      <c r="M14"/>
      <c r="N14"/>
      <c r="O14"/>
      <c r="P14" s="88"/>
      <c r="Q14" s="87"/>
      <c r="R14"/>
    </row>
    <row r="15">
      <c r="A15" s="22"/>
      <c r="K15"/>
      <c r="L15"/>
      <c r="M15"/>
      <c r="N15"/>
      <c r="O15"/>
      <c r="P15" s="88"/>
      <c r="Q15" s="87"/>
      <c r="R15"/>
    </row>
    <row r="16">
      <c r="A16" s="22"/>
      <c r="K16"/>
      <c r="L16"/>
      <c r="M16"/>
      <c r="N16"/>
      <c r="O16"/>
      <c r="P16" s="88"/>
      <c r="Q16" s="87"/>
      <c r="R16"/>
    </row>
    <row r="17">
      <c r="A17" s="22"/>
      <c r="K17"/>
      <c r="L17"/>
      <c r="M17"/>
      <c r="N17"/>
      <c r="O17"/>
      <c r="P17" s="88"/>
      <c r="Q17" s="87"/>
      <c r="R17"/>
    </row>
    <row r="18">
      <c r="A18" s="22"/>
      <c r="K18"/>
      <c r="L18"/>
      <c r="M18"/>
      <c r="N18"/>
      <c r="O18"/>
      <c r="P18" s="88"/>
      <c r="Q18" s="87"/>
      <c r="R18"/>
    </row>
    <row r="19">
      <c r="A19" s="22"/>
      <c r="K19"/>
      <c r="L19"/>
      <c r="M19"/>
      <c r="N19"/>
      <c r="O19"/>
      <c r="P19" s="88"/>
      <c r="Q19" s="87"/>
      <c r="R19"/>
    </row>
    <row r="20">
      <c r="M20"/>
      <c r="N20"/>
      <c r="O20"/>
      <c r="P20" s="88"/>
      <c r="Q20" s="87"/>
      <c r="R20"/>
    </row>
    <row r="21">
      <c r="M21"/>
      <c r="N21"/>
      <c r="O21"/>
      <c r="P21" s="88"/>
      <c r="Q21" s="87"/>
      <c r="R21"/>
    </row>
    <row r="22">
      <c r="M22"/>
      <c r="N22"/>
      <c r="O22"/>
      <c r="P22" s="88"/>
      <c r="Q22" s="87"/>
      <c r="R22"/>
    </row>
    <row r="23">
      <c r="M23"/>
      <c r="N23"/>
      <c r="O23"/>
      <c r="P23" s="88"/>
      <c r="Q23" s="87"/>
      <c r="R23"/>
    </row>
    <row r="24">
      <c r="M24"/>
      <c r="N24"/>
      <c r="O24"/>
      <c r="P24" s="88"/>
      <c r="Q24" s="87"/>
      <c r="R24"/>
    </row>
    <row r="25">
      <c r="M25"/>
      <c r="N25"/>
      <c r="O25"/>
      <c r="P25" s="88"/>
      <c r="Q25" s="87"/>
      <c r="R25"/>
    </row>
    <row r="26">
      <c r="M26"/>
      <c r="N26"/>
      <c r="O26"/>
      <c r="P26" s="88"/>
      <c r="Q26" s="87"/>
      <c r="R26"/>
    </row>
    <row r="27">
      <c r="M27"/>
      <c r="N27"/>
      <c r="O27"/>
      <c r="P27" s="88"/>
      <c r="Q27" s="87"/>
      <c r="R27"/>
    </row>
    <row r="28">
      <c r="M28"/>
      <c r="N28"/>
      <c r="O28"/>
      <c r="P28" s="88"/>
      <c r="Q28" s="87"/>
      <c r="R28"/>
    </row>
    <row r="29">
      <c r="M29"/>
      <c r="N29"/>
      <c r="O29"/>
      <c r="P29" s="88"/>
      <c r="Q29" s="87"/>
      <c r="R29"/>
    </row>
    <row r="30">
      <c r="M30"/>
      <c r="N30"/>
      <c r="O30"/>
      <c r="P30" s="88"/>
      <c r="Q30" s="87"/>
      <c r="R30"/>
    </row>
    <row r="31">
      <c r="M31"/>
      <c r="N31"/>
      <c r="O31"/>
      <c r="P31" s="88"/>
      <c r="Q31" s="87"/>
      <c r="R31"/>
    </row>
  </sheetData>
  <mergeCells>
    <mergeCell ref="R3:R4"/>
    <mergeCell ref="A1:P2"/>
    <mergeCell ref="B5:Q5"/>
    <mergeCell ref="B8:Q8"/>
    <mergeCell ref="A3:A4"/>
    <mergeCell ref="B3:B4"/>
    <mergeCell ref="C3:C4"/>
    <mergeCell ref="D3:D4"/>
    <mergeCell ref="E3:E4"/>
    <mergeCell ref="F3:F4"/>
    <mergeCell ref="G3:G4"/>
    <mergeCell ref="H3:K3"/>
    <mergeCell ref="L3:O3"/>
    <mergeCell ref="P3:P4"/>
    <mergeCell ref="Q3:Q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topLeftCell="A1" workbookViewId="0">
      <selection activeCell="G27" sqref="G27"/>
    </sheetView>
  </sheetViews>
  <sheetFormatPr defaultColWidth="8.7109375" defaultRowHeight="13"/>
  <cols>
    <col min="1" max="1" width="9.85546875" style="85" customWidth="1"/>
    <col min="2" max="2" width="21.140625" style="15" customWidth="1"/>
    <col min="3" max="3" width="24.42578125" style="15" customWidth="1"/>
    <col min="4" max="4" width="10.5703125" style="92" bestFit="1" customWidth="1"/>
    <col min="5" max="5" width="8.42578125" style="15" bestFit="1" customWidth="1"/>
    <col min="6" max="6" width="12.7109375" style="15" customWidth="1"/>
    <col min="7" max="7" width="33.85546875" style="15" customWidth="1"/>
    <col min="8" max="10" width="5.5703125" style="15" bestFit="1" customWidth="1"/>
    <col min="11" max="11" width="4.5703125" style="15" bestFit="1" customWidth="1"/>
    <col min="12" max="14" width="5.5703125" style="15" bestFit="1" customWidth="1"/>
    <col min="15" max="15" width="4.5703125" style="15" bestFit="1" customWidth="1"/>
    <col min="16" max="16" width="11.42578125" style="85" customWidth="1"/>
    <col min="17" max="17" width="8.5703125" style="15" bestFit="1" customWidth="1"/>
    <col min="18" max="18" width="16.5703125" style="15" bestFit="1" customWidth="1"/>
  </cols>
  <sheetData>
    <row r="1" s="1" customFormat="1" ht="15" customHeight="1">
      <c r="A1" s="212" t="s">
        <v>627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164"/>
      <c r="R1" s="165"/>
    </row>
    <row r="2" s="1" customFormat="1" ht="81" customHeight="1" thickBot="1">
      <c r="A2" s="214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156"/>
      <c r="R2" s="157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5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190" t="s">
        <v>3</v>
      </c>
      <c r="M3" s="190"/>
      <c r="N3" s="190"/>
      <c r="O3" s="190"/>
      <c r="P3" s="190" t="s">
        <v>533</v>
      </c>
      <c r="Q3" s="190" t="s">
        <v>6</v>
      </c>
      <c r="R3" s="192" t="s">
        <v>5</v>
      </c>
    </row>
    <row r="4" s="2" customFormat="1" ht="21" customHeight="1" thickBot="1">
      <c r="A4" s="196"/>
      <c r="B4" s="196"/>
      <c r="C4" s="191"/>
      <c r="D4" s="216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3">
        <v>1</v>
      </c>
      <c r="M4" s="3">
        <v>2</v>
      </c>
      <c r="N4" s="3">
        <v>3</v>
      </c>
      <c r="O4" s="3" t="s">
        <v>8</v>
      </c>
      <c r="P4" s="191"/>
      <c r="Q4" s="191"/>
      <c r="R4" s="193"/>
    </row>
    <row r="5" ht="16">
      <c r="A5" s="87"/>
      <c r="B5" s="194" t="s">
        <v>106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</row>
    <row r="6">
      <c r="A6" s="84" t="s">
        <v>330</v>
      </c>
      <c r="B6" s="16" t="s">
        <v>312</v>
      </c>
      <c r="C6" s="16" t="s">
        <v>313</v>
      </c>
      <c r="D6" s="91">
        <v>73.8</v>
      </c>
      <c r="E6" s="16" t="str">
        <f>"0,7207"</f>
        <v>0,7207</v>
      </c>
      <c r="F6" s="16" t="s">
        <v>14</v>
      </c>
      <c r="G6" s="16" t="s">
        <v>537</v>
      </c>
      <c r="H6" s="158" t="s">
        <v>23</v>
      </c>
      <c r="I6" s="158" t="s">
        <v>110</v>
      </c>
      <c r="J6" s="158" t="s">
        <v>78</v>
      </c>
      <c r="K6" s="69"/>
      <c r="L6" s="90" t="s">
        <v>209</v>
      </c>
      <c r="M6" s="158" t="s">
        <v>209</v>
      </c>
      <c r="N6" s="158" t="s">
        <v>189</v>
      </c>
      <c r="O6" s="69"/>
      <c r="P6" s="84" t="s">
        <v>283</v>
      </c>
      <c r="Q6" s="16" t="str">
        <f>"223,4170"</f>
        <v>223,4170</v>
      </c>
      <c r="R6" s="16" t="s">
        <v>86</v>
      </c>
    </row>
    <row r="8" ht="16">
      <c r="A8" s="87"/>
      <c r="B8" s="189" t="s">
        <v>30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</row>
    <row r="9">
      <c r="A9" s="84" t="s">
        <v>330</v>
      </c>
      <c r="B9" s="16" t="s">
        <v>226</v>
      </c>
      <c r="C9" s="16" t="s">
        <v>227</v>
      </c>
      <c r="D9" s="91">
        <v>85.1</v>
      </c>
      <c r="E9" s="16" t="str">
        <f>"0,6579"</f>
        <v>0,6579</v>
      </c>
      <c r="F9" s="16" t="s">
        <v>72</v>
      </c>
      <c r="G9" s="16" t="s">
        <v>537</v>
      </c>
      <c r="H9" s="158" t="s">
        <v>121</v>
      </c>
      <c r="I9" s="69"/>
      <c r="J9" s="69"/>
      <c r="K9" s="69"/>
      <c r="L9" s="158" t="s">
        <v>189</v>
      </c>
      <c r="M9" s="17"/>
      <c r="N9" s="17"/>
      <c r="O9" s="17"/>
      <c r="P9" s="84">
        <v>297.5</v>
      </c>
      <c r="Q9" s="16" t="str">
        <f>"195,7252"</f>
        <v>195,7252</v>
      </c>
      <c r="R9" s="16" t="s">
        <v>509</v>
      </c>
    </row>
    <row r="11" ht="16">
      <c r="A11" s="22"/>
      <c r="B11" s="189" t="s">
        <v>42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>
      <c r="A12" s="84" t="s">
        <v>330</v>
      </c>
      <c r="B12" s="16" t="s">
        <v>314</v>
      </c>
      <c r="C12" s="16" t="s">
        <v>315</v>
      </c>
      <c r="D12" s="91">
        <v>95.5</v>
      </c>
      <c r="E12" s="16" t="str">
        <f>"0,6206"</f>
        <v>0,6206</v>
      </c>
      <c r="F12" s="16" t="s">
        <v>14</v>
      </c>
      <c r="G12" s="16" t="s">
        <v>543</v>
      </c>
      <c r="H12" s="158" t="s">
        <v>127</v>
      </c>
      <c r="I12" s="158" t="s">
        <v>22</v>
      </c>
      <c r="J12" s="90" t="s">
        <v>122</v>
      </c>
      <c r="K12" s="69"/>
      <c r="L12" s="158" t="s">
        <v>209</v>
      </c>
      <c r="M12" s="90" t="s">
        <v>210</v>
      </c>
      <c r="N12" s="158" t="s">
        <v>210</v>
      </c>
      <c r="O12" s="17"/>
      <c r="P12" s="84" t="s">
        <v>610</v>
      </c>
      <c r="Q12" s="16" t="str">
        <f>"183,0770"</f>
        <v>183,0770</v>
      </c>
      <c r="R12" s="16" t="s">
        <v>507</v>
      </c>
    </row>
    <row r="13">
      <c r="A13" s="22"/>
    </row>
    <row r="14">
      <c r="A14" s="22"/>
      <c r="L14"/>
      <c r="M14"/>
      <c r="N14"/>
      <c r="O14"/>
      <c r="P14" s="88"/>
      <c r="Q14"/>
      <c r="R14"/>
    </row>
    <row r="15">
      <c r="A15" s="22"/>
      <c r="L15"/>
      <c r="M15"/>
      <c r="N15"/>
      <c r="O15"/>
      <c r="P15" s="88"/>
      <c r="Q15"/>
      <c r="R15"/>
    </row>
    <row r="16">
      <c r="A16" s="22"/>
      <c r="L16"/>
      <c r="M16"/>
      <c r="N16"/>
      <c r="O16"/>
      <c r="P16" s="88"/>
      <c r="Q16"/>
      <c r="R16"/>
    </row>
    <row r="17">
      <c r="A17" s="22"/>
      <c r="L17"/>
      <c r="M17"/>
      <c r="N17"/>
      <c r="O17"/>
      <c r="P17" s="88"/>
      <c r="Q17"/>
      <c r="R17"/>
    </row>
    <row r="18">
      <c r="A18" s="22"/>
      <c r="L18"/>
      <c r="M18"/>
      <c r="N18"/>
      <c r="O18"/>
      <c r="P18" s="88"/>
      <c r="Q18"/>
      <c r="R18"/>
    </row>
    <row r="19">
      <c r="A19" s="22"/>
      <c r="L19"/>
      <c r="M19"/>
      <c r="N19"/>
      <c r="O19"/>
      <c r="P19" s="88"/>
      <c r="Q19"/>
      <c r="R19"/>
    </row>
    <row r="20">
      <c r="L20"/>
      <c r="M20"/>
      <c r="N20"/>
      <c r="O20"/>
      <c r="P20" s="88"/>
      <c r="Q20"/>
      <c r="R20"/>
    </row>
    <row r="21">
      <c r="L21"/>
      <c r="M21"/>
      <c r="N21"/>
      <c r="O21"/>
      <c r="P21" s="88"/>
      <c r="Q21"/>
      <c r="R21"/>
    </row>
    <row r="22">
      <c r="L22"/>
      <c r="M22"/>
      <c r="N22"/>
      <c r="O22"/>
      <c r="P22" s="88"/>
      <c r="Q22"/>
      <c r="R22"/>
    </row>
    <row r="23">
      <c r="L23"/>
      <c r="M23"/>
      <c r="N23"/>
      <c r="O23"/>
      <c r="P23" s="88"/>
      <c r="Q23"/>
      <c r="R23"/>
    </row>
    <row r="24">
      <c r="L24"/>
      <c r="M24"/>
      <c r="N24"/>
      <c r="O24"/>
      <c r="P24" s="88"/>
      <c r="Q24"/>
      <c r="R24"/>
    </row>
    <row r="25">
      <c r="L25"/>
      <c r="M25"/>
      <c r="N25"/>
      <c r="O25"/>
      <c r="P25" s="88"/>
      <c r="Q25"/>
      <c r="R25"/>
    </row>
    <row r="26">
      <c r="L26"/>
      <c r="M26"/>
      <c r="N26"/>
      <c r="O26"/>
      <c r="P26" s="88"/>
      <c r="Q26"/>
      <c r="R26"/>
    </row>
    <row r="27">
      <c r="L27"/>
      <c r="M27"/>
      <c r="N27"/>
      <c r="O27"/>
      <c r="P27" s="88"/>
      <c r="Q27"/>
      <c r="R27"/>
    </row>
    <row r="28">
      <c r="L28"/>
      <c r="M28"/>
      <c r="N28"/>
      <c r="O28"/>
      <c r="P28" s="88"/>
      <c r="Q28"/>
      <c r="R28"/>
    </row>
    <row r="29">
      <c r="L29"/>
      <c r="M29"/>
      <c r="N29"/>
      <c r="O29"/>
      <c r="P29" s="88"/>
      <c r="Q29"/>
      <c r="R29"/>
    </row>
    <row r="30">
      <c r="L30"/>
      <c r="M30"/>
      <c r="N30"/>
      <c r="O30"/>
      <c r="P30" s="88"/>
      <c r="Q30"/>
      <c r="R30"/>
    </row>
    <row r="31">
      <c r="L31"/>
      <c r="M31"/>
      <c r="N31"/>
      <c r="O31"/>
      <c r="P31" s="88"/>
      <c r="Q31"/>
      <c r="R31"/>
    </row>
  </sheetData>
  <mergeCells>
    <mergeCell ref="R3:R4"/>
    <mergeCell ref="B5:Q5"/>
    <mergeCell ref="B8:Q8"/>
    <mergeCell ref="A1:P2"/>
    <mergeCell ref="A3:A4"/>
    <mergeCell ref="B11:Q11"/>
    <mergeCell ref="B3:B4"/>
    <mergeCell ref="C3:C4"/>
    <mergeCell ref="D3:D4"/>
    <mergeCell ref="E3:E4"/>
    <mergeCell ref="F3:F4"/>
    <mergeCell ref="G3:G4"/>
    <mergeCell ref="H3:K3"/>
    <mergeCell ref="L3:O3"/>
    <mergeCell ref="P3:P4"/>
    <mergeCell ref="Q3:Q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N43"/>
  <sheetViews>
    <sheetView topLeftCell="A1" workbookViewId="0">
      <selection activeCell="G20" sqref="G20"/>
    </sheetView>
  </sheetViews>
  <sheetFormatPr defaultColWidth="8.7109375" defaultRowHeight="13"/>
  <cols>
    <col min="1" max="1" width="9.85546875" style="85" customWidth="1"/>
    <col min="2" max="2" width="23.7109375" style="15" customWidth="1"/>
    <col min="3" max="3" width="25.140625" style="15" customWidth="1"/>
    <col min="4" max="4" width="10.5703125" style="83" bestFit="1" customWidth="1"/>
    <col min="5" max="5" width="8.42578125" style="15" bestFit="1" customWidth="1"/>
    <col min="6" max="6" width="11.42578125" style="15" customWidth="1"/>
    <col min="7" max="7" width="34.140625" style="15" customWidth="1"/>
    <col min="8" max="10" width="5.5703125" style="85" bestFit="1" customWidth="1"/>
    <col min="11" max="11" width="4.5703125" style="15" bestFit="1" customWidth="1"/>
    <col min="12" max="12" width="11.7109375" style="176" customWidth="1"/>
    <col min="13" max="13" width="8.5703125" style="85" bestFit="1" customWidth="1"/>
    <col min="14" max="14" width="17.42578125" style="15" bestFit="1" customWidth="1"/>
  </cols>
  <sheetData>
    <row r="1" s="1" customFormat="1" ht="15" customHeight="1">
      <c r="A1" s="212" t="s">
        <v>626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7"/>
    </row>
    <row r="2" s="1" customFormat="1" ht="121.5" customHeight="1" thickBot="1">
      <c r="A2" s="214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1</v>
      </c>
      <c r="I3" s="190"/>
      <c r="J3" s="190"/>
      <c r="K3" s="190"/>
      <c r="L3" s="208" t="s">
        <v>533</v>
      </c>
      <c r="M3" s="190" t="s">
        <v>6</v>
      </c>
      <c r="N3" s="192" t="s">
        <v>5</v>
      </c>
    </row>
    <row r="4" s="2" customFormat="1" ht="21" customHeight="1" thickBot="1">
      <c r="A4" s="196"/>
      <c r="B4" s="196"/>
      <c r="C4" s="191"/>
      <c r="D4" s="211"/>
      <c r="E4" s="191"/>
      <c r="F4" s="191"/>
      <c r="G4" s="191"/>
      <c r="H4" s="78">
        <v>1</v>
      </c>
      <c r="I4" s="78">
        <v>2</v>
      </c>
      <c r="J4" s="78">
        <v>3</v>
      </c>
      <c r="K4" s="3" t="s">
        <v>8</v>
      </c>
      <c r="L4" s="209"/>
      <c r="M4" s="191"/>
      <c r="N4" s="193"/>
    </row>
    <row r="5" ht="16">
      <c r="A5" s="194" t="s">
        <v>320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>
      <c r="A6" s="84" t="s">
        <v>330</v>
      </c>
      <c r="B6" s="16" t="s">
        <v>321</v>
      </c>
      <c r="C6" s="16" t="s">
        <v>322</v>
      </c>
      <c r="D6" s="82">
        <v>47.9</v>
      </c>
      <c r="E6" s="16" t="str">
        <f>"1,3265"</f>
        <v>1,3265</v>
      </c>
      <c r="F6" s="16" t="s">
        <v>72</v>
      </c>
      <c r="G6" s="16" t="s">
        <v>537</v>
      </c>
      <c r="H6" s="159" t="s">
        <v>323</v>
      </c>
      <c r="I6" s="89" t="s">
        <v>249</v>
      </c>
      <c r="J6" s="159" t="s">
        <v>249</v>
      </c>
      <c r="K6" s="17"/>
      <c r="L6" s="175">
        <v>80</v>
      </c>
      <c r="M6" s="84" t="str">
        <f>"106,1200"</f>
        <v>106,1200</v>
      </c>
      <c r="N6" s="16" t="s">
        <v>505</v>
      </c>
    </row>
    <row r="8" ht="16">
      <c r="A8" s="189" t="s">
        <v>99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>
      <c r="A9" s="84" t="s">
        <v>330</v>
      </c>
      <c r="B9" s="16" t="s">
        <v>324</v>
      </c>
      <c r="C9" s="16" t="s">
        <v>325</v>
      </c>
      <c r="D9" s="82">
        <v>57.7</v>
      </c>
      <c r="E9" s="16" t="str">
        <f>"1,1494"</f>
        <v>1,1494</v>
      </c>
      <c r="F9" s="16" t="s">
        <v>14</v>
      </c>
      <c r="G9" s="16" t="s">
        <v>537</v>
      </c>
      <c r="H9" s="89" t="s">
        <v>16</v>
      </c>
      <c r="I9" s="89" t="s">
        <v>16</v>
      </c>
      <c r="J9" s="89" t="s">
        <v>16</v>
      </c>
      <c r="K9" s="17"/>
      <c r="L9" s="108">
        <v>0</v>
      </c>
      <c r="M9" s="84" t="s">
        <v>607</v>
      </c>
      <c r="N9" s="16" t="s">
        <v>506</v>
      </c>
    </row>
    <row r="11" ht="16">
      <c r="A11" s="189" t="s">
        <v>106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>
      <c r="A12" s="84" t="s">
        <v>330</v>
      </c>
      <c r="B12" s="16" t="s">
        <v>287</v>
      </c>
      <c r="C12" s="16" t="s">
        <v>288</v>
      </c>
      <c r="D12" s="82">
        <v>70.4</v>
      </c>
      <c r="E12" s="16" t="str">
        <f>"0,9910"</f>
        <v>0,9910</v>
      </c>
      <c r="F12" s="16" t="s">
        <v>14</v>
      </c>
      <c r="G12" s="16" t="s">
        <v>537</v>
      </c>
      <c r="H12" s="159" t="s">
        <v>326</v>
      </c>
      <c r="I12" s="89" t="s">
        <v>249</v>
      </c>
      <c r="J12" s="89" t="s">
        <v>249</v>
      </c>
      <c r="K12" s="17"/>
      <c r="L12" s="175">
        <v>75</v>
      </c>
      <c r="M12" s="84" t="str">
        <f>"74,3250"</f>
        <v>74,3250</v>
      </c>
      <c r="N12" s="16" t="s">
        <v>86</v>
      </c>
    </row>
    <row r="14" ht="16">
      <c r="A14" s="189" t="s">
        <v>327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>
      <c r="A15" s="84" t="s">
        <v>330</v>
      </c>
      <c r="B15" s="16" t="s">
        <v>328</v>
      </c>
      <c r="C15" s="16" t="s">
        <v>329</v>
      </c>
      <c r="D15" s="177">
        <v>52</v>
      </c>
      <c r="E15" s="16" t="str">
        <f>"0,9813"</f>
        <v>0,9813</v>
      </c>
      <c r="F15" s="16" t="s">
        <v>72</v>
      </c>
      <c r="G15" s="16" t="s">
        <v>155</v>
      </c>
      <c r="H15" s="159" t="s">
        <v>274</v>
      </c>
      <c r="I15" s="159" t="s">
        <v>275</v>
      </c>
      <c r="J15" s="86"/>
      <c r="K15" s="17"/>
      <c r="L15" s="175">
        <v>95</v>
      </c>
      <c r="M15" s="84" t="str">
        <f>"93,2235"</f>
        <v>93,2235</v>
      </c>
      <c r="N15" s="16" t="s">
        <v>507</v>
      </c>
    </row>
    <row r="17" ht="16">
      <c r="A17" s="189" t="s">
        <v>55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>
      <c r="A18" s="84" t="s">
        <v>330</v>
      </c>
      <c r="B18" s="16" t="s">
        <v>180</v>
      </c>
      <c r="C18" s="16" t="s">
        <v>181</v>
      </c>
      <c r="D18" s="82">
        <v>107.9</v>
      </c>
      <c r="E18" s="16" t="str">
        <f>"0,5921"</f>
        <v>0,5921</v>
      </c>
      <c r="F18" s="16" t="s">
        <v>14</v>
      </c>
      <c r="G18" s="16" t="s">
        <v>537</v>
      </c>
      <c r="H18" s="89" t="s">
        <v>209</v>
      </c>
      <c r="I18" s="159" t="s">
        <v>189</v>
      </c>
      <c r="J18" s="89" t="s">
        <v>255</v>
      </c>
      <c r="K18" s="17"/>
      <c r="L18" s="175">
        <v>190</v>
      </c>
      <c r="M18" s="84" t="str">
        <f>"112,4990"</f>
        <v>112,4990</v>
      </c>
      <c r="N18" s="16" t="s">
        <v>508</v>
      </c>
    </row>
    <row r="20">
      <c r="I20" s="88"/>
      <c r="J20" s="88"/>
      <c r="K20"/>
      <c r="M20" s="88"/>
      <c r="N20"/>
    </row>
    <row r="21">
      <c r="I21" s="88"/>
      <c r="J21" s="88"/>
      <c r="K21"/>
      <c r="M21" s="88"/>
      <c r="N21"/>
    </row>
    <row r="22">
      <c r="I22" s="88"/>
      <c r="J22" s="88"/>
      <c r="K22"/>
      <c r="M22" s="88"/>
      <c r="N22"/>
    </row>
    <row r="23">
      <c r="I23" s="88"/>
      <c r="J23" s="88"/>
      <c r="K23"/>
      <c r="M23" s="88"/>
      <c r="N23"/>
    </row>
    <row r="24">
      <c r="I24" s="88"/>
      <c r="J24" s="88"/>
      <c r="K24"/>
      <c r="M24" s="88"/>
      <c r="N24"/>
    </row>
    <row r="25">
      <c r="I25" s="88"/>
      <c r="J25" s="88"/>
      <c r="K25"/>
      <c r="M25" s="88"/>
      <c r="N25"/>
    </row>
    <row r="26">
      <c r="I26" s="88"/>
      <c r="J26" s="88"/>
      <c r="K26"/>
      <c r="M26" s="88"/>
      <c r="N26"/>
    </row>
    <row r="27">
      <c r="I27" s="88"/>
      <c r="J27" s="88"/>
      <c r="K27"/>
      <c r="M27" s="88"/>
      <c r="N27"/>
    </row>
    <row r="28">
      <c r="I28" s="88"/>
      <c r="J28" s="88"/>
      <c r="K28"/>
      <c r="M28" s="88"/>
      <c r="N28"/>
    </row>
    <row r="29">
      <c r="I29" s="88"/>
      <c r="J29" s="88"/>
      <c r="K29"/>
      <c r="M29" s="88"/>
      <c r="N29"/>
    </row>
    <row r="30">
      <c r="I30" s="88"/>
      <c r="J30" s="88"/>
      <c r="K30"/>
      <c r="M30" s="88"/>
      <c r="N30"/>
    </row>
    <row r="31">
      <c r="I31" s="88"/>
      <c r="J31" s="88"/>
      <c r="K31"/>
      <c r="M31" s="88"/>
      <c r="N31"/>
    </row>
    <row r="32">
      <c r="I32" s="88"/>
      <c r="J32" s="88"/>
      <c r="K32"/>
      <c r="M32" s="88"/>
      <c r="N32"/>
    </row>
    <row r="33">
      <c r="I33" s="88"/>
      <c r="J33" s="88"/>
      <c r="K33"/>
      <c r="M33" s="88"/>
      <c r="N33"/>
    </row>
    <row r="34">
      <c r="I34" s="88"/>
      <c r="J34" s="88"/>
      <c r="K34"/>
      <c r="M34" s="88"/>
      <c r="N34"/>
    </row>
    <row r="35">
      <c r="I35" s="88"/>
      <c r="J35" s="88"/>
      <c r="K35"/>
      <c r="M35" s="88"/>
      <c r="N35"/>
    </row>
    <row r="36">
      <c r="I36" s="88"/>
      <c r="J36" s="88"/>
      <c r="K36"/>
      <c r="M36" s="88"/>
      <c r="N36"/>
    </row>
    <row r="37">
      <c r="I37" s="88"/>
      <c r="J37" s="88"/>
      <c r="K37"/>
      <c r="M37" s="88"/>
      <c r="N37"/>
    </row>
    <row r="38">
      <c r="I38" s="88"/>
      <c r="J38" s="88"/>
      <c r="K38"/>
      <c r="M38" s="88"/>
      <c r="N38"/>
    </row>
    <row r="39">
      <c r="I39" s="88"/>
      <c r="J39" s="88"/>
      <c r="K39"/>
      <c r="M39" s="88"/>
      <c r="N39"/>
    </row>
    <row r="40">
      <c r="I40" s="88"/>
      <c r="J40" s="88"/>
      <c r="K40"/>
      <c r="M40" s="88"/>
      <c r="N40"/>
    </row>
    <row r="41">
      <c r="I41" s="88"/>
      <c r="J41" s="88"/>
      <c r="K41"/>
      <c r="M41" s="88"/>
      <c r="N41"/>
    </row>
    <row r="42">
      <c r="I42" s="88"/>
      <c r="J42" s="88"/>
      <c r="K42"/>
      <c r="M42" s="88"/>
      <c r="N42"/>
    </row>
    <row r="43">
      <c r="I43" s="88"/>
      <c r="J43" s="88"/>
      <c r="K43"/>
      <c r="M43" s="88"/>
      <c r="N43"/>
    </row>
  </sheetData>
  <mergeCells>
    <mergeCell ref="A14:M14"/>
    <mergeCell ref="A17:M17"/>
    <mergeCell ref="L3:L4"/>
    <mergeCell ref="M3:M4"/>
    <mergeCell ref="N3:N4"/>
    <mergeCell ref="A5:M5"/>
    <mergeCell ref="A8:M8"/>
    <mergeCell ref="A11:M11"/>
    <mergeCell ref="B3:B4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N21"/>
  <sheetViews>
    <sheetView topLeftCell="A1" workbookViewId="0">
      <selection activeCell="G18" sqref="G18"/>
    </sheetView>
  </sheetViews>
  <sheetFormatPr defaultColWidth="8.7109375" defaultRowHeight="13"/>
  <cols>
    <col min="1" max="1" width="9.85546875" style="85" customWidth="1"/>
    <col min="2" max="2" width="19" style="15" customWidth="1"/>
    <col min="3" max="3" width="21.42578125" style="15" bestFit="1" customWidth="1"/>
    <col min="4" max="4" width="10.5703125" style="15" bestFit="1" customWidth="1"/>
    <col min="5" max="5" width="8.42578125" style="15" bestFit="1" customWidth="1"/>
    <col min="6" max="6" width="11.28515625" style="15" customWidth="1"/>
    <col min="7" max="7" width="33.28515625" style="15" customWidth="1"/>
    <col min="8" max="10" width="5.5703125" style="15" bestFit="1" customWidth="1"/>
    <col min="11" max="11" width="4.5703125" style="15" bestFit="1" customWidth="1"/>
    <col min="12" max="12" width="11.42578125" style="15" customWidth="1"/>
    <col min="13" max="13" width="8.5703125" style="15" bestFit="1" customWidth="1"/>
    <col min="14" max="14" width="15.28515625" style="15" customWidth="1"/>
  </cols>
  <sheetData>
    <row r="1" s="1" customFormat="1" ht="15" customHeight="1">
      <c r="A1" s="200" t="s">
        <v>636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5"/>
    </row>
    <row r="2" s="1" customFormat="1" ht="133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190" t="s">
        <v>533</v>
      </c>
      <c r="M3" s="190" t="s">
        <v>6</v>
      </c>
      <c r="N3" s="192" t="s">
        <v>5</v>
      </c>
    </row>
    <row r="4" s="2" customFormat="1" ht="21" customHeight="1" thickBot="1">
      <c r="A4" s="196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191"/>
      <c r="M4" s="191"/>
      <c r="N4" s="193"/>
    </row>
    <row r="5" ht="16">
      <c r="A5" s="88"/>
      <c r="B5" s="194" t="s">
        <v>74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>
      <c r="A6" s="84" t="s">
        <v>330</v>
      </c>
      <c r="B6" s="16" t="s">
        <v>202</v>
      </c>
      <c r="C6" s="16" t="s">
        <v>203</v>
      </c>
      <c r="D6" s="91">
        <v>117.1</v>
      </c>
      <c r="E6" s="16" t="str">
        <f>"0,5783"</f>
        <v>0,5783</v>
      </c>
      <c r="F6" s="16" t="s">
        <v>14</v>
      </c>
      <c r="G6" s="16" t="s">
        <v>46</v>
      </c>
      <c r="H6" s="158" t="s">
        <v>204</v>
      </c>
      <c r="I6" s="90" t="s">
        <v>205</v>
      </c>
      <c r="J6" s="90" t="s">
        <v>205</v>
      </c>
      <c r="K6" s="17"/>
      <c r="L6" s="84" t="s">
        <v>204</v>
      </c>
      <c r="M6" s="66" t="str">
        <f>"144,5750"</f>
        <v>144,5750</v>
      </c>
      <c r="N6" s="16" t="s">
        <v>86</v>
      </c>
    </row>
    <row r="7">
      <c r="A7" s="22"/>
    </row>
    <row r="8">
      <c r="A8" s="22"/>
      <c r="H8"/>
      <c r="I8"/>
      <c r="J8"/>
      <c r="K8"/>
      <c r="L8"/>
      <c r="M8"/>
      <c r="N8"/>
    </row>
    <row r="9">
      <c r="A9" s="22"/>
      <c r="H9"/>
      <c r="I9"/>
      <c r="J9"/>
      <c r="K9"/>
      <c r="L9"/>
      <c r="M9"/>
      <c r="N9"/>
    </row>
    <row r="10">
      <c r="A10" s="22"/>
      <c r="H10"/>
      <c r="I10"/>
      <c r="J10"/>
      <c r="K10"/>
      <c r="L10"/>
      <c r="M10"/>
      <c r="N10"/>
    </row>
    <row r="11">
      <c r="A11" s="22"/>
      <c r="H11"/>
      <c r="I11"/>
      <c r="J11"/>
      <c r="K11"/>
      <c r="L11"/>
      <c r="M11"/>
      <c r="N11"/>
    </row>
    <row r="12">
      <c r="H12"/>
      <c r="I12"/>
      <c r="J12"/>
      <c r="K12"/>
      <c r="L12"/>
      <c r="M12"/>
      <c r="N12"/>
    </row>
    <row r="13">
      <c r="H13"/>
      <c r="I13"/>
      <c r="J13"/>
      <c r="K13"/>
      <c r="L13"/>
      <c r="M13"/>
      <c r="N13"/>
    </row>
    <row r="14">
      <c r="A14" s="22"/>
      <c r="F14"/>
      <c r="G14"/>
      <c r="H14"/>
      <c r="I14"/>
      <c r="J14"/>
      <c r="K14"/>
      <c r="L14"/>
      <c r="M14"/>
      <c r="N14"/>
    </row>
    <row r="15">
      <c r="H15"/>
      <c r="I15"/>
      <c r="J15"/>
      <c r="K15"/>
      <c r="L15"/>
      <c r="M15"/>
      <c r="N15"/>
    </row>
    <row r="16">
      <c r="G16" s="15" t="s">
        <v>630</v>
      </c>
      <c r="H16"/>
      <c r="I16"/>
      <c r="J16"/>
      <c r="K16"/>
      <c r="L16"/>
      <c r="M16"/>
      <c r="N16"/>
    </row>
    <row r="17">
      <c r="H17"/>
      <c r="I17"/>
      <c r="J17"/>
      <c r="K17"/>
      <c r="L17"/>
      <c r="M17"/>
      <c r="N17"/>
    </row>
    <row r="18">
      <c r="H18"/>
      <c r="I18"/>
      <c r="J18"/>
      <c r="K18"/>
      <c r="L18"/>
      <c r="M18"/>
      <c r="N18"/>
    </row>
    <row r="19">
      <c r="H19"/>
      <c r="I19"/>
      <c r="J19"/>
      <c r="K19"/>
      <c r="L19"/>
      <c r="M19"/>
      <c r="N19"/>
    </row>
    <row r="20">
      <c r="H20"/>
      <c r="I20"/>
      <c r="J20"/>
      <c r="K20"/>
      <c r="L20"/>
      <c r="M20"/>
      <c r="N20"/>
    </row>
    <row r="21">
      <c r="H21"/>
      <c r="I21"/>
      <c r="J21"/>
      <c r="K21"/>
      <c r="L21"/>
      <c r="M21"/>
      <c r="N21"/>
    </row>
  </sheetData>
  <mergeCells>
    <mergeCell ref="B5:M5"/>
    <mergeCell ref="G3:G4"/>
    <mergeCell ref="H3:K3"/>
    <mergeCell ref="A1:N2"/>
    <mergeCell ref="A3:A4"/>
    <mergeCell ref="L3:L4"/>
    <mergeCell ref="M3:M4"/>
    <mergeCell ref="N3:N4"/>
    <mergeCell ref="B3:B4"/>
    <mergeCell ref="C3:C4"/>
    <mergeCell ref="D3:D4"/>
    <mergeCell ref="E3:E4"/>
    <mergeCell ref="F3:F4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topLeftCell="A1" workbookViewId="0">
      <selection activeCell="E25" sqref="E25"/>
    </sheetView>
  </sheetViews>
  <sheetFormatPr defaultColWidth="8.7109375" defaultRowHeight="13"/>
  <cols>
    <col min="1" max="1" width="9.85546875" style="85" customWidth="1"/>
    <col min="2" max="2" width="21.42578125" style="15" customWidth="1"/>
    <col min="3" max="3" width="21.42578125" style="15" bestFit="1" customWidth="1"/>
    <col min="4" max="4" width="10.5703125" style="92" bestFit="1" customWidth="1"/>
    <col min="5" max="5" width="8.42578125" style="15" bestFit="1" customWidth="1"/>
    <col min="6" max="6" width="11.5703125" style="15" customWidth="1"/>
    <col min="7" max="7" width="33.140625" style="15" customWidth="1"/>
    <col min="8" max="10" width="5.5703125" style="15" bestFit="1" customWidth="1"/>
    <col min="11" max="11" width="4.5703125" style="15" bestFit="1" customWidth="1"/>
    <col min="12" max="12" width="14.5703125" style="176" customWidth="1"/>
    <col min="13" max="13" width="7.5703125" style="85" bestFit="1" customWidth="1"/>
    <col min="14" max="14" width="16.85546875" style="15" customWidth="1"/>
  </cols>
  <sheetData>
    <row r="1" s="1" customFormat="1" ht="15" customHeight="1">
      <c r="A1" s="200" t="s">
        <v>637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5"/>
    </row>
    <row r="2" s="1" customFormat="1" ht="115" customHeight="1" thickBo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="2" customFormat="1" ht="12.75" customHeight="1">
      <c r="A3" s="195" t="s">
        <v>460</v>
      </c>
      <c r="B3" s="195" t="s">
        <v>0</v>
      </c>
      <c r="C3" s="197" t="s">
        <v>531</v>
      </c>
      <c r="D3" s="210" t="s">
        <v>532</v>
      </c>
      <c r="E3" s="190" t="s">
        <v>9</v>
      </c>
      <c r="F3" s="190" t="s">
        <v>7</v>
      </c>
      <c r="G3" s="190" t="s">
        <v>430</v>
      </c>
      <c r="H3" s="190" t="s">
        <v>2</v>
      </c>
      <c r="I3" s="190"/>
      <c r="J3" s="190"/>
      <c r="K3" s="190"/>
      <c r="L3" s="208" t="s">
        <v>533</v>
      </c>
      <c r="M3" s="190" t="s">
        <v>6</v>
      </c>
      <c r="N3" s="192" t="s">
        <v>5</v>
      </c>
    </row>
    <row r="4" s="2" customFormat="1" ht="21" customHeight="1" thickBot="1">
      <c r="A4" s="196"/>
      <c r="B4" s="196"/>
      <c r="C4" s="191"/>
      <c r="D4" s="211"/>
      <c r="E4" s="191"/>
      <c r="F4" s="191"/>
      <c r="G4" s="191"/>
      <c r="H4" s="3">
        <v>1</v>
      </c>
      <c r="I4" s="3">
        <v>2</v>
      </c>
      <c r="J4" s="3">
        <v>3</v>
      </c>
      <c r="K4" s="3" t="s">
        <v>8</v>
      </c>
      <c r="L4" s="209"/>
      <c r="M4" s="191"/>
      <c r="N4" s="193"/>
    </row>
    <row r="5" ht="16">
      <c r="A5" s="88"/>
      <c r="B5" s="194" t="s">
        <v>30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>
      <c r="A6" s="84" t="s">
        <v>330</v>
      </c>
      <c r="B6" s="16" t="s">
        <v>195</v>
      </c>
      <c r="C6" s="16" t="s">
        <v>196</v>
      </c>
      <c r="D6" s="94">
        <v>90</v>
      </c>
      <c r="E6" s="16" t="str">
        <f>"0,6384"</f>
        <v>0,6384</v>
      </c>
      <c r="F6" s="7" t="s">
        <v>72</v>
      </c>
      <c r="G6" s="16" t="s">
        <v>537</v>
      </c>
      <c r="H6" s="90" t="s">
        <v>41</v>
      </c>
      <c r="I6" s="158" t="s">
        <v>41</v>
      </c>
      <c r="J6" s="90" t="s">
        <v>143</v>
      </c>
      <c r="K6" s="17"/>
      <c r="L6" s="175">
        <v>155</v>
      </c>
      <c r="M6" s="84" t="str">
        <f>"98,9520"</f>
        <v>98,9520</v>
      </c>
      <c r="N6" s="16" t="s">
        <v>516</v>
      </c>
    </row>
    <row r="7">
      <c r="A7" s="22"/>
    </row>
    <row r="8" ht="16">
      <c r="A8" s="22"/>
      <c r="B8" s="189" t="s">
        <v>55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>
      <c r="A9" s="84" t="s">
        <v>330</v>
      </c>
      <c r="B9" s="16" t="s">
        <v>197</v>
      </c>
      <c r="C9" s="16" t="s">
        <v>198</v>
      </c>
      <c r="D9" s="94">
        <v>109</v>
      </c>
      <c r="E9" s="16" t="str">
        <f>"0,5902"</f>
        <v>0,5902</v>
      </c>
      <c r="F9" s="16" t="s">
        <v>14</v>
      </c>
      <c r="G9" s="16" t="s">
        <v>537</v>
      </c>
      <c r="H9" s="90" t="s">
        <v>115</v>
      </c>
      <c r="I9" s="158" t="s">
        <v>115</v>
      </c>
      <c r="J9" s="158" t="s">
        <v>41</v>
      </c>
      <c r="K9" s="69"/>
      <c r="L9" s="175">
        <v>155</v>
      </c>
      <c r="M9" s="84" t="str">
        <f>"91,4810"</f>
        <v>91,4810</v>
      </c>
      <c r="N9" s="16" t="s">
        <v>517</v>
      </c>
    </row>
    <row r="10">
      <c r="A10" s="22"/>
    </row>
    <row r="11" ht="16">
      <c r="A11" s="22"/>
      <c r="B11" s="189" t="s">
        <v>74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>
      <c r="A12" s="84"/>
      <c r="B12" s="16" t="s">
        <v>199</v>
      </c>
      <c r="C12" s="16" t="s">
        <v>200</v>
      </c>
      <c r="D12" s="91">
        <v>115.3</v>
      </c>
      <c r="E12" s="16" t="str">
        <f>"0,5806"</f>
        <v>0,5806</v>
      </c>
      <c r="F12" s="16" t="s">
        <v>14</v>
      </c>
      <c r="G12" s="16" t="s">
        <v>537</v>
      </c>
      <c r="H12" s="90" t="s">
        <v>201</v>
      </c>
      <c r="I12" s="90" t="s">
        <v>201</v>
      </c>
      <c r="J12" s="90" t="s">
        <v>201</v>
      </c>
      <c r="K12" s="17"/>
      <c r="L12" s="108">
        <v>0</v>
      </c>
      <c r="M12" s="84" t="s">
        <v>607</v>
      </c>
      <c r="N12" s="16" t="s">
        <v>86</v>
      </c>
    </row>
    <row r="14" ht="16">
      <c r="A14" s="22"/>
      <c r="D14" s="18"/>
      <c r="M14" s="88"/>
      <c r="N14"/>
    </row>
    <row r="15" ht="16">
      <c r="F15" s="18"/>
    </row>
    <row r="16" ht="16">
      <c r="F16" s="18"/>
    </row>
    <row r="17" ht="16">
      <c r="F17" s="18"/>
    </row>
    <row r="18" ht="16">
      <c r="F18" s="18"/>
    </row>
    <row r="19" ht="16">
      <c r="F19" s="18"/>
    </row>
    <row r="20" ht="16">
      <c r="F20" s="18"/>
    </row>
    <row r="21">
      <c r="J21"/>
      <c r="K21"/>
      <c r="M21" s="88"/>
      <c r="N21"/>
    </row>
    <row r="22">
      <c r="J22"/>
      <c r="K22"/>
      <c r="M22" s="88"/>
      <c r="N22"/>
    </row>
    <row r="23">
      <c r="J23"/>
      <c r="K23"/>
      <c r="M23" s="88"/>
      <c r="N23"/>
    </row>
    <row r="24">
      <c r="J24"/>
      <c r="K24"/>
      <c r="M24" s="88"/>
      <c r="N24"/>
    </row>
    <row r="25">
      <c r="G25" s="15" t="s">
        <v>632</v>
      </c>
      <c r="J25"/>
      <c r="K25"/>
      <c r="M25" s="88"/>
      <c r="N25"/>
    </row>
    <row r="26">
      <c r="J26"/>
      <c r="K26"/>
      <c r="M26" s="88"/>
      <c r="N26"/>
    </row>
    <row r="27">
      <c r="J27"/>
      <c r="K27"/>
      <c r="M27" s="88"/>
      <c r="N27"/>
    </row>
  </sheetData>
  <mergeCells>
    <mergeCell ref="A3:A4"/>
    <mergeCell ref="A1:N2"/>
    <mergeCell ref="B11:M11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B5:M5"/>
    <mergeCell ref="B8:M8"/>
  </mergeCells>
  <pageMargins left="0.7" right="0.7" top="0.75" bottom="0.75" header="0.3" footer="0.3"/>
  <pageSetup usePrinterDefault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HeadingPairs>
    <vt:vector baseType="variant" size="2">
      <vt:variant>
        <vt:lpstr>Worksheets</vt:lpstr>
      </vt:variant>
      <vt:variant>
        <vt:i4>31</vt:i4>
      </vt:variant>
    </vt:vector>
  </HeadingPairs>
  <TitlesOfParts>
    <vt:vector baseType="lpstr" size="31">
      <vt:lpstr>Пауэрлифтинг без экипировки ДК</vt:lpstr>
      <vt:lpstr>Пауэрлифтинг без экипировки</vt:lpstr>
      <vt:lpstr>Пауэрлифтинг в бинтах ДК</vt:lpstr>
      <vt:lpstr>Пауэрлифтинг в бинтах</vt:lpstr>
      <vt:lpstr>Силовое двоеборье без экипиров.</vt:lpstr>
      <vt:lpstr>Силовое двоеборье без экип. ДК</vt:lpstr>
      <vt:lpstr>Присед без экипировки ДК</vt:lpstr>
      <vt:lpstr>Жим лежа в многослойной экип.</vt:lpstr>
      <vt:lpstr>Жим лежа односл. экипировка ДК</vt:lpstr>
      <vt:lpstr>Жим лежа без экипировки ДК</vt:lpstr>
      <vt:lpstr>Жим лежа без экипировки</vt:lpstr>
      <vt:lpstr>Народный жим 1 вес</vt:lpstr>
      <vt:lpstr>Народный жим 1 вес ДК</vt:lpstr>
      <vt:lpstr>Народный жим 1 2 вес  ДК</vt:lpstr>
      <vt:lpstr>Становая тяга без экипировки</vt:lpstr>
      <vt:lpstr>Становая тяга без экипировки ДК</vt:lpstr>
      <vt:lpstr>Пауэрспорт</vt:lpstr>
      <vt:lpstr>Пауэрспорт  ДК</vt:lpstr>
      <vt:lpstr>Rolling Thunder</vt:lpstr>
      <vt:lpstr>Apollon's Axle </vt:lpstr>
      <vt:lpstr>Excalibur </vt:lpstr>
      <vt:lpstr>Grip block </vt:lpstr>
      <vt:lpstr>ЖД любители с ДК многоповт. жим</vt:lpstr>
      <vt:lpstr>ЖД армейский жим на максимум</vt:lpstr>
      <vt:lpstr>ЖД армейский многоповторный жим</vt:lpstr>
      <vt:lpstr>ЖД военный жим на максимум</vt:lpstr>
      <vt:lpstr>ЖД любители ДК</vt:lpstr>
      <vt:lpstr>ЖД армейский жим</vt:lpstr>
      <vt:lpstr>КРЖ</vt:lpstr>
      <vt:lpstr>ЧД</vt:lpstr>
      <vt:lpstr>Судейский корпус</vt:lpstr>
    </vt:vector>
  </TitlesOfParts>
  <AppVersion>06.0007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Tomchin</dc:creator>
  <cp:lastModifiedBy>Tomchin</cp:lastModifiedBy>
  <dcterms:created xsi:type="dcterms:W3CDTF">2016-11-23T15:52:02Z</dcterms:created>
  <dcterms:modified xsi:type="dcterms:W3CDTF">2016-11-23T15:52:02Z</dcterms:modified>
</cp:coreProperties>
</file>