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Default Extension="vml" ContentType="application/vnd.openxmlformats-officedocument.vmlDrawing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20" windowWidth="27540" windowHeight="9700" tabRatio="500" firstSheet="30" activeTab="32"/>
  </bookViews>
  <sheets>
    <sheet name="HUB" sheetId="1" r:id="rId1"/>
    <sheet name="Excalibur" sheetId="2" r:id="rId2"/>
    <sheet name="Apollon Axle" sheetId="3" r:id="rId3"/>
    <sheet name="Rolling thunder" sheetId="4" r:id="rId4"/>
    <sheet name="Пауэрспорт ДК" sheetId="5" r:id="rId5"/>
    <sheet name="Пауэрспорт" sheetId="6" r:id="rId6"/>
    <sheet name="Парная тяга" sheetId="7" r:id="rId7"/>
    <sheet name="Тяга в экипировке ДК" sheetId="8" r:id="rId8"/>
    <sheet name="Тяга в экипировке" sheetId="9" r:id="rId9"/>
    <sheet name="Тяга без экипировки ДК" sheetId="10" r:id="rId10"/>
    <sheet name="Тяга без экипировки" sheetId="11" r:id="rId11"/>
    <sheet name="Жимовое двоеборье" sheetId="12" r:id="rId12"/>
    <sheet name="Народный жим 1_2 веса ДК" sheetId="13" r:id="rId13"/>
    <sheet name="Народный жим 1 вес ДК" sheetId="14" r:id="rId14"/>
    <sheet name="Народный жим 1 вес" sheetId="15" r:id="rId15"/>
    <sheet name="Жим лежа СФО" sheetId="16" r:id="rId16"/>
    <sheet name="Жим многослойная экипировка" sheetId="17" r:id="rId17"/>
    <sheet name="Жим однослойная экипировка ДК" sheetId="18" r:id="rId18"/>
    <sheet name="Жим однослойная экипировка" sheetId="19" r:id="rId19"/>
    <sheet name="Жим без экипировки ДК" sheetId="20" r:id="rId20"/>
    <sheet name="Жим без экипировки" sheetId="21" r:id="rId21"/>
    <sheet name="Присед в однолойной экипе ДК" sheetId="22" r:id="rId22"/>
    <sheet name="Присед в бинтах" sheetId="23" r:id="rId23"/>
    <sheet name="Присед без экипировки ДК" sheetId="24" r:id="rId24"/>
    <sheet name="Присед без экипировки" sheetId="25" r:id="rId25"/>
    <sheet name="Силовое двоеборье без экипы ДК" sheetId="26" r:id="rId26"/>
    <sheet name="Силовое двоеборье без экипы" sheetId="27" r:id="rId27"/>
    <sheet name="Пауэрлифтинг однослой ДК" sheetId="28" r:id="rId28"/>
    <sheet name="Пауэрлифтинг однослой" sheetId="29" r:id="rId29"/>
    <sheet name="Пауэрлифтинг в бинтах ДК" sheetId="30" r:id="rId30"/>
    <sheet name="Пауэрлифтинг в бинтах" sheetId="31" r:id="rId31"/>
    <sheet name="Пауэрлифтинг без экипировки ДК" sheetId="32" r:id="rId32"/>
    <sheet name="Пауэрлифтинг без экипировки" sheetId="33" r:id="rId33"/>
    <sheet name="Судейская колегия" sheetId="34" r:id="rId34"/>
    <sheet name="Командный зачет" sheetId="35" r:id="rId35"/>
  </sheets>
  <definedNames/>
  <calcPr fullCalcOnLoad="1" refMode="R1C1"/>
</workbook>
</file>

<file path=xl/sharedStrings.xml><?xml version="1.0" encoding="utf-8"?>
<sst xmlns="http://schemas.openxmlformats.org/spreadsheetml/2006/main" count="5609" uniqueCount="1528">
  <si>
    <t>ФИО</t>
  </si>
  <si>
    <t>Весовая категория               Дата рождения/возраст</t>
  </si>
  <si>
    <t>Команда</t>
  </si>
  <si>
    <t>Город</t>
  </si>
  <si>
    <t>Присед</t>
  </si>
  <si>
    <t>Жим</t>
  </si>
  <si>
    <t>Тяга</t>
  </si>
  <si>
    <t>Рек.</t>
  </si>
  <si>
    <t>Сумма</t>
  </si>
  <si>
    <t>Очки</t>
  </si>
  <si>
    <t>Тренер</t>
  </si>
  <si>
    <t>Gloss</t>
  </si>
  <si>
    <t>ВЕСОВАЯ КАТЕГОРИЯ   82.5</t>
  </si>
  <si>
    <t>Open (19.08.1983)/32</t>
  </si>
  <si>
    <t>78,90</t>
  </si>
  <si>
    <t xml:space="preserve">Лично </t>
  </si>
  <si>
    <t xml:space="preserve">Видное/Московская область </t>
  </si>
  <si>
    <t>155,0</t>
  </si>
  <si>
    <t>160,0</t>
  </si>
  <si>
    <t>165,0</t>
  </si>
  <si>
    <t>92,5</t>
  </si>
  <si>
    <t>97,5</t>
  </si>
  <si>
    <t>100,0</t>
  </si>
  <si>
    <t>172,5</t>
  </si>
  <si>
    <t>177,5</t>
  </si>
  <si>
    <t>182,5</t>
  </si>
  <si>
    <t xml:space="preserve">Ломов Игорь </t>
  </si>
  <si>
    <t>ВЕСОВАЯ КАТЕГОРИЯ   75</t>
  </si>
  <si>
    <t>Open (02.02.1990)/25</t>
  </si>
  <si>
    <t>74,20</t>
  </si>
  <si>
    <t xml:space="preserve">Дедовск/Московская область </t>
  </si>
  <si>
    <t>180,0</t>
  </si>
  <si>
    <t>190,0</t>
  </si>
  <si>
    <t>192,5</t>
  </si>
  <si>
    <t>140,0</t>
  </si>
  <si>
    <t>145,0</t>
  </si>
  <si>
    <t>150,0</t>
  </si>
  <si>
    <t>200,0</t>
  </si>
  <si>
    <t>220,0</t>
  </si>
  <si>
    <t>Open (12.05.1989)/26</t>
  </si>
  <si>
    <t>74,80</t>
  </si>
  <si>
    <t xml:space="preserve">Ангарск/Иркутская область </t>
  </si>
  <si>
    <t>175,0</t>
  </si>
  <si>
    <t>187,5</t>
  </si>
  <si>
    <t>112,5</t>
  </si>
  <si>
    <t>117,5</t>
  </si>
  <si>
    <t>122,5</t>
  </si>
  <si>
    <t>197,5</t>
  </si>
  <si>
    <t xml:space="preserve">Харин Артем </t>
  </si>
  <si>
    <t>Open (06.02.1983)/32</t>
  </si>
  <si>
    <t>73,50</t>
  </si>
  <si>
    <t xml:space="preserve">Лидер </t>
  </si>
  <si>
    <t>167,5</t>
  </si>
  <si>
    <t>110,0</t>
  </si>
  <si>
    <t>212,5</t>
  </si>
  <si>
    <t xml:space="preserve">Самостоятельно </t>
  </si>
  <si>
    <t>Кокорев Илья</t>
  </si>
  <si>
    <t>Open (19.01.1973)/42</t>
  </si>
  <si>
    <t>79,80</t>
  </si>
  <si>
    <t xml:space="preserve">Ярославль/Ярославская область </t>
  </si>
  <si>
    <t xml:space="preserve">Серпухов/Московская область </t>
  </si>
  <si>
    <t>ВЕСОВАЯ КАТЕГОРИЯ   90</t>
  </si>
  <si>
    <t>Шейкин Алексей</t>
  </si>
  <si>
    <t>Open (24.03.1988)/27</t>
  </si>
  <si>
    <t>89,60</t>
  </si>
  <si>
    <t xml:space="preserve">Бобруйск/Гомельская </t>
  </si>
  <si>
    <t>225,0</t>
  </si>
  <si>
    <t>170,0</t>
  </si>
  <si>
    <t>275,0</t>
  </si>
  <si>
    <t xml:space="preserve">Шумский В. </t>
  </si>
  <si>
    <t>Сидоров Игорь</t>
  </si>
  <si>
    <t>Open (08.01.1987)/28</t>
  </si>
  <si>
    <t>83,70</t>
  </si>
  <si>
    <t xml:space="preserve">Орехово-Зуево/Московская область </t>
  </si>
  <si>
    <t>207,5</t>
  </si>
  <si>
    <t>215,0</t>
  </si>
  <si>
    <t>222,5</t>
  </si>
  <si>
    <t>230,0</t>
  </si>
  <si>
    <t>235,0</t>
  </si>
  <si>
    <t>Иванов Александр</t>
  </si>
  <si>
    <t>Open (02.06.1988)/27</t>
  </si>
  <si>
    <t>87,90</t>
  </si>
  <si>
    <t>210,0</t>
  </si>
  <si>
    <t>260,0</t>
  </si>
  <si>
    <t>Квасов Владимир</t>
  </si>
  <si>
    <t>Open (17.04.1991)/24</t>
  </si>
  <si>
    <t>89,50</t>
  </si>
  <si>
    <t>ВЕСОВАЯ КАТЕГОРИЯ   100</t>
  </si>
  <si>
    <t>Masters 40-44 (31.08.1975)/40</t>
  </si>
  <si>
    <t>94,40</t>
  </si>
  <si>
    <t>185,0</t>
  </si>
  <si>
    <t>240,0</t>
  </si>
  <si>
    <t>245,0</t>
  </si>
  <si>
    <t>ВЕСОВАЯ КАТЕГОРИЯ   110</t>
  </si>
  <si>
    <t>Juniors 20-23 (06.05.1992)/23</t>
  </si>
  <si>
    <t>105,00</t>
  </si>
  <si>
    <t>250,0</t>
  </si>
  <si>
    <t xml:space="preserve">Никулин Алексей </t>
  </si>
  <si>
    <t>ВЕСОВАЯ КАТЕГОРИЯ   125</t>
  </si>
  <si>
    <t>Устинов Сергей</t>
  </si>
  <si>
    <t>Open (23.04.1988)/27</t>
  </si>
  <si>
    <t>123,10</t>
  </si>
  <si>
    <t xml:space="preserve">Высоковск/Московская область </t>
  </si>
  <si>
    <t>270,0</t>
  </si>
  <si>
    <t>300,0</t>
  </si>
  <si>
    <t>290,0</t>
  </si>
  <si>
    <t>310,0</t>
  </si>
  <si>
    <t xml:space="preserve">Шель Фетенгоф Денис </t>
  </si>
  <si>
    <t xml:space="preserve">Абсолютный зачёт </t>
  </si>
  <si>
    <t xml:space="preserve">Женщины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</si>
  <si>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</si>
  <si>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</si>
  <si>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</si>
  <si>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</si>
  <si>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</si>
  <si>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Gloss </t>
  </si>
  <si>
    <t xml:space="preserve">82.5 </t>
  </si>
  <si>
    <t xml:space="preserve">Мужчины </t>
  </si>
  <si>
    <t xml:space="preserve">110 </t>
  </si>
  <si>
    <t xml:space="preserve">90 </t>
  </si>
  <si>
    <t>670,0</t>
  </si>
  <si>
    <t>410,9445</t>
  </si>
  <si>
    <t xml:space="preserve">125 </t>
  </si>
  <si>
    <t>745,0</t>
  </si>
  <si>
    <t>407,9992</t>
  </si>
  <si>
    <t>622,5</t>
  </si>
  <si>
    <t>397,5908</t>
  </si>
  <si>
    <t xml:space="preserve">75 </t>
  </si>
  <si>
    <t xml:space="preserve">Мастера 40 - 44 </t>
  </si>
  <si>
    <t xml:space="preserve">100 </t>
  </si>
  <si>
    <t>ВЕСОВАЯ КАТЕГОРИЯ   48</t>
  </si>
  <si>
    <t>Кузнецова Оксана</t>
  </si>
  <si>
    <t>Open (07.07.1990)/25</t>
  </si>
  <si>
    <t>48,00</t>
  </si>
  <si>
    <t>70,0</t>
  </si>
  <si>
    <t>75,0</t>
  </si>
  <si>
    <t>80,0</t>
  </si>
  <si>
    <t>50,0</t>
  </si>
  <si>
    <t>55,0</t>
  </si>
  <si>
    <t xml:space="preserve">Смирнов Олег </t>
  </si>
  <si>
    <t>ВЕСОВАЯ КАТЕГОРИЯ   52</t>
  </si>
  <si>
    <t>Кончакова Наталья</t>
  </si>
  <si>
    <t>Open (14.08.1977)/38</t>
  </si>
  <si>
    <t>50,80</t>
  </si>
  <si>
    <t>107,5</t>
  </si>
  <si>
    <t>115,0</t>
  </si>
  <si>
    <t>57,5</t>
  </si>
  <si>
    <t>60,0</t>
  </si>
  <si>
    <t>62,5</t>
  </si>
  <si>
    <t>135,0</t>
  </si>
  <si>
    <t>142,5</t>
  </si>
  <si>
    <t xml:space="preserve">Исаков  Павел </t>
  </si>
  <si>
    <t>Кольцова Ольга</t>
  </si>
  <si>
    <t>Open (06.08.1983)/32</t>
  </si>
  <si>
    <t>50,30</t>
  </si>
  <si>
    <t>77,5</t>
  </si>
  <si>
    <t>85,0</t>
  </si>
  <si>
    <t>102,5</t>
  </si>
  <si>
    <t>ВЕСОВАЯ КАТЕГОРИЯ   67.5</t>
  </si>
  <si>
    <t>Бухова Анна</t>
  </si>
  <si>
    <t>Teen 18-19 (14.11.1995)/19</t>
  </si>
  <si>
    <t>64,50</t>
  </si>
  <si>
    <t xml:space="preserve">Команда Силушина </t>
  </si>
  <si>
    <t xml:space="preserve">Рязань/Рязанская область </t>
  </si>
  <si>
    <t>95,0</t>
  </si>
  <si>
    <t>Замашнюк Анастасия</t>
  </si>
  <si>
    <t>Teen 18-19 (23.03.1996)/19</t>
  </si>
  <si>
    <t>73,70</t>
  </si>
  <si>
    <t xml:space="preserve">Паллада </t>
  </si>
  <si>
    <t>90,0</t>
  </si>
  <si>
    <t>45,0</t>
  </si>
  <si>
    <t>52,5</t>
  </si>
  <si>
    <t>120,0</t>
  </si>
  <si>
    <t xml:space="preserve">Папенков Павел </t>
  </si>
  <si>
    <t>ВЕСОВАЯ КАТЕГОРИЯ   100+</t>
  </si>
  <si>
    <t>Уколова Вероника</t>
  </si>
  <si>
    <t>Open (17.06.1997)/18</t>
  </si>
  <si>
    <t>114,90</t>
  </si>
  <si>
    <t xml:space="preserve">Artisan Team </t>
  </si>
  <si>
    <t>82,5</t>
  </si>
  <si>
    <t>Мкртумян Сурен</t>
  </si>
  <si>
    <t>Open (15.01.1989)/26</t>
  </si>
  <si>
    <t>132,5</t>
  </si>
  <si>
    <t>87,5</t>
  </si>
  <si>
    <t>Сулейманов Владислав</t>
  </si>
  <si>
    <t>Juniors 20-23 (31.05.1995)/20</t>
  </si>
  <si>
    <t>74,10</t>
  </si>
  <si>
    <t>125,0</t>
  </si>
  <si>
    <t>Open (31.05.1995)/20</t>
  </si>
  <si>
    <t>Juniors 20-23 (25.01.1995)/20</t>
  </si>
  <si>
    <t>80,80</t>
  </si>
  <si>
    <t>162,5</t>
  </si>
  <si>
    <t>Купрейчик Василий</t>
  </si>
  <si>
    <t>Open (17.10.1983)/32</t>
  </si>
  <si>
    <t>80,50</t>
  </si>
  <si>
    <t xml:space="preserve">Архангельск/Архангельская область </t>
  </si>
  <si>
    <t>127,5</t>
  </si>
  <si>
    <t>265,0</t>
  </si>
  <si>
    <t>Бурдаков Сергей</t>
  </si>
  <si>
    <t>Open (02.07.1979)/36</t>
  </si>
  <si>
    <t>85,00</t>
  </si>
  <si>
    <t xml:space="preserve">Нижний Новгород/Нижегородская область </t>
  </si>
  <si>
    <t>152,5</t>
  </si>
  <si>
    <t>105,0</t>
  </si>
  <si>
    <t xml:space="preserve">Гончаров Валерий </t>
  </si>
  <si>
    <t>Махмуди Пурья</t>
  </si>
  <si>
    <t>Juniors 20-23 (22.01.1995)/20</t>
  </si>
  <si>
    <t>96,50</t>
  </si>
  <si>
    <t>130,0</t>
  </si>
  <si>
    <t xml:space="preserve"> </t>
  </si>
  <si>
    <t>Азармина Мохаммадреза</t>
  </si>
  <si>
    <t>Open (20.09.1990)/25</t>
  </si>
  <si>
    <t>95,80</t>
  </si>
  <si>
    <t>Банхманпур Эбрахим</t>
  </si>
  <si>
    <t>Open (23.09.1982)/33</t>
  </si>
  <si>
    <t>95,00</t>
  </si>
  <si>
    <t>Фатех Мохсен</t>
  </si>
  <si>
    <t>Open (29.04.1979)/36</t>
  </si>
  <si>
    <t>100,00</t>
  </si>
  <si>
    <t>Буруманд Хорнарвар</t>
  </si>
  <si>
    <t>Open (05.06.1977)/38</t>
  </si>
  <si>
    <t>100,90</t>
  </si>
  <si>
    <t>205,0</t>
  </si>
  <si>
    <t>Мохаммадпур Мотлаг</t>
  </si>
  <si>
    <t>Open (15.05.1985)/30</t>
  </si>
  <si>
    <t>107,50</t>
  </si>
  <si>
    <t>Замани Реза</t>
  </si>
  <si>
    <t>Open (21.04.1977)/38</t>
  </si>
  <si>
    <t>115,20</t>
  </si>
  <si>
    <t>500,0</t>
  </si>
  <si>
    <t>347,3500</t>
  </si>
  <si>
    <t>630,0</t>
  </si>
  <si>
    <t>350,2800</t>
  </si>
  <si>
    <t xml:space="preserve">67.5 </t>
  </si>
  <si>
    <t>415,0</t>
  </si>
  <si>
    <t>335,0</t>
  </si>
  <si>
    <t>Сверчкова Анна</t>
  </si>
  <si>
    <t>Open (22.04.1991)/24</t>
  </si>
  <si>
    <t>74,70</t>
  </si>
  <si>
    <t xml:space="preserve">Хохулин Сергей </t>
  </si>
  <si>
    <t>Open (27.06.1986)/29</t>
  </si>
  <si>
    <t>82,40</t>
  </si>
  <si>
    <t xml:space="preserve">Тула/Тульская область </t>
  </si>
  <si>
    <t>Ряховский Дмитрий</t>
  </si>
  <si>
    <t>Open (05.09.1989)/26</t>
  </si>
  <si>
    <t>89,40</t>
  </si>
  <si>
    <t>255,0</t>
  </si>
  <si>
    <t>262,5</t>
  </si>
  <si>
    <t>Juniors 20-23 (29.06.1992)/23</t>
  </si>
  <si>
    <t>99,50</t>
  </si>
  <si>
    <t>305,0</t>
  </si>
  <si>
    <t>307,5</t>
  </si>
  <si>
    <t xml:space="preserve">Белкин Юрий </t>
  </si>
  <si>
    <t>Трубичкин Ярослав</t>
  </si>
  <si>
    <t>Open (16.06.1987)/28</t>
  </si>
  <si>
    <t>97,30</t>
  </si>
  <si>
    <t xml:space="preserve">Ялта/республика Крым </t>
  </si>
  <si>
    <t>320,0</t>
  </si>
  <si>
    <t>342,5</t>
  </si>
  <si>
    <t>195,0</t>
  </si>
  <si>
    <t>302,5</t>
  </si>
  <si>
    <t>Папенков Павел</t>
  </si>
  <si>
    <t>Open (29.02.1980)/35</t>
  </si>
  <si>
    <t>106,30</t>
  </si>
  <si>
    <t>280,0</t>
  </si>
  <si>
    <t>Open (23.11.1978)/36</t>
  </si>
  <si>
    <t>106,40</t>
  </si>
  <si>
    <t>Сытников Валерий</t>
  </si>
  <si>
    <t>Masters 45-49 (28.02.1970)/45</t>
  </si>
  <si>
    <t>109,00</t>
  </si>
  <si>
    <t xml:space="preserve">Кубинка/Московская область </t>
  </si>
  <si>
    <t>147,5</t>
  </si>
  <si>
    <t xml:space="preserve">Тарасов Эдуард </t>
  </si>
  <si>
    <t>Juniors 20-23 (17.11.1993)/21</t>
  </si>
  <si>
    <t>115,00</t>
  </si>
  <si>
    <t xml:space="preserve">Новомосковск/Тульская область </t>
  </si>
  <si>
    <t>242,5</t>
  </si>
  <si>
    <t>Open (20.05.1979)/36</t>
  </si>
  <si>
    <t>116,90</t>
  </si>
  <si>
    <t>ВЕСОВАЯ КАТЕГОРИЯ   140</t>
  </si>
  <si>
    <t>Masters 40-44 (31.01.1975)/40</t>
  </si>
  <si>
    <t>127,10</t>
  </si>
  <si>
    <t xml:space="preserve">Кувшиново/Тверская область </t>
  </si>
  <si>
    <t>840,0</t>
  </si>
  <si>
    <t>494,1300</t>
  </si>
  <si>
    <t>735,0</t>
  </si>
  <si>
    <t>417,7005</t>
  </si>
  <si>
    <t>677,5</t>
  </si>
  <si>
    <t>416,0866</t>
  </si>
  <si>
    <t xml:space="preserve">140 </t>
  </si>
  <si>
    <t xml:space="preserve">Мастера 45 - 49 </t>
  </si>
  <si>
    <t>Быстрова Алиса</t>
  </si>
  <si>
    <t>Open (27.12.1988)/26</t>
  </si>
  <si>
    <t>66,80</t>
  </si>
  <si>
    <t>137,5</t>
  </si>
  <si>
    <t>Open (29.10.1989)/26</t>
  </si>
  <si>
    <t>80,90</t>
  </si>
  <si>
    <t xml:space="preserve">Ушков Илья </t>
  </si>
  <si>
    <t>Open (16.02.1979)/36</t>
  </si>
  <si>
    <t>88,40</t>
  </si>
  <si>
    <t>Сафонов Алексей</t>
  </si>
  <si>
    <t>Juniors 20-23 (09.12.1992)/22</t>
  </si>
  <si>
    <t>97,00</t>
  </si>
  <si>
    <t>Open (21.03.1991)/24</t>
  </si>
  <si>
    <t>96,00</t>
  </si>
  <si>
    <t>232,5</t>
  </si>
  <si>
    <t>330,0</t>
  </si>
  <si>
    <t>295,0</t>
  </si>
  <si>
    <t>Masters 40-44 (19.01.1973)/42</t>
  </si>
  <si>
    <t>Open (29.11.1978)/36</t>
  </si>
  <si>
    <t>108,50</t>
  </si>
  <si>
    <t xml:space="preserve">Кузнецк/Пензенская область </t>
  </si>
  <si>
    <t>Masters 45-49 (23.05.1967)/48</t>
  </si>
  <si>
    <t>107,10</t>
  </si>
  <si>
    <t xml:space="preserve">Тверская </t>
  </si>
  <si>
    <t>Juniors 20-23 (22.06.1993)/22</t>
  </si>
  <si>
    <t>252,5</t>
  </si>
  <si>
    <t>Анциферов Михаил</t>
  </si>
  <si>
    <t>Open (02.07.1981)/34</t>
  </si>
  <si>
    <t>107,70</t>
  </si>
  <si>
    <t xml:space="preserve">Белоусово/Калужская область </t>
  </si>
  <si>
    <t>237,5</t>
  </si>
  <si>
    <t>Masters 50-54 (25.03.1965)/50</t>
  </si>
  <si>
    <t>104,80</t>
  </si>
  <si>
    <t xml:space="preserve">Шенкурск/Архангельская область </t>
  </si>
  <si>
    <t xml:space="preserve">Уколова Вероника </t>
  </si>
  <si>
    <t>Нефедьева Оксана</t>
  </si>
  <si>
    <t>Teen 18-19 (24.06.1996)/19</t>
  </si>
  <si>
    <t>47,20</t>
  </si>
  <si>
    <t xml:space="preserve">Щербинка/Московская область </t>
  </si>
  <si>
    <t>42,5</t>
  </si>
  <si>
    <t>ВЕСОВАЯ КАТЕГОРИЯ   60</t>
  </si>
  <si>
    <t>Аблаева Виктория</t>
  </si>
  <si>
    <t>Open (08.05.1983)/32</t>
  </si>
  <si>
    <t>60,00</t>
  </si>
  <si>
    <t xml:space="preserve">Марченко Владимир </t>
  </si>
  <si>
    <t>Рогозянская Анна</t>
  </si>
  <si>
    <t>Open (16.05.1987)/28</t>
  </si>
  <si>
    <t>64,80</t>
  </si>
  <si>
    <t>65,0</t>
  </si>
  <si>
    <t>Байдур Анастасия</t>
  </si>
  <si>
    <t>Juniors 20-23 (13.12.1992)/22</t>
  </si>
  <si>
    <t>75,20</t>
  </si>
  <si>
    <t>Кныш Виктория</t>
  </si>
  <si>
    <t>Open (21.03.1983)/32</t>
  </si>
  <si>
    <t>85,20</t>
  </si>
  <si>
    <t>Бендер Алексей</t>
  </si>
  <si>
    <t>Teen 18-19 (27.04.1997)/18</t>
  </si>
  <si>
    <t>75,00</t>
  </si>
  <si>
    <t xml:space="preserve">Воскресенск/Московская область </t>
  </si>
  <si>
    <t>Чернышев Максим</t>
  </si>
  <si>
    <t>Juniors 20-23 (21.09.1992)/23</t>
  </si>
  <si>
    <t xml:space="preserve">Краснов Николай </t>
  </si>
  <si>
    <t>Чурин Юрий</t>
  </si>
  <si>
    <t>Masters 40-44 (06.06.1971)/44</t>
  </si>
  <si>
    <t>72,30</t>
  </si>
  <si>
    <t>143,0</t>
  </si>
  <si>
    <t xml:space="preserve">Калита Игорь </t>
  </si>
  <si>
    <t>Лысенков Николай</t>
  </si>
  <si>
    <t>Masters 40-44 (28.01.1973)/42</t>
  </si>
  <si>
    <t>71,90</t>
  </si>
  <si>
    <t>Вавакин Кирилл</t>
  </si>
  <si>
    <t>Teen 18-19 (11.03.1997)/18</t>
  </si>
  <si>
    <t>Милостной Станислав</t>
  </si>
  <si>
    <t>Open (19.12.1978)/36</t>
  </si>
  <si>
    <t xml:space="preserve">Курск/Курская область </t>
  </si>
  <si>
    <t>Щапов Дмитрий</t>
  </si>
  <si>
    <t>Juniors 20-23 (18.07.1994)/21</t>
  </si>
  <si>
    <t>84,00</t>
  </si>
  <si>
    <t xml:space="preserve">Лившиц О.А. </t>
  </si>
  <si>
    <t>Щеклеев Роман</t>
  </si>
  <si>
    <t>Open (27.08.1989)/26</t>
  </si>
  <si>
    <t>86,90</t>
  </si>
  <si>
    <t xml:space="preserve">Ушков И. Д. </t>
  </si>
  <si>
    <t>Аскеров Шамиль</t>
  </si>
  <si>
    <t>Open (01.04.1989)/26</t>
  </si>
  <si>
    <t>84,40</t>
  </si>
  <si>
    <t xml:space="preserve">Блинков Евгений </t>
  </si>
  <si>
    <t>Попов Сергей</t>
  </si>
  <si>
    <t>Masters 40-44 (31.05.1974)/41</t>
  </si>
  <si>
    <t>88,70</t>
  </si>
  <si>
    <t xml:space="preserve">Астрахань/Астраханская область </t>
  </si>
  <si>
    <t xml:space="preserve">Попова Оксана </t>
  </si>
  <si>
    <t>Миронов Валентин</t>
  </si>
  <si>
    <t>Teen 18-19 (23.05.1997)/18</t>
  </si>
  <si>
    <t>92,10</t>
  </si>
  <si>
    <t>Никулин Андрей</t>
  </si>
  <si>
    <t>Open (01.12.1967)/47</t>
  </si>
  <si>
    <t>99,30</t>
  </si>
  <si>
    <t xml:space="preserve">Протвино/Московская область </t>
  </si>
  <si>
    <t xml:space="preserve">Мамедов Р.Ф. </t>
  </si>
  <si>
    <t>Open (08.06.1982)/33</t>
  </si>
  <si>
    <t>97,80</t>
  </si>
  <si>
    <t>Кононов Игорь</t>
  </si>
  <si>
    <t>Open (12.06.1991)/24</t>
  </si>
  <si>
    <t>94,10</t>
  </si>
  <si>
    <t xml:space="preserve">Силушин Павел </t>
  </si>
  <si>
    <t>Пронин Иван</t>
  </si>
  <si>
    <t>Open (21.06.1985)/30</t>
  </si>
  <si>
    <t>98,50</t>
  </si>
  <si>
    <t xml:space="preserve">Пауэрспорт </t>
  </si>
  <si>
    <t xml:space="preserve">Котлас/Архангельская область </t>
  </si>
  <si>
    <t>Муратов Сергей</t>
  </si>
  <si>
    <t>Open (09.08.1982)/33</t>
  </si>
  <si>
    <t>96,60</t>
  </si>
  <si>
    <t>Masters 45-49 (01.12.1967)/47</t>
  </si>
  <si>
    <t>Ковригин Антон</t>
  </si>
  <si>
    <t>Juniors 20-23 (21.09.1985)/30</t>
  </si>
  <si>
    <t>106,50</t>
  </si>
  <si>
    <t>Кобанов Артем</t>
  </si>
  <si>
    <t>Open (10.01.1992)/23</t>
  </si>
  <si>
    <t>217,5</t>
  </si>
  <si>
    <t>Спиркин Евгений</t>
  </si>
  <si>
    <t>Open (14.11.1987)/27</t>
  </si>
  <si>
    <t>107,80</t>
  </si>
  <si>
    <t>Столяров Алексей</t>
  </si>
  <si>
    <t>Open (29.01.1986)/29</t>
  </si>
  <si>
    <t>108,10</t>
  </si>
  <si>
    <t xml:space="preserve">Хотьково/Московская область </t>
  </si>
  <si>
    <t>Никандров Артем</t>
  </si>
  <si>
    <t>Open (10.07.1983)/32</t>
  </si>
  <si>
    <t>108,70</t>
  </si>
  <si>
    <t xml:space="preserve">Великие Луки/Псковская область </t>
  </si>
  <si>
    <t>Титкин Александр</t>
  </si>
  <si>
    <t>Open (04.09.1987)/28</t>
  </si>
  <si>
    <t>Мусаев Ахмед</t>
  </si>
  <si>
    <t>Open (10.10.1980)/35</t>
  </si>
  <si>
    <t>104,10</t>
  </si>
  <si>
    <t xml:space="preserve">Чиликин А. </t>
  </si>
  <si>
    <t>Дмитриев Эдуард</t>
  </si>
  <si>
    <t>Masters 40-44 (26.05.1972)/43</t>
  </si>
  <si>
    <t>106,90</t>
  </si>
  <si>
    <t>Карасев Борис</t>
  </si>
  <si>
    <t>Masters 40-44 (26.08.1972)/43</t>
  </si>
  <si>
    <t>106,70</t>
  </si>
  <si>
    <t xml:space="preserve">с.Мильково/Камчатский край </t>
  </si>
  <si>
    <t>Ходаков Сергей</t>
  </si>
  <si>
    <t>Masters 45-49 (08.10.1969)/46</t>
  </si>
  <si>
    <t>Филинович Сергей</t>
  </si>
  <si>
    <t>Masters 50-54 (05.04.1961)/54</t>
  </si>
  <si>
    <t>102,70</t>
  </si>
  <si>
    <t xml:space="preserve">Люберцы/Московская область </t>
  </si>
  <si>
    <t xml:space="preserve">Дубина Николай </t>
  </si>
  <si>
    <t>Орешкин Александр</t>
  </si>
  <si>
    <t>Open (21.08.1982)/33</t>
  </si>
  <si>
    <t xml:space="preserve">Чехов/Московская область </t>
  </si>
  <si>
    <t>202,5</t>
  </si>
  <si>
    <t>Open (28.07.1989)/26</t>
  </si>
  <si>
    <t>114,80</t>
  </si>
  <si>
    <t xml:space="preserve">Вичуга/Ивановская область </t>
  </si>
  <si>
    <t>Фаворский Денис</t>
  </si>
  <si>
    <t>Open (16.07.1971)/44</t>
  </si>
  <si>
    <t>112,40</t>
  </si>
  <si>
    <t>Пузырев Денис</t>
  </si>
  <si>
    <t>Masters 40-44 (31.03.1974)/41</t>
  </si>
  <si>
    <t>Дубина Николай</t>
  </si>
  <si>
    <t>Masters 45-49 (18.04.1966)/49</t>
  </si>
  <si>
    <t>114,70</t>
  </si>
  <si>
    <t>Скоробогатько Андрей</t>
  </si>
  <si>
    <t>Masters 50-54 (29.03.1963)/52</t>
  </si>
  <si>
    <t>111,50</t>
  </si>
  <si>
    <t>Ларионов Олег</t>
  </si>
  <si>
    <t>Masters 40-44 (12.10.1974)/41</t>
  </si>
  <si>
    <t>136,50</t>
  </si>
  <si>
    <t xml:space="preserve">Жуковский/Московская область </t>
  </si>
  <si>
    <t>Инютин Андрей</t>
  </si>
  <si>
    <t>Masters 40-44 (18.05.1975)/40</t>
  </si>
  <si>
    <t>133,80</t>
  </si>
  <si>
    <t xml:space="preserve">Брянск/Брянская область </t>
  </si>
  <si>
    <t>ВЕСОВАЯ КАТЕГОРИЯ   140+</t>
  </si>
  <si>
    <t>Карпов Станислав</t>
  </si>
  <si>
    <t>Masters 40-44 (07.04.1971)/44</t>
  </si>
  <si>
    <t>161,30</t>
  </si>
  <si>
    <t xml:space="preserve">Климовск/Московская область </t>
  </si>
  <si>
    <t xml:space="preserve">60 </t>
  </si>
  <si>
    <t>156,8280</t>
  </si>
  <si>
    <t>127,4175</t>
  </si>
  <si>
    <t>125,8905</t>
  </si>
  <si>
    <t>126,7912</t>
  </si>
  <si>
    <t>130,9035</t>
  </si>
  <si>
    <t>124,9381</t>
  </si>
  <si>
    <t>ВЕСОВАЯ КАТЕГОРИЯ   44</t>
  </si>
  <si>
    <t>Мартынова Елизавета</t>
  </si>
  <si>
    <t>Open (18.05.2001)/14</t>
  </si>
  <si>
    <t>43,00</t>
  </si>
  <si>
    <t xml:space="preserve">Узловая/Тульская область </t>
  </si>
  <si>
    <t>51,0</t>
  </si>
  <si>
    <t>53,0</t>
  </si>
  <si>
    <t xml:space="preserve">Гришанов Александр </t>
  </si>
  <si>
    <t>Павличенко Алла</t>
  </si>
  <si>
    <t>Masters 40-44 (15.10.1974)/41</t>
  </si>
  <si>
    <t xml:space="preserve">Команда А </t>
  </si>
  <si>
    <t xml:space="preserve">Аветисян Борис </t>
  </si>
  <si>
    <t>Ярополова Ярослава</t>
  </si>
  <si>
    <t>Open (21.10.1989)/26</t>
  </si>
  <si>
    <t>51,30</t>
  </si>
  <si>
    <t xml:space="preserve">Спорт-универ-фитнес </t>
  </si>
  <si>
    <t xml:space="preserve">Моисеев Кирилл </t>
  </si>
  <si>
    <t>Зеленина Марина</t>
  </si>
  <si>
    <t>Open (18.03.1984)/31</t>
  </si>
  <si>
    <t>51,20</t>
  </si>
  <si>
    <t xml:space="preserve">Долгопрудный/Московская област </t>
  </si>
  <si>
    <t>ВЕСОВАЯ КАТЕГОРИЯ   56</t>
  </si>
  <si>
    <t>Боброва Полина</t>
  </si>
  <si>
    <t>Teen 18-19 (17.06.1996)/19</t>
  </si>
  <si>
    <t>54,20</t>
  </si>
  <si>
    <t>40,0</t>
  </si>
  <si>
    <t>Блинникова Анна</t>
  </si>
  <si>
    <t>Juniors 20-23 (19.04.1994)/21</t>
  </si>
  <si>
    <t>55,20</t>
  </si>
  <si>
    <t>47,5</t>
  </si>
  <si>
    <t>Черкасова Светлана</t>
  </si>
  <si>
    <t>Open (30.03.1989)/26</t>
  </si>
  <si>
    <t>55,10</t>
  </si>
  <si>
    <t xml:space="preserve">Опиченок Егор </t>
  </si>
  <si>
    <t>Хвойницкая Ольга</t>
  </si>
  <si>
    <t>Open (15.02.1987)/28</t>
  </si>
  <si>
    <t>55,70</t>
  </si>
  <si>
    <t>37,5</t>
  </si>
  <si>
    <t>Миндлина Анастасия</t>
  </si>
  <si>
    <t>Teen 18-19 (09.06.1996)/19</t>
  </si>
  <si>
    <t>58,30</t>
  </si>
  <si>
    <t xml:space="preserve">Ракчеев Дмитрий </t>
  </si>
  <si>
    <t>Кричмар Ольга</t>
  </si>
  <si>
    <t>Open (09.03.1982)/33</t>
  </si>
  <si>
    <t>59,40</t>
  </si>
  <si>
    <t xml:space="preserve">Красногорск/Московская область </t>
  </si>
  <si>
    <t>67,5</t>
  </si>
  <si>
    <t xml:space="preserve">Кулькова Полина </t>
  </si>
  <si>
    <t>Фоменко Оксана</t>
  </si>
  <si>
    <t>Open (28.07.1988)/27</t>
  </si>
  <si>
    <t>71,30</t>
  </si>
  <si>
    <t xml:space="preserve">Воронеж/Воронежская область </t>
  </si>
  <si>
    <t xml:space="preserve">Никитин Денис </t>
  </si>
  <si>
    <t>Оганесян Давид</t>
  </si>
  <si>
    <t>Teen 13-15 (16.04.2001)/14</t>
  </si>
  <si>
    <t>64,70</t>
  </si>
  <si>
    <t xml:space="preserve">Зурзинцев Дмитрий </t>
  </si>
  <si>
    <t>Игнатов Александр</t>
  </si>
  <si>
    <t>Teen 16-17 (21.08.1999)/16</t>
  </si>
  <si>
    <t>65,90</t>
  </si>
  <si>
    <t>Данельянц Артем</t>
  </si>
  <si>
    <t>Juniors 20-23 (01.08.1993)/22</t>
  </si>
  <si>
    <t>66,50</t>
  </si>
  <si>
    <t>Open (11.08.1988)/27</t>
  </si>
  <si>
    <t>65,40</t>
  </si>
  <si>
    <t>Борисенко Дмитрий</t>
  </si>
  <si>
    <t>Open (12.04.1988)/27</t>
  </si>
  <si>
    <t>63,30</t>
  </si>
  <si>
    <t>Ревуцкий Радислав</t>
  </si>
  <si>
    <t>Open (13.06.1990)/25</t>
  </si>
  <si>
    <t>65,70</t>
  </si>
  <si>
    <t>Молчанов Андрей</t>
  </si>
  <si>
    <t>Open (17.05.1989)/26</t>
  </si>
  <si>
    <t>65,80</t>
  </si>
  <si>
    <t xml:space="preserve">Игнатов Константин </t>
  </si>
  <si>
    <t>Обухов Николай</t>
  </si>
  <si>
    <t>Masters 60-64 (02.04.1953)/62</t>
  </si>
  <si>
    <t>67,00</t>
  </si>
  <si>
    <t xml:space="preserve">Алимбеков Р.Ш. </t>
  </si>
  <si>
    <t>Мирошниченко Михаил</t>
  </si>
  <si>
    <t>Teen 16-17 (31.12.1997)/17</t>
  </si>
  <si>
    <t>73,40</t>
  </si>
  <si>
    <t>Гомыров Даниил</t>
  </si>
  <si>
    <t>Teen 18-19 (28.02.1996)/19</t>
  </si>
  <si>
    <t>69,80</t>
  </si>
  <si>
    <t>Ситдиков Кирилл</t>
  </si>
  <si>
    <t>Juniors 20-23 (31.10.1993)/22</t>
  </si>
  <si>
    <t>70,00</t>
  </si>
  <si>
    <t xml:space="preserve">Раменское/Московская область </t>
  </si>
  <si>
    <t xml:space="preserve">Залуцкий Роман </t>
  </si>
  <si>
    <t>Казанцев Иван</t>
  </si>
  <si>
    <t>Open (18.10.1982)/33</t>
  </si>
  <si>
    <t>69,20</t>
  </si>
  <si>
    <t xml:space="preserve">Балашиха/Московская область </t>
  </si>
  <si>
    <t>Гавриков Кирилл</t>
  </si>
  <si>
    <t>Open (19.10.1986)/29</t>
  </si>
  <si>
    <t>73,20</t>
  </si>
  <si>
    <t>Нагорных Иван</t>
  </si>
  <si>
    <t>Open (16.03.1983)/32</t>
  </si>
  <si>
    <t>74,00</t>
  </si>
  <si>
    <t xml:space="preserve">Одинцово/Московская область </t>
  </si>
  <si>
    <t>Сидоровский Сергей</t>
  </si>
  <si>
    <t>Masters 40-44 (12.05.1971)/44</t>
  </si>
  <si>
    <t>117,0</t>
  </si>
  <si>
    <t>Фурсов Дмитрий</t>
  </si>
  <si>
    <t>Teen 13-15 (08.10.2002)/13</t>
  </si>
  <si>
    <t>81,60</t>
  </si>
  <si>
    <t>72,5</t>
  </si>
  <si>
    <t xml:space="preserve">Петрив </t>
  </si>
  <si>
    <t>Насыров Даниил</t>
  </si>
  <si>
    <t>Teen 16-17 (30.06.1999)/16</t>
  </si>
  <si>
    <t>82,00</t>
  </si>
  <si>
    <t>Панкратов Илья</t>
  </si>
  <si>
    <t>Open (09.12.1986)/28</t>
  </si>
  <si>
    <t>80,40</t>
  </si>
  <si>
    <t>Погосов Левон</t>
  </si>
  <si>
    <t>Open (12.06.1982)/33</t>
  </si>
  <si>
    <t>79,50</t>
  </si>
  <si>
    <t>Когтев Сергей</t>
  </si>
  <si>
    <t>Open (28.11.1988)/26</t>
  </si>
  <si>
    <t>Морозов Антон</t>
  </si>
  <si>
    <t>Open (28.05.1984)/31</t>
  </si>
  <si>
    <t>80,00</t>
  </si>
  <si>
    <t xml:space="preserve">Бор/Нижегородская область </t>
  </si>
  <si>
    <t>Есаков Денис</t>
  </si>
  <si>
    <t>Open (25.05.1986)/29</t>
  </si>
  <si>
    <t>81,40</t>
  </si>
  <si>
    <t xml:space="preserve">Юханов Александр </t>
  </si>
  <si>
    <t>Juniors 20-23 (09.03.1992)/23</t>
  </si>
  <si>
    <t>89,00</t>
  </si>
  <si>
    <t xml:space="preserve">Илясов Антон </t>
  </si>
  <si>
    <t>Рощупкин Андрей</t>
  </si>
  <si>
    <t>Juniors 20-23 (17.07.1994)/21</t>
  </si>
  <si>
    <t>88,00</t>
  </si>
  <si>
    <t>Гирко Владислав</t>
  </si>
  <si>
    <t>Open (19.09.1987)/28</t>
  </si>
  <si>
    <t>88,20</t>
  </si>
  <si>
    <t>Ляшенко Александр</t>
  </si>
  <si>
    <t>Open (22.01.1977)/38</t>
  </si>
  <si>
    <t>88,10</t>
  </si>
  <si>
    <t xml:space="preserve">Мурманск/Мурманская область </t>
  </si>
  <si>
    <t xml:space="preserve">Кузеев Дамир, Никулин Алексей </t>
  </si>
  <si>
    <t>Букалов Алексей</t>
  </si>
  <si>
    <t>Open (10.12.1976)/38</t>
  </si>
  <si>
    <t>87,00</t>
  </si>
  <si>
    <t xml:space="preserve">Кронштадт/Санкт-Петербург </t>
  </si>
  <si>
    <t>Open (21.09.1988)/27</t>
  </si>
  <si>
    <t>Чернышов Игорь</t>
  </si>
  <si>
    <t>Masters 45-49 (14.07.1969)/46</t>
  </si>
  <si>
    <t>89,70</t>
  </si>
  <si>
    <t xml:space="preserve">Серпухов </t>
  </si>
  <si>
    <t>157,5</t>
  </si>
  <si>
    <t xml:space="preserve">Емельянов Алексей </t>
  </si>
  <si>
    <t>Сотников Эдуард</t>
  </si>
  <si>
    <t>Masters 45-49 (12.09.1967)/48</t>
  </si>
  <si>
    <t>Трухтанов Павел</t>
  </si>
  <si>
    <t>Open (30.10.1976)/39</t>
  </si>
  <si>
    <t>97,90</t>
  </si>
  <si>
    <t xml:space="preserve">Самара/Самарская область </t>
  </si>
  <si>
    <t>Снетков Александр</t>
  </si>
  <si>
    <t>Open (24.01.1987)/28</t>
  </si>
  <si>
    <t xml:space="preserve">Химки/Московская область </t>
  </si>
  <si>
    <t xml:space="preserve">Курков Алексей </t>
  </si>
  <si>
    <t>Осипенко Алексей</t>
  </si>
  <si>
    <t>Open (09.05.1985)/30</t>
  </si>
  <si>
    <t>96,40</t>
  </si>
  <si>
    <t xml:space="preserve">Орешкин Александр </t>
  </si>
  <si>
    <t>Аветисян Борис</t>
  </si>
  <si>
    <t>Open (27.08.1987)/28</t>
  </si>
  <si>
    <t>99,90</t>
  </si>
  <si>
    <t>Озеров Олег</t>
  </si>
  <si>
    <t>Open (22.12.1982)/32</t>
  </si>
  <si>
    <t xml:space="preserve">Бондарев Алексей </t>
  </si>
  <si>
    <t>Юнанов Александр</t>
  </si>
  <si>
    <t>Masters 40-44 (17.09.1974)/41</t>
  </si>
  <si>
    <t>Клецов Александр</t>
  </si>
  <si>
    <t>Masters 45-49 (19.07.1967)/48</t>
  </si>
  <si>
    <t>98,40</t>
  </si>
  <si>
    <t xml:space="preserve">Славинский Иван </t>
  </si>
  <si>
    <t>Челышев Андрей</t>
  </si>
  <si>
    <t>Masters 50-54 (29.11.1963)/51</t>
  </si>
  <si>
    <t>95,60</t>
  </si>
  <si>
    <t>Банников Сергей</t>
  </si>
  <si>
    <t>Masters 55-59 (05.10.1960)/55</t>
  </si>
  <si>
    <t>95,20</t>
  </si>
  <si>
    <t>Кислов Павел</t>
  </si>
  <si>
    <t>Open (26.05.1983)/32</t>
  </si>
  <si>
    <t>107,60</t>
  </si>
  <si>
    <t>Резников Василий</t>
  </si>
  <si>
    <t>Open (06.03.1984)/31</t>
  </si>
  <si>
    <t xml:space="preserve">Шония Алексей </t>
  </si>
  <si>
    <t>Петров Андрей</t>
  </si>
  <si>
    <t>Open (29.01.1983)/32</t>
  </si>
  <si>
    <t>109,60</t>
  </si>
  <si>
    <t xml:space="preserve">Бородий Владислав </t>
  </si>
  <si>
    <t>Зуйков Евгений</t>
  </si>
  <si>
    <t>Juniors 20-23 (10.05.1994)/21</t>
  </si>
  <si>
    <t>120,30</t>
  </si>
  <si>
    <t xml:space="preserve">Звенигород/Московская область </t>
  </si>
  <si>
    <t>Храмцов Андрей</t>
  </si>
  <si>
    <t>Open (18.09.1984)/31</t>
  </si>
  <si>
    <t>122,80</t>
  </si>
  <si>
    <t>Open (24.01.1989)/26</t>
  </si>
  <si>
    <t>123,80</t>
  </si>
  <si>
    <t>Оглоблин Денис</t>
  </si>
  <si>
    <t>Open (12.05.1967)/48</t>
  </si>
  <si>
    <t>121,10</t>
  </si>
  <si>
    <t>Авдеев Денис</t>
  </si>
  <si>
    <t>Open (14.06.1985)/30</t>
  </si>
  <si>
    <t>118,50</t>
  </si>
  <si>
    <t>Косьяненко Денис</t>
  </si>
  <si>
    <t>Open (17.12.1980)/34</t>
  </si>
  <si>
    <t>118,70</t>
  </si>
  <si>
    <t>Masters 40-44 (16.07.1971)/44</t>
  </si>
  <si>
    <t>Masters 45-49 (12.05.1967)/48</t>
  </si>
  <si>
    <t>Богданов Константин</t>
  </si>
  <si>
    <t>Open (14.05.1976)/39</t>
  </si>
  <si>
    <t>137,50</t>
  </si>
  <si>
    <t>Шония Алексей</t>
  </si>
  <si>
    <t>Masters 45-49 (20.09.1970)/45</t>
  </si>
  <si>
    <t>129,90</t>
  </si>
  <si>
    <t xml:space="preserve">Королёв/Московская область </t>
  </si>
  <si>
    <t xml:space="preserve">56 </t>
  </si>
  <si>
    <t xml:space="preserve">44 </t>
  </si>
  <si>
    <t>67,7764</t>
  </si>
  <si>
    <t>66,0938</t>
  </si>
  <si>
    <t>62,2250</t>
  </si>
  <si>
    <t>121,2953</t>
  </si>
  <si>
    <t>115,0800</t>
  </si>
  <si>
    <t>110,8730</t>
  </si>
  <si>
    <t>119,1183</t>
  </si>
  <si>
    <t>108,3548</t>
  </si>
  <si>
    <t>104,3460</t>
  </si>
  <si>
    <t>Open (12.12.1975)/39</t>
  </si>
  <si>
    <t>Князев Юрий</t>
  </si>
  <si>
    <t>Open (07.12.1983)/31</t>
  </si>
  <si>
    <t xml:space="preserve">Фрязино/Московская область </t>
  </si>
  <si>
    <t xml:space="preserve">Юдин Г. В. </t>
  </si>
  <si>
    <t>Open (25.02.1991)/24</t>
  </si>
  <si>
    <t>80,30</t>
  </si>
  <si>
    <t>Липин Илья</t>
  </si>
  <si>
    <t>Teen 18-19 (27.07.1996)/19</t>
  </si>
  <si>
    <t>Калинин Сергей</t>
  </si>
  <si>
    <t>Open (05.02.1982)/33</t>
  </si>
  <si>
    <t>99,80</t>
  </si>
  <si>
    <t>Поликарпов Дмитрий</t>
  </si>
  <si>
    <t>Open (01.08.1979)/36</t>
  </si>
  <si>
    <t>99,60</t>
  </si>
  <si>
    <t xml:space="preserve">Ольховский Александр </t>
  </si>
  <si>
    <t>Ольховский Александр</t>
  </si>
  <si>
    <t>Open (25.12.1978)/36</t>
  </si>
  <si>
    <t>108,30</t>
  </si>
  <si>
    <t>Open (04.04.1985)/30</t>
  </si>
  <si>
    <t xml:space="preserve">Филин Илья </t>
  </si>
  <si>
    <t>Каява Кирилл</t>
  </si>
  <si>
    <t>Open (24.06.1976)/39</t>
  </si>
  <si>
    <t>138,50</t>
  </si>
  <si>
    <t xml:space="preserve">Петрозаводск/Карелия </t>
  </si>
  <si>
    <t>285,0</t>
  </si>
  <si>
    <t xml:space="preserve">Каширин Алексей </t>
  </si>
  <si>
    <t>161,0646</t>
  </si>
  <si>
    <t>141,2500</t>
  </si>
  <si>
    <t>138,1775</t>
  </si>
  <si>
    <t>Синотова Марина</t>
  </si>
  <si>
    <t>Open (31.12.1988)/26</t>
  </si>
  <si>
    <t>73,60</t>
  </si>
  <si>
    <t>Буянов Евгений</t>
  </si>
  <si>
    <t>98,00</t>
  </si>
  <si>
    <t>Open (27.06.1975)/40</t>
  </si>
  <si>
    <t>113,50</t>
  </si>
  <si>
    <t>Masters 40-44 (27.06.1975)/40</t>
  </si>
  <si>
    <t>113,40</t>
  </si>
  <si>
    <t>Курочкин Валерий</t>
  </si>
  <si>
    <t>Open (09.11.1978)/36</t>
  </si>
  <si>
    <t>Masters 40-44 (09.05.1974)/41</t>
  </si>
  <si>
    <t>124,00</t>
  </si>
  <si>
    <t>Open (25.01.1987)/28</t>
  </si>
  <si>
    <t>132,10</t>
  </si>
  <si>
    <t>400,0</t>
  </si>
  <si>
    <t>Masters 40-44 (11.02.1970)/45</t>
  </si>
  <si>
    <t>61,50</t>
  </si>
  <si>
    <t>Juniors 20-23 (26.04.1994)/21</t>
  </si>
  <si>
    <t>45,00</t>
  </si>
  <si>
    <t>Juniors 20-23 (30.01.1995)/20</t>
  </si>
  <si>
    <t>50,00</t>
  </si>
  <si>
    <t>Дмитриев Кирилл</t>
  </si>
  <si>
    <t>Open (20.04.1981)/34</t>
  </si>
  <si>
    <t>52,90</t>
  </si>
  <si>
    <t>Авершин Егор</t>
  </si>
  <si>
    <t>Open (22.07.1990)/25</t>
  </si>
  <si>
    <t>57,30</t>
  </si>
  <si>
    <t>35,0</t>
  </si>
  <si>
    <t>Варавин Павел</t>
  </si>
  <si>
    <t>Open (11.07.1982)/33</t>
  </si>
  <si>
    <t>67,50</t>
  </si>
  <si>
    <t>Абдалов Дмитрий</t>
  </si>
  <si>
    <t>Open (28.02.1989)/26</t>
  </si>
  <si>
    <t>Востриков Антон</t>
  </si>
  <si>
    <t>Juniors 20-23 (07.06.1995)/20</t>
  </si>
  <si>
    <t xml:space="preserve">Вологда/Вологодская область </t>
  </si>
  <si>
    <t xml:space="preserve">Балашов Николай </t>
  </si>
  <si>
    <t>Становенков Александр</t>
  </si>
  <si>
    <t>Open (09.08.1986)/29</t>
  </si>
  <si>
    <t>87,10</t>
  </si>
  <si>
    <t>Колосов Сергей</t>
  </si>
  <si>
    <t>Open (23.07.1988)/27</t>
  </si>
  <si>
    <t>90,30</t>
  </si>
  <si>
    <t>Masters 50-54 (19.01.1963)/52</t>
  </si>
  <si>
    <t>99,10</t>
  </si>
  <si>
    <t>101,3260</t>
  </si>
  <si>
    <t>85,3515</t>
  </si>
  <si>
    <t>71,0980</t>
  </si>
  <si>
    <t>Удалова Мария</t>
  </si>
  <si>
    <t>Juniors 20-23 (08.06.1995)/20</t>
  </si>
  <si>
    <t>49,70</t>
  </si>
  <si>
    <t>Очирова Елена</t>
  </si>
  <si>
    <t>Open (15.09.1975)/40</t>
  </si>
  <si>
    <t>55,50</t>
  </si>
  <si>
    <t>Лобачева Ольга</t>
  </si>
  <si>
    <t>Masters 45-49 (03.02.1970)/45</t>
  </si>
  <si>
    <t>56,40</t>
  </si>
  <si>
    <t xml:space="preserve">Аблаева Виктория </t>
  </si>
  <si>
    <t>Калёнова Александра</t>
  </si>
  <si>
    <t>Open (05.09.1990)/25</t>
  </si>
  <si>
    <t>65,30</t>
  </si>
  <si>
    <t>Калинцева Кристина</t>
  </si>
  <si>
    <t>Juniors 20-23 (17.10.1995)/20</t>
  </si>
  <si>
    <t>68,30</t>
  </si>
  <si>
    <t>Трухина Наталья</t>
  </si>
  <si>
    <t>Open (01.07.1991)/24</t>
  </si>
  <si>
    <t>82,20</t>
  </si>
  <si>
    <t xml:space="preserve">Кузнецов Владислав </t>
  </si>
  <si>
    <t>Архипова Ирина</t>
  </si>
  <si>
    <t>Open (06.10.1980)/35</t>
  </si>
  <si>
    <t>85,40</t>
  </si>
  <si>
    <t xml:space="preserve">Ломова Оксана </t>
  </si>
  <si>
    <t>Прокаев Николай</t>
  </si>
  <si>
    <t>Open (17.06.1987)/28</t>
  </si>
  <si>
    <t>64,90</t>
  </si>
  <si>
    <t>Капитонов Вячеслав</t>
  </si>
  <si>
    <t>Teen 18-19 (16.04.1996)/19</t>
  </si>
  <si>
    <t>76,60</t>
  </si>
  <si>
    <t>Виноградов Сергей</t>
  </si>
  <si>
    <t>Masters 45-49 (27.06.1970)/45</t>
  </si>
  <si>
    <t>88,80</t>
  </si>
  <si>
    <t>Дудченко Александр</t>
  </si>
  <si>
    <t>Masters 65-69 (03.09.1946)/69</t>
  </si>
  <si>
    <t>Илясов Антон</t>
  </si>
  <si>
    <t>Open (25.11.1988)/26</t>
  </si>
  <si>
    <t>97,50</t>
  </si>
  <si>
    <t>337,5</t>
  </si>
  <si>
    <t>350,0</t>
  </si>
  <si>
    <t>360,0</t>
  </si>
  <si>
    <t>Булгарь Андрей</t>
  </si>
  <si>
    <t>Open (27.06.1988)/27</t>
  </si>
  <si>
    <t xml:space="preserve">Рыбное/Рязанская область </t>
  </si>
  <si>
    <t>312,5</t>
  </si>
  <si>
    <t>325,0</t>
  </si>
  <si>
    <t>Ермаков Алексей</t>
  </si>
  <si>
    <t>Open (14.11.1988)/26</t>
  </si>
  <si>
    <t>Карев Алексей</t>
  </si>
  <si>
    <t>Open (31.08.1979)/36</t>
  </si>
  <si>
    <t>92,90</t>
  </si>
  <si>
    <t>Девяткин Дмитрий</t>
  </si>
  <si>
    <t>Open (29.09.1991)/24</t>
  </si>
  <si>
    <t>107,90</t>
  </si>
  <si>
    <t xml:space="preserve">Лысьва/Пермский край </t>
  </si>
  <si>
    <t>Летяев Владимир</t>
  </si>
  <si>
    <t>Open (21.08.1976)/39</t>
  </si>
  <si>
    <t>101,80</t>
  </si>
  <si>
    <t>Open (14.12.1985)/29</t>
  </si>
  <si>
    <t>267,5</t>
  </si>
  <si>
    <t>Марченко Владимир</t>
  </si>
  <si>
    <t>Open (22.04.1978)/37</t>
  </si>
  <si>
    <t>122,20</t>
  </si>
  <si>
    <t>Петров Алексей</t>
  </si>
  <si>
    <t>Open (24.05.1983)/32</t>
  </si>
  <si>
    <t>116,40</t>
  </si>
  <si>
    <t>170,3610</t>
  </si>
  <si>
    <t>169,4845</t>
  </si>
  <si>
    <t>120,9110</t>
  </si>
  <si>
    <t>205,7125</t>
  </si>
  <si>
    <t>197,9775</t>
  </si>
  <si>
    <t>189,6537</t>
  </si>
  <si>
    <t>168,6712</t>
  </si>
  <si>
    <t>Нетребина Галина</t>
  </si>
  <si>
    <t>Open (07.07.1978)/37</t>
  </si>
  <si>
    <t xml:space="preserve">Губкин/Белгородская область </t>
  </si>
  <si>
    <t>Трапезникова Наталья</t>
  </si>
  <si>
    <t>Open (12.01.1986)/29</t>
  </si>
  <si>
    <t>67,20</t>
  </si>
  <si>
    <t>Глаголев Алексей</t>
  </si>
  <si>
    <t>Teen 18-19 (27.10.1997)/18</t>
  </si>
  <si>
    <t>79,10</t>
  </si>
  <si>
    <t xml:space="preserve">Богородицк-стронг </t>
  </si>
  <si>
    <t xml:space="preserve">Богородицк/Тульская область </t>
  </si>
  <si>
    <t>Кармишин Андрей</t>
  </si>
  <si>
    <t>Open (13.03.1984)/31</t>
  </si>
  <si>
    <t>81,80</t>
  </si>
  <si>
    <t>Juniors 20-23 (13.06.1992)/23</t>
  </si>
  <si>
    <t>88,90</t>
  </si>
  <si>
    <t xml:space="preserve">Нальчик/Кабардино-Балкария </t>
  </si>
  <si>
    <t>Open (19.03.1979)/36</t>
  </si>
  <si>
    <t>Open (20.09.1977)/38</t>
  </si>
  <si>
    <t>95,10</t>
  </si>
  <si>
    <t>Бычков Павел</t>
  </si>
  <si>
    <t>Open (19.08.1975)/40</t>
  </si>
  <si>
    <t>98,90</t>
  </si>
  <si>
    <t>Masters 40-44 (19.08.1975)/40</t>
  </si>
  <si>
    <t>Коновалов Егор</t>
  </si>
  <si>
    <t>Open (24.09.1991)/24</t>
  </si>
  <si>
    <t>Open (03.10.1977)/38</t>
  </si>
  <si>
    <t>142,80</t>
  </si>
  <si>
    <t>155,2100</t>
  </si>
  <si>
    <t>148,6500</t>
  </si>
  <si>
    <t>Open (03.02.1988)/27</t>
  </si>
  <si>
    <t>Безуглов Николай</t>
  </si>
  <si>
    <t>Open (10.01.1985)/30</t>
  </si>
  <si>
    <t xml:space="preserve">Удомля/Тверская область </t>
  </si>
  <si>
    <t>Савосин Марат</t>
  </si>
  <si>
    <t>Open (23.10.1990)/25</t>
  </si>
  <si>
    <t>105,80</t>
  </si>
  <si>
    <t xml:space="preserve">Подольск/Московская область </t>
  </si>
  <si>
    <t>292,5</t>
  </si>
  <si>
    <t>512,5</t>
  </si>
  <si>
    <t>291,7150</t>
  </si>
  <si>
    <t>470,0</t>
  </si>
  <si>
    <t>274,0335</t>
  </si>
  <si>
    <t>445,0</t>
  </si>
  <si>
    <t>272,9407</t>
  </si>
  <si>
    <t>Подольская Кристина</t>
  </si>
  <si>
    <t>Open (09.05.1990)/25</t>
  </si>
  <si>
    <t xml:space="preserve">Железнодорожный/Московская область </t>
  </si>
  <si>
    <t xml:space="preserve">Ряховский Дмитрий </t>
  </si>
  <si>
    <t>Сергеев Алексей</t>
  </si>
  <si>
    <t>Open (07.09.1989)/26</t>
  </si>
  <si>
    <t>Кулебякин Руслан</t>
  </si>
  <si>
    <t>Open (26.02.1991)/24</t>
  </si>
  <si>
    <t>102,50</t>
  </si>
  <si>
    <t xml:space="preserve">Таганрог/Ростовская область </t>
  </si>
  <si>
    <t xml:space="preserve">Стародубский Сергей </t>
  </si>
  <si>
    <t>Артюхов Артем</t>
  </si>
  <si>
    <t>Open (30.04.1987)/28</t>
  </si>
  <si>
    <t>Open (16.07.1987)/28</t>
  </si>
  <si>
    <t>93,40</t>
  </si>
  <si>
    <t xml:space="preserve">Кочетов Андрей </t>
  </si>
  <si>
    <t>Open (21.06.1976)/39</t>
  </si>
  <si>
    <t>103,60</t>
  </si>
  <si>
    <t>Teen 18-19 (17.06.1997)/18</t>
  </si>
  <si>
    <t>Teen 16-17 (30.01.1998)/17</t>
  </si>
  <si>
    <t>118,10</t>
  </si>
  <si>
    <t>Место</t>
  </si>
  <si>
    <t>1</t>
  </si>
  <si>
    <t>Результат</t>
  </si>
  <si>
    <t>2</t>
  </si>
  <si>
    <t>3</t>
  </si>
  <si>
    <t>Смирнов Алексей</t>
  </si>
  <si>
    <t>4</t>
  </si>
  <si>
    <t>5</t>
  </si>
  <si>
    <t>6</t>
  </si>
  <si>
    <t>Жим стоя</t>
  </si>
  <si>
    <t>Подъем на бицепс</t>
  </si>
  <si>
    <t>Open (09.10.1981)/34</t>
  </si>
  <si>
    <t>58,70</t>
  </si>
  <si>
    <t>32,5</t>
  </si>
  <si>
    <t>25,0</t>
  </si>
  <si>
    <t>27,5</t>
  </si>
  <si>
    <t>30,0</t>
  </si>
  <si>
    <t xml:space="preserve">Первышин Евгений </t>
  </si>
  <si>
    <t>Open (26.03.1988)/27</t>
  </si>
  <si>
    <t>81,00</t>
  </si>
  <si>
    <t xml:space="preserve">Екатеринбург/Свердловская область </t>
  </si>
  <si>
    <t>Open (04.09.1979)/36</t>
  </si>
  <si>
    <t>Open (14.01.1985)/30</t>
  </si>
  <si>
    <t>78,40</t>
  </si>
  <si>
    <t>Open (27.05.1983)/32</t>
  </si>
  <si>
    <t xml:space="preserve">Щёлково/Московская область </t>
  </si>
  <si>
    <t>Гредягин Александр</t>
  </si>
  <si>
    <t>Open (17.11.1974)/40</t>
  </si>
  <si>
    <t>98,70</t>
  </si>
  <si>
    <t>Masters 40-49 (17.11.1974)/40</t>
  </si>
  <si>
    <t>108,8696</t>
  </si>
  <si>
    <t>Кынкурогов Игорь</t>
  </si>
  <si>
    <t>107,6378</t>
  </si>
  <si>
    <t>Гришанов Александр</t>
  </si>
  <si>
    <t>94,6705</t>
  </si>
  <si>
    <t>Open (21.06.1980)/35</t>
  </si>
  <si>
    <t>Open (14.02.1988)/27</t>
  </si>
  <si>
    <t>81,70</t>
  </si>
  <si>
    <t>Open (18.04.1987)/28</t>
  </si>
  <si>
    <t>86,40</t>
  </si>
  <si>
    <t xml:space="preserve">Сочи/Краснодарский край </t>
  </si>
  <si>
    <t>Open (04.12.1985)/29</t>
  </si>
  <si>
    <t>93,10</t>
  </si>
  <si>
    <t xml:space="preserve">ФАПО </t>
  </si>
  <si>
    <t xml:space="preserve">Пенза/Пензенская область </t>
  </si>
  <si>
    <t>Open (21.07.1988)/27</t>
  </si>
  <si>
    <t>101,30</t>
  </si>
  <si>
    <t>Open (04.06.1976)/39</t>
  </si>
  <si>
    <t>114,20</t>
  </si>
  <si>
    <t xml:space="preserve">Клин/Московская область </t>
  </si>
  <si>
    <t xml:space="preserve">Янковская Анна </t>
  </si>
  <si>
    <t>Цыганкова Ирина</t>
  </si>
  <si>
    <t>Копаев Виктор</t>
  </si>
  <si>
    <t>114,5100</t>
  </si>
  <si>
    <t>Арсентьев Иван</t>
  </si>
  <si>
    <t>114,2055</t>
  </si>
  <si>
    <t>Грушин Владимир</t>
  </si>
  <si>
    <t>111,1758</t>
  </si>
  <si>
    <t>Вес</t>
  </si>
  <si>
    <t>Повторы</t>
  </si>
  <si>
    <t>Чаадаева Олеся</t>
  </si>
  <si>
    <t>Open (16.08.1984)/31</t>
  </si>
  <si>
    <t>51,50</t>
  </si>
  <si>
    <t>Кобзев Антон</t>
  </si>
  <si>
    <t>Open (18.11.1989)/25</t>
  </si>
  <si>
    <t>37,0</t>
  </si>
  <si>
    <t>Masters 60+ (02.04.1953)/62</t>
  </si>
  <si>
    <t>12,0</t>
  </si>
  <si>
    <t>Juniors 20-23 (15.04.1993)/22</t>
  </si>
  <si>
    <t>74,50</t>
  </si>
  <si>
    <t>23,0</t>
  </si>
  <si>
    <t>Хамилов Александр</t>
  </si>
  <si>
    <t>Masters 50-59 (23.05.1965)/50</t>
  </si>
  <si>
    <t>69,00</t>
  </si>
  <si>
    <t>29,0</t>
  </si>
  <si>
    <t>Абахов Виталий</t>
  </si>
  <si>
    <t>Open (19.08.1988)/27</t>
  </si>
  <si>
    <t>84,60</t>
  </si>
  <si>
    <t>26,0</t>
  </si>
  <si>
    <t>Симкин Андрей</t>
  </si>
  <si>
    <t>21,0</t>
  </si>
  <si>
    <t>6,0</t>
  </si>
  <si>
    <t>Котов Олег</t>
  </si>
  <si>
    <t>Masters 40-49 (25.04.1966)/49</t>
  </si>
  <si>
    <t>89,10</t>
  </si>
  <si>
    <t xml:space="preserve">Кстово/Нижегородская область </t>
  </si>
  <si>
    <t>13,0</t>
  </si>
  <si>
    <t>Смольников Валерий</t>
  </si>
  <si>
    <t>Open (31.05.1976)/39</t>
  </si>
  <si>
    <t>94,20</t>
  </si>
  <si>
    <t xml:space="preserve">Фаворский Денис </t>
  </si>
  <si>
    <t>Шмаков Сергей</t>
  </si>
  <si>
    <t>Masters 50-59 (12.03.1965)/50</t>
  </si>
  <si>
    <t>102,00</t>
  </si>
  <si>
    <t xml:space="preserve">Владимир/Владимирская область </t>
  </si>
  <si>
    <t>20,0</t>
  </si>
  <si>
    <t>14,0</t>
  </si>
  <si>
    <t>Masters 40-49 (16.07.1971)/44</t>
  </si>
  <si>
    <t>Филин Михаил</t>
  </si>
  <si>
    <t>Masters 50-59 (17.11.1961)/53</t>
  </si>
  <si>
    <t>126,00</t>
  </si>
  <si>
    <t>9,0</t>
  </si>
  <si>
    <t>3200,0</t>
  </si>
  <si>
    <t>2113,9200</t>
  </si>
  <si>
    <t>2127,5</t>
  </si>
  <si>
    <t>1885,0713</t>
  </si>
  <si>
    <t>2755,0</t>
  </si>
  <si>
    <t>1645,8370</t>
  </si>
  <si>
    <t>Тоннаж</t>
  </si>
  <si>
    <t>Мурзинцев Дмитрий</t>
  </si>
  <si>
    <t>22,0</t>
  </si>
  <si>
    <t>Дегтярев Егор</t>
  </si>
  <si>
    <t>Open (04.09.1989)/26</t>
  </si>
  <si>
    <t>36,0</t>
  </si>
  <si>
    <t xml:space="preserve">Павлов Максим </t>
  </si>
  <si>
    <t>Masters 40-49 (06.06.1971)/44</t>
  </si>
  <si>
    <t>Мамедов Владимир</t>
  </si>
  <si>
    <t>Open (15.06.1990)/25</t>
  </si>
  <si>
    <t>77,30</t>
  </si>
  <si>
    <t>32,0</t>
  </si>
  <si>
    <t>Силушин Павел</t>
  </si>
  <si>
    <t>Open (17.09.1989)/26</t>
  </si>
  <si>
    <t>83,20</t>
  </si>
  <si>
    <t>46,0</t>
  </si>
  <si>
    <t xml:space="preserve">Силушин Александр </t>
  </si>
  <si>
    <t>Волков Андрей</t>
  </si>
  <si>
    <t>Open (29.09.1975)/40</t>
  </si>
  <si>
    <t>43,0</t>
  </si>
  <si>
    <t>Захаров Игорь</t>
  </si>
  <si>
    <t>Open (31.07.1969)/46</t>
  </si>
  <si>
    <t>86,80</t>
  </si>
  <si>
    <t>41,0</t>
  </si>
  <si>
    <t xml:space="preserve">Скорина О.В. </t>
  </si>
  <si>
    <t>Балаков Фёдор</t>
  </si>
  <si>
    <t>Open (15.11.1981)/33</t>
  </si>
  <si>
    <t>84,30</t>
  </si>
  <si>
    <t>Masters 40-49 (29.09.1975)/40</t>
  </si>
  <si>
    <t>Masters 40-49 (31.07.1969)/46</t>
  </si>
  <si>
    <t>Карандашев Владимир</t>
  </si>
  <si>
    <t>Masters 40-49 (12.03.1972)/43</t>
  </si>
  <si>
    <t>31,0</t>
  </si>
  <si>
    <t>Бардин Владимир</t>
  </si>
  <si>
    <t>Open (13.01.1985)/30</t>
  </si>
  <si>
    <t>99,20</t>
  </si>
  <si>
    <t>Смирнов Олег</t>
  </si>
  <si>
    <t>Open (22.01.1986)/29</t>
  </si>
  <si>
    <t>94,80</t>
  </si>
  <si>
    <t xml:space="preserve">Вегетарианская сила </t>
  </si>
  <si>
    <t>34,0</t>
  </si>
  <si>
    <t>Ковригин Алексей</t>
  </si>
  <si>
    <t>Open (18.08.1975)/40</t>
  </si>
  <si>
    <t>98,30</t>
  </si>
  <si>
    <t>28,0</t>
  </si>
  <si>
    <t>Masters 40-49 (18.08.1975)/40</t>
  </si>
  <si>
    <t>Тимофеев Ян</t>
  </si>
  <si>
    <t>Juniors 20-23 (14.02.1992)/23</t>
  </si>
  <si>
    <t>Смигунов Сергей</t>
  </si>
  <si>
    <t>Open (13.09.1984)/31</t>
  </si>
  <si>
    <t>102,20</t>
  </si>
  <si>
    <t>27,0</t>
  </si>
  <si>
    <t>Котов Виктор</t>
  </si>
  <si>
    <t>Open (10.10.1989)/26</t>
  </si>
  <si>
    <t>117,30</t>
  </si>
  <si>
    <t>Полетаев Владимир</t>
  </si>
  <si>
    <t>Masters 40-49 (19.10.1972)/43</t>
  </si>
  <si>
    <t>111,80</t>
  </si>
  <si>
    <t>3910,0</t>
  </si>
  <si>
    <t>2506,7010</t>
  </si>
  <si>
    <t>3870,0</t>
  </si>
  <si>
    <t>2375,2124</t>
  </si>
  <si>
    <t>4000,0</t>
  </si>
  <si>
    <t>2333,2000</t>
  </si>
  <si>
    <t>44,0</t>
  </si>
  <si>
    <t>Дементьва Елена</t>
  </si>
  <si>
    <t>Open (16.03.1981)/34</t>
  </si>
  <si>
    <t>57,20</t>
  </si>
  <si>
    <t>Сенькова Надежда</t>
  </si>
  <si>
    <t>Open (04.05.1989)/26</t>
  </si>
  <si>
    <t>66,00</t>
  </si>
  <si>
    <t xml:space="preserve">Львов/ </t>
  </si>
  <si>
    <t>48,0</t>
  </si>
  <si>
    <t xml:space="preserve">Захаров Игорь </t>
  </si>
  <si>
    <t>Власенко Даниил</t>
  </si>
  <si>
    <t>Teen 13-19 (20.05.1999)/16</t>
  </si>
  <si>
    <t>64,30</t>
  </si>
  <si>
    <t xml:space="preserve">Молчанов Андрей </t>
  </si>
  <si>
    <t>Кекелидзе Михаил</t>
  </si>
  <si>
    <t>Teen 13-19 (10.09.1999)/16</t>
  </si>
  <si>
    <t>Евтихова Юлия</t>
  </si>
  <si>
    <t>Open (01.11.1992)/23</t>
  </si>
  <si>
    <t xml:space="preserve">Бояров Александр </t>
  </si>
  <si>
    <t>ВЕСОВАЯ КАТЕГОРИЯ   70</t>
  </si>
  <si>
    <t>ВЕСОВАЯ КАТЕГОРИЯ   80</t>
  </si>
  <si>
    <t>Огирь Ирина</t>
  </si>
  <si>
    <t>Open (26.03.1985)/30</t>
  </si>
  <si>
    <t>76,20</t>
  </si>
  <si>
    <t>ВЕСОВАЯ КАТЕГОРИЯ   80+</t>
  </si>
  <si>
    <t>82,50</t>
  </si>
  <si>
    <t>Дульнев Владислав</t>
  </si>
  <si>
    <t>Junior (31.05.1999)/16</t>
  </si>
  <si>
    <t>57,00</t>
  </si>
  <si>
    <t xml:space="preserve">Гредягин Александр </t>
  </si>
  <si>
    <t>Давыдов Андрей</t>
  </si>
  <si>
    <t>Open (25.04.1987)/28</t>
  </si>
  <si>
    <t>69,40</t>
  </si>
  <si>
    <t xml:space="preserve">Дубна/Московская область </t>
  </si>
  <si>
    <t>Зайцев Александр</t>
  </si>
  <si>
    <t>Open (10.01.1998)/17</t>
  </si>
  <si>
    <t>72,90</t>
  </si>
  <si>
    <t xml:space="preserve">Мурашкин Вадим </t>
  </si>
  <si>
    <t>Николаев Александр</t>
  </si>
  <si>
    <t>Open (21.04.1981)/34</t>
  </si>
  <si>
    <t xml:space="preserve">Саров/Нижегородская область </t>
  </si>
  <si>
    <t>Середич Александр</t>
  </si>
  <si>
    <t>Open (02.01.1984)/31</t>
  </si>
  <si>
    <t>Шевченко Сергей</t>
  </si>
  <si>
    <t>Open (30.04.1974)/41</t>
  </si>
  <si>
    <t>Бобырев Виталий</t>
  </si>
  <si>
    <t>Open (05.10.1984)/31</t>
  </si>
  <si>
    <t xml:space="preserve">Стас Миронов </t>
  </si>
  <si>
    <t>Гуленко Сергей</t>
  </si>
  <si>
    <t>Master 40+ (03.01.1965)/50</t>
  </si>
  <si>
    <t>Гвоздев Дмитрий</t>
  </si>
  <si>
    <t>Open (29.10.1986)/29</t>
  </si>
  <si>
    <t xml:space="preserve">Норильск/Красноярский край </t>
  </si>
  <si>
    <t>Фаустов Александр</t>
  </si>
  <si>
    <t>Open (21.02.1976)/39</t>
  </si>
  <si>
    <t>Маслов Валерий</t>
  </si>
  <si>
    <t>Open (29.05.1988)/27</t>
  </si>
  <si>
    <t>93,70</t>
  </si>
  <si>
    <t>Гулевский Роман</t>
  </si>
  <si>
    <t>Open (29.09.1972)/43</t>
  </si>
  <si>
    <t>110,00</t>
  </si>
  <si>
    <t>93,0</t>
  </si>
  <si>
    <t>Кудашкин Александр</t>
  </si>
  <si>
    <t>Open (04.06.1992)/23</t>
  </si>
  <si>
    <t>105,70</t>
  </si>
  <si>
    <t>90,5</t>
  </si>
  <si>
    <t>Борисов Игорь</t>
  </si>
  <si>
    <t>Open (10.04.1963)/52</t>
  </si>
  <si>
    <t>108,00</t>
  </si>
  <si>
    <t xml:space="preserve">Навашино/Нижегородская область </t>
  </si>
  <si>
    <t xml:space="preserve">Зайцев Артем </t>
  </si>
  <si>
    <t>Master 40+ (10.04.1963)/52</t>
  </si>
  <si>
    <t>Кириллов Александр</t>
  </si>
  <si>
    <t>Open (04.03.1973)/42</t>
  </si>
  <si>
    <t>121,70</t>
  </si>
  <si>
    <t>Хамоян Артур</t>
  </si>
  <si>
    <t>Open (05.02.1991)/24</t>
  </si>
  <si>
    <t>113,70</t>
  </si>
  <si>
    <t>112,50</t>
  </si>
  <si>
    <t>Master 40+ (04.03.1973)/42</t>
  </si>
  <si>
    <t>Master 40+ (16.07.1971)/44</t>
  </si>
  <si>
    <t>Junior (17.10.1995)/20</t>
  </si>
  <si>
    <t>Тюпко Григорий</t>
  </si>
  <si>
    <t>Open (25.06.1990)/25</t>
  </si>
  <si>
    <t>63,70</t>
  </si>
  <si>
    <t>Junior (10.01.1998)/17</t>
  </si>
  <si>
    <t>Каширин Александр</t>
  </si>
  <si>
    <t>Open (02.03.1993)/22</t>
  </si>
  <si>
    <t>Горячих Михаил</t>
  </si>
  <si>
    <t>Талдыкин Артем</t>
  </si>
  <si>
    <t>Open (02.12.1991)/23</t>
  </si>
  <si>
    <t>90,10</t>
  </si>
  <si>
    <t xml:space="preserve">Шевченко Сергей </t>
  </si>
  <si>
    <t>98,80</t>
  </si>
  <si>
    <t>Можаров Александр</t>
  </si>
  <si>
    <t>90,50</t>
  </si>
  <si>
    <t xml:space="preserve">Витязь </t>
  </si>
  <si>
    <t>Есин Михаил</t>
  </si>
  <si>
    <t>Master 40+ (17.11.1972)/42</t>
  </si>
  <si>
    <t xml:space="preserve">Рыбинск/Ярославская область </t>
  </si>
  <si>
    <t>Master 40+ (17.11.1974)/40</t>
  </si>
  <si>
    <t>Кулясов Сергей</t>
  </si>
  <si>
    <t>Open (11.09.1982)/33</t>
  </si>
  <si>
    <t>104,90</t>
  </si>
  <si>
    <t xml:space="preserve">Грушин Владимир </t>
  </si>
  <si>
    <t>Канашев Станислав</t>
  </si>
  <si>
    <t>Open (14.10.1988)/27</t>
  </si>
  <si>
    <t xml:space="preserve">Абрамова Ирина </t>
  </si>
  <si>
    <t>Константинов Константин</t>
  </si>
  <si>
    <t>Master 40+ (05.02.1975)/40</t>
  </si>
  <si>
    <t>105,40</t>
  </si>
  <si>
    <t>Кулагина Анжела</t>
  </si>
  <si>
    <t>Open (04.11.1988)/27</t>
  </si>
  <si>
    <t>68,90</t>
  </si>
  <si>
    <t>Волкова Юлия</t>
  </si>
  <si>
    <t>Open (19.02.1988)/27</t>
  </si>
  <si>
    <t>66,40</t>
  </si>
  <si>
    <t>Бояров Александр</t>
  </si>
  <si>
    <t>Open (21.07.1986)/29</t>
  </si>
  <si>
    <t xml:space="preserve">Виткевич Николай </t>
  </si>
  <si>
    <t>7</t>
  </si>
  <si>
    <t>Кубок Восточной Европы WAA                                                                                              Excalibur
Москва, 06 - 08 ноября 2015 г.</t>
  </si>
  <si>
    <t>Собств. вес</t>
  </si>
  <si>
    <t>Город/ область</t>
  </si>
  <si>
    <t>Иванов Сергей</t>
  </si>
  <si>
    <t>Москва/ Московская область</t>
  </si>
  <si>
    <t>Химки/ Московская область</t>
  </si>
  <si>
    <t xml:space="preserve">Viktoria </t>
  </si>
  <si>
    <t>Кубок Восточной Европы WAA                                                                                       HUB
Москва, 06 - 08 ноября 2015 г.</t>
  </si>
  <si>
    <t>п.Зимовники/Ростовская область</t>
  </si>
  <si>
    <t>Миронов Станислав</t>
  </si>
  <si>
    <t>Иванов Сергей, Корнилов Денис</t>
  </si>
  <si>
    <t xml:space="preserve">Иванов Сергей </t>
  </si>
  <si>
    <t>Кубок Восточной Европы WAA                                                                                                         Apollon Axle
Москва, 06 - 08 ноября 2015 г.</t>
  </si>
  <si>
    <t>Москва /Московская область</t>
  </si>
  <si>
    <t>Москва/Московская область</t>
  </si>
  <si>
    <t xml:space="preserve">Первушин Евгений </t>
  </si>
  <si>
    <t>Стальной хват России</t>
  </si>
  <si>
    <t>Кубок Восточной Европы WAA                                                                                          Rolling Thunder
Москва, 06 - 08 ноября 2015 г.</t>
  </si>
  <si>
    <t>Самостоятельно</t>
  </si>
  <si>
    <t xml:space="preserve">Москва/Московская область </t>
  </si>
  <si>
    <t>Беларусь/Бобруйск/Гомельская область</t>
  </si>
  <si>
    <t xml:space="preserve">Кубок Восточной Европы СПР                                                                                                                                                                                             Народный жим 1/2 веса ДК
Москва, 06 - 08 ноября 2015 г. </t>
  </si>
  <si>
    <t xml:space="preserve">Москва/Московская область  </t>
  </si>
  <si>
    <t>Курск/Курская область</t>
  </si>
  <si>
    <t xml:space="preserve">Кубок Восточной Европы СПР                                                                                                                                                                                             Народный жим 1 вес                                                                                                                                                            Москва, 06 - 08 ноября 2015 г. </t>
  </si>
  <si>
    <t>Лесуков Алексей</t>
  </si>
  <si>
    <t xml:space="preserve">Кошуба Алексей </t>
  </si>
  <si>
    <t xml:space="preserve">Длужневский Сергей </t>
  </si>
  <si>
    <t>Санкт-Петербург/Ленинградская область</t>
  </si>
  <si>
    <t xml:space="preserve">Спорт-лайф </t>
  </si>
  <si>
    <t xml:space="preserve">Кубок Восточной Европы СПР                                                                                                                                                                                             Народный жим 1 вес ДК
Москва, 06 - 08 ноября 2015 г. </t>
  </si>
  <si>
    <t>Кубок Восточной Европы СПР                                                                                                                                                                        Пауэрспорт
Москва, 06 - 08 ноября 2015 г.</t>
  </si>
  <si>
    <t xml:space="preserve">Цыганкова Ирина </t>
  </si>
  <si>
    <t xml:space="preserve">Копаев Виктор </t>
  </si>
  <si>
    <t xml:space="preserve">Белецкий Владимир </t>
  </si>
  <si>
    <t xml:space="preserve">Шейкин Алексей </t>
  </si>
  <si>
    <t xml:space="preserve">Юсуфи Ясин </t>
  </si>
  <si>
    <t xml:space="preserve">Мищенко Сергей </t>
  </si>
  <si>
    <t xml:space="preserve">Арсентьев Иван </t>
  </si>
  <si>
    <t xml:space="preserve">Непряхин Александр </t>
  </si>
  <si>
    <t>Украина/Харьков/Харьковская область</t>
  </si>
  <si>
    <t>Кубок Восточной Европы СПР                                                                                                                                                                    Пауэрспорт  ДК
Москва, 06 - 08 ноября 2015 г.</t>
  </si>
  <si>
    <t xml:space="preserve">Серых Ольга </t>
  </si>
  <si>
    <t xml:space="preserve">Кынкурогов Игорь </t>
  </si>
  <si>
    <t xml:space="preserve">Иванов Максим  </t>
  </si>
  <si>
    <t xml:space="preserve">Симкин Андрей </t>
  </si>
  <si>
    <t xml:space="preserve">Бурдаков Сергей </t>
  </si>
  <si>
    <t>Кубок Восточной Европы GPA/IPO                                                                                                                                                                       Пауэрлифтинг без экипировки 
Москва, 06 - 08 ноября 2015 г.</t>
  </si>
  <si>
    <t xml:space="preserve">Москва/ Московская область </t>
  </si>
  <si>
    <t xml:space="preserve">Краснов Александр </t>
  </si>
  <si>
    <t xml:space="preserve">Киселев Денис </t>
  </si>
  <si>
    <t xml:space="preserve">Сидоров Игорь </t>
  </si>
  <si>
    <t xml:space="preserve">Иванов Александр </t>
  </si>
  <si>
    <t xml:space="preserve">Чупряков Игорь </t>
  </si>
  <si>
    <t xml:space="preserve">Рябых Виталий </t>
  </si>
  <si>
    <t xml:space="preserve">Устинов Сергей </t>
  </si>
  <si>
    <t>Непряхин Александр</t>
  </si>
  <si>
    <t>Ушков Илья</t>
  </si>
  <si>
    <t>Блинков Евгений</t>
  </si>
  <si>
    <t>Кубок Восточной Европы GPA/IPO                                                                                                                                                                          Пауэрлифтинг без экипировки ДК
Москва, 06 - 08 ноября 2015 г.</t>
  </si>
  <si>
    <t xml:space="preserve">Группа здоровья </t>
  </si>
  <si>
    <t>Группа здоровья</t>
  </si>
  <si>
    <t>Команда Ирана</t>
  </si>
  <si>
    <t xml:space="preserve">Иванов Станислав </t>
  </si>
  <si>
    <t>Иран/</t>
  </si>
  <si>
    <t xml:space="preserve">Ломова Оксана  </t>
  </si>
  <si>
    <t>Соколов Николай</t>
  </si>
  <si>
    <t>Кубок Восточной Европы GPA/IPO                                                                                                                        Пауэрлифтинг в бинтах ДК
Москва, 06 - 08 ноября 2015 г.</t>
  </si>
  <si>
    <t xml:space="preserve">Колосков Борис </t>
  </si>
  <si>
    <t xml:space="preserve">Богданов Дмитрий  </t>
  </si>
  <si>
    <t xml:space="preserve">Трубичкин Ярослав </t>
  </si>
  <si>
    <t xml:space="preserve">Золотаренок Андрей </t>
  </si>
  <si>
    <t xml:space="preserve">Сытников Валерий </t>
  </si>
  <si>
    <t xml:space="preserve">Луннин Никита </t>
  </si>
  <si>
    <t xml:space="preserve">Бунин Олег </t>
  </si>
  <si>
    <t xml:space="preserve">Асхабов Константин </t>
  </si>
  <si>
    <t xml:space="preserve">Фонбет </t>
  </si>
  <si>
    <t xml:space="preserve">Букина Валерия </t>
  </si>
  <si>
    <t xml:space="preserve">Яшин Виктор </t>
  </si>
  <si>
    <t xml:space="preserve">Антонов Денис </t>
  </si>
  <si>
    <t xml:space="preserve">Еськин Алексей </t>
  </si>
  <si>
    <t xml:space="preserve">Кокорев Илья </t>
  </si>
  <si>
    <t xml:space="preserve">Гусейнов Руслан </t>
  </si>
  <si>
    <t xml:space="preserve">Емцев Николай </t>
  </si>
  <si>
    <t>Кубок Восточной Европы GPA/IPO                                                                                                                                                                      Пауэрлифтинг в однослойной экипировке 
Москва, 06 - 08 ноября 2015 г.</t>
  </si>
  <si>
    <t>Кубок Восточной Европы GPA/IPO                                                                                                                                                                        Пауэрлифтинг в однослойной экипировке ДК
Москва, 06 - 08 ноября 2015 г.</t>
  </si>
  <si>
    <t xml:space="preserve">Томилин Максим  </t>
  </si>
  <si>
    <t xml:space="preserve">Анциферов Михаил </t>
  </si>
  <si>
    <t xml:space="preserve">Григорьев Андрей </t>
  </si>
  <si>
    <t>Кубок Восточной Европы GPA/IPO                                                                                                                                      Жим лежа без экипировки
Москва, 06 - 08 ноября 2015 г.</t>
  </si>
  <si>
    <t xml:space="preserve">Лебедь Алексей </t>
  </si>
  <si>
    <t xml:space="preserve">Санкт-Петербург/Ленинградская область </t>
  </si>
  <si>
    <t xml:space="preserve">Новороссийск/Краснодарский край </t>
  </si>
  <si>
    <t xml:space="preserve">п.Глебовский/Московская область </t>
  </si>
  <si>
    <t xml:space="preserve">Махачкала/Республика Дагестан </t>
  </si>
  <si>
    <t>Цыганкова И.М.</t>
  </si>
  <si>
    <t xml:space="preserve">Ковригин Алексей </t>
  </si>
  <si>
    <t xml:space="preserve">Калугин Виктор </t>
  </si>
  <si>
    <t xml:space="preserve">Казишников Андриан </t>
  </si>
  <si>
    <t>Кубок Восточной Европы GPA/IPO                                                                                                                                      Жим лежа без экипировки ДК
Москва, 06 - 08 ноября 2015 г.</t>
  </si>
  <si>
    <t xml:space="preserve">Самохвалов Никита </t>
  </si>
  <si>
    <t xml:space="preserve">Панкратов Илья </t>
  </si>
  <si>
    <t xml:space="preserve">Романов Никита </t>
  </si>
  <si>
    <t xml:space="preserve">Храмцов Андрей </t>
  </si>
  <si>
    <t xml:space="preserve">Аветисян Карэн </t>
  </si>
  <si>
    <t>Лично</t>
  </si>
  <si>
    <t xml:space="preserve">Скульптор тела </t>
  </si>
  <si>
    <t>Зеленоград/Московская область</t>
  </si>
  <si>
    <t xml:space="preserve">с.Красногвардейское/Ставропольский край </t>
  </si>
  <si>
    <t>Ростов на Дону/Ростовская область</t>
  </si>
  <si>
    <t xml:space="preserve">Сергиев Посад/Московская область </t>
  </si>
  <si>
    <t xml:space="preserve">Кронштадт/Ленинградская область </t>
  </si>
  <si>
    <t xml:space="preserve">Наро-Фоминск/Московская область </t>
  </si>
  <si>
    <t xml:space="preserve">Никитин Денис  </t>
  </si>
  <si>
    <t xml:space="preserve">Авилов Евгений  </t>
  </si>
  <si>
    <t xml:space="preserve">Суровецкий Аскольд </t>
  </si>
  <si>
    <t>Суровецкий Аскольд</t>
  </si>
  <si>
    <t>Солодюк Дмитрий</t>
  </si>
  <si>
    <t xml:space="preserve">Пуговкина Алла </t>
  </si>
  <si>
    <t xml:space="preserve">Илюшин Руслан </t>
  </si>
  <si>
    <t xml:space="preserve">Калинин Сергей </t>
  </si>
  <si>
    <t xml:space="preserve">Мусаев Ахмед </t>
  </si>
  <si>
    <t xml:space="preserve">Жильцов Александр </t>
  </si>
  <si>
    <t xml:space="preserve">Каява Кирилл </t>
  </si>
  <si>
    <t xml:space="preserve">Петрозаводск/Республика Карелия </t>
  </si>
  <si>
    <t>Кубок Восточной Европы GPA/IPO                                                                                                                                      Жим лежа в однослойной экипировке
Москва, 06 - 08 ноября 2015 г.</t>
  </si>
  <si>
    <t>Кубок Восточной Европы GPA/IPO                                                                                                                                      Жим лежа в однослойной экипировке ДК
Москва, 06 - 08 ноября 2015 г.</t>
  </si>
  <si>
    <t xml:space="preserve">Фурсов Виктор </t>
  </si>
  <si>
    <t xml:space="preserve">Найденов Виктор </t>
  </si>
  <si>
    <t>Кубок Восточной Европы GPA/IPO                                                                                                                                      Жим лежа в многослойной экипировке
Москва, 06 - 08 ноября 2015 г.</t>
  </si>
  <si>
    <t xml:space="preserve">Бахматова Наталья </t>
  </si>
  <si>
    <t xml:space="preserve">Бардокин Владимир </t>
  </si>
  <si>
    <t xml:space="preserve">Чернышов Вадим </t>
  </si>
  <si>
    <t xml:space="preserve">Дмитриев Кирилл </t>
  </si>
  <si>
    <t xml:space="preserve">Варавин Павел </t>
  </si>
  <si>
    <t xml:space="preserve">Белушкин Олег </t>
  </si>
  <si>
    <t xml:space="preserve">Богданов Константин </t>
  </si>
  <si>
    <t>Кубок Восточной Европы GPA/IPO                                                                                                                                      Жим лежа СФО
Москва, 06 - 08 ноября 2015 г.</t>
  </si>
  <si>
    <t xml:space="preserve">Московский центр боевых искусств </t>
  </si>
  <si>
    <t xml:space="preserve">Юрков Андрей </t>
  </si>
  <si>
    <t>Кубок Восточной Европы GPA/IPO                                                                                                                                      Становая тяга без экипировки
Москва, 06 - 08 ноября 2015 г.</t>
  </si>
  <si>
    <t xml:space="preserve">Трухина Наталья </t>
  </si>
  <si>
    <t xml:space="preserve">Булгарь Андрей </t>
  </si>
  <si>
    <t xml:space="preserve">Девяткин Дмитрий </t>
  </si>
  <si>
    <t xml:space="preserve">Марченко Владимир  </t>
  </si>
  <si>
    <t xml:space="preserve">Беларусь/Бобруйск/Гомельская область </t>
  </si>
  <si>
    <t>Кубок Восточной Европы GPA/IPO                                                                                                                                      Становая тяга без экипировки ДК
Москва, 06 - 08 ноября 2015 г.</t>
  </si>
  <si>
    <t xml:space="preserve">Группа здоровья  </t>
  </si>
  <si>
    <t xml:space="preserve">Нетребина Галина </t>
  </si>
  <si>
    <t xml:space="preserve">Фоменко Оксана </t>
  </si>
  <si>
    <t xml:space="preserve">Глаголев Алексей </t>
  </si>
  <si>
    <t xml:space="preserve">Козлов Андрей  </t>
  </si>
  <si>
    <t xml:space="preserve">Балкизов Ислам </t>
  </si>
  <si>
    <t xml:space="preserve">Луппов Николай </t>
  </si>
  <si>
    <t xml:space="preserve">Смирнов Алексей </t>
  </si>
  <si>
    <t xml:space="preserve">Бычков Павел </t>
  </si>
  <si>
    <t xml:space="preserve">Галыгин Алексей </t>
  </si>
  <si>
    <t xml:space="preserve">Коновалов Егор </t>
  </si>
  <si>
    <t>Никулин Алексей</t>
  </si>
  <si>
    <t xml:space="preserve">Фокин Владимир  </t>
  </si>
  <si>
    <t xml:space="preserve">Сверчкова Анна </t>
  </si>
  <si>
    <t xml:space="preserve">Прокаев Николай </t>
  </si>
  <si>
    <t>Кубок Восточной Европы GPA/IPO                                                                                                                                      Становая тяга в экипировке
Москва, 06 - 08 ноября 2015 г.</t>
  </si>
  <si>
    <t>Кубок Восточной Европы GPA/IPO                                                                                                                                                              Становая тяга в экипировке ДК
Москва, 06 - 08 ноября 2015 г.</t>
  </si>
  <si>
    <t>Кубок Восточной Европы GPA/IPO                                                                                                                                                                     Силовое двоеборье без экипировки
Москва, 06 - 08 ноября 2015 г.</t>
  </si>
  <si>
    <t xml:space="preserve">Капитонов Вячеслав </t>
  </si>
  <si>
    <t xml:space="preserve">Горячих Михаил </t>
  </si>
  <si>
    <t xml:space="preserve">Виноградов Сергей </t>
  </si>
  <si>
    <t xml:space="preserve">Безуглов Николай </t>
  </si>
  <si>
    <t xml:space="preserve">Карев Алексей </t>
  </si>
  <si>
    <t xml:space="preserve">Савосин Марат </t>
  </si>
  <si>
    <t xml:space="preserve">Летяев Владимир </t>
  </si>
  <si>
    <t xml:space="preserve">Петров Алексей </t>
  </si>
  <si>
    <t>Кубок Восточной Европы GPA/IPO                                                                                                                                                                            Силовое двоеборье без экипировки ДК
Москва, 06 - 08 ноября 2015 г.</t>
  </si>
  <si>
    <t>Богданов Дмитрий, Белкин Юрий</t>
  </si>
  <si>
    <t>Кубок Восточной Европы GPA/IPO                                                                                                                         Присед в однослойной экипировке ДК
Москва, 06 - 08 ноября 2015 г.</t>
  </si>
  <si>
    <t>Кубок Восточной Европы GPA/IPO                                                                                                                         Присед без экипировки
Москва, 06 - 08 ноября 2015 г.</t>
  </si>
  <si>
    <t xml:space="preserve">Кочетов Александр </t>
  </si>
  <si>
    <t>Кубок Восточной Европы GPA/IPO                                                                                                                         Присед без экипировки ДК
Москва, 06 - 08 ноября 2015 г.</t>
  </si>
  <si>
    <t xml:space="preserve">Мишкин Олег </t>
  </si>
  <si>
    <t>Кубок Восточной Европы GPA/IPO                                                                                                                         Присед в бинтах
Москва, 06 - 08 ноября 2015 г.</t>
  </si>
  <si>
    <t xml:space="preserve">Ялта/Республика Крым </t>
  </si>
  <si>
    <t>Мастера</t>
  </si>
  <si>
    <t>Мастера 40+</t>
  </si>
  <si>
    <t>125</t>
  </si>
  <si>
    <t>110</t>
  </si>
  <si>
    <t>100</t>
  </si>
  <si>
    <t>Кубок Восточной Европы GPA/IPO                                                                                                                                      Парная тяга без экипировки
Москва, 06 - 08 ноября 2015 г.</t>
  </si>
  <si>
    <t>АБСОЛЮТНЫЙ ЗАЧЕТ</t>
  </si>
  <si>
    <t>Емельянов Алексей</t>
  </si>
  <si>
    <t>Никифоров Анатолий</t>
  </si>
  <si>
    <t>82,10</t>
  </si>
  <si>
    <t>91,20</t>
  </si>
  <si>
    <t>435,0</t>
  </si>
  <si>
    <t>450,0</t>
  </si>
  <si>
    <t>Самардин Алексей</t>
  </si>
  <si>
    <t>Банников Дмитрий</t>
  </si>
  <si>
    <t>79,30</t>
  </si>
  <si>
    <t>93,90</t>
  </si>
  <si>
    <t>432,5</t>
  </si>
  <si>
    <t>442,5</t>
  </si>
  <si>
    <t>Open (22.02.1983)/32</t>
  </si>
  <si>
    <t>Open (08.09.1983)/32</t>
  </si>
  <si>
    <t>Open (13.07.1982)/33</t>
  </si>
  <si>
    <t>Open (13.12.1978)/36</t>
  </si>
  <si>
    <t xml:space="preserve">Домодедово/Московская область </t>
  </si>
  <si>
    <t>224,345</t>
  </si>
  <si>
    <t>0,5984</t>
  </si>
  <si>
    <t>0,6617</t>
  </si>
  <si>
    <t>0,6075</t>
  </si>
  <si>
    <t>0,6466</t>
  </si>
  <si>
    <t>228,130</t>
  </si>
  <si>
    <t>Teen 13-15 (18.05.2001)/14</t>
  </si>
  <si>
    <t xml:space="preserve">Солнечногорск/Московская обласnm </t>
  </si>
  <si>
    <t>130,2210</t>
  </si>
  <si>
    <t>Галагуз Виктор</t>
  </si>
  <si>
    <t>Беляев Денис</t>
  </si>
  <si>
    <t>Возрастная группа</t>
  </si>
  <si>
    <t>Город/область</t>
  </si>
  <si>
    <t>Жим/первое упражнение</t>
  </si>
  <si>
    <t>Жим/второе упражнение</t>
  </si>
  <si>
    <t>Сумма баллов</t>
  </si>
  <si>
    <t>Год рождения/Возраст</t>
  </si>
  <si>
    <t>Залуцкий Роман</t>
  </si>
  <si>
    <t>Мужчины - любители с прохождением допинг контроля</t>
  </si>
  <si>
    <t>Хорхордин Игорь</t>
  </si>
  <si>
    <t>Masters 45-50 (15.06.1967)/48</t>
  </si>
  <si>
    <t>Паллада</t>
  </si>
  <si>
    <t>Женщины - любители</t>
  </si>
  <si>
    <t>Касимов/Рязанская область</t>
  </si>
  <si>
    <t>Мужчины - любители</t>
  </si>
  <si>
    <t>ВЕСОВАЯ КАТЕГОРИЯ  100</t>
  </si>
  <si>
    <t>Свеженцев Андрей</t>
  </si>
  <si>
    <t>Open (08.10.1979)/35</t>
  </si>
  <si>
    <t>ВЕСОВАЯ КАТЕГОРИЯ   120</t>
  </si>
  <si>
    <t>ВЕСОВАЯ КАТЕГОРИЯ   130</t>
  </si>
  <si>
    <t>Мужчины - облегченная экипировка</t>
  </si>
  <si>
    <t>Мужчины - военный жим</t>
  </si>
  <si>
    <t>Родиков Юрий</t>
  </si>
  <si>
    <t>99,1</t>
  </si>
  <si>
    <t>Кубок Восточной Европы                                                                                                                                                                                              Жимовое двоеборье</t>
  </si>
  <si>
    <t>Москва, 06 - 08 ноября 2015 г.</t>
  </si>
  <si>
    <t>87,6</t>
  </si>
  <si>
    <t>94,2</t>
  </si>
  <si>
    <t>107,6</t>
  </si>
  <si>
    <t>Славинский Иван, Радаева Марина</t>
  </si>
  <si>
    <t>Исаева Ирина</t>
  </si>
  <si>
    <t>Teen 14-18 (11.08.2000)/15</t>
  </si>
  <si>
    <t>59,10</t>
  </si>
  <si>
    <t>Богородицк/Тульская область</t>
  </si>
  <si>
    <t>Первышин Евгений</t>
  </si>
  <si>
    <t>ВЕСОВАЯ КАТЕГОРИЯ  80</t>
  </si>
  <si>
    <t>96,6</t>
  </si>
  <si>
    <t>Команда Силушина</t>
  </si>
  <si>
    <t>Рязань/Рязанская область</t>
  </si>
  <si>
    <t>Фотин Александр</t>
  </si>
  <si>
    <t>Open (09.03.1991)/24</t>
  </si>
  <si>
    <t xml:space="preserve">Иваново/Ивановская область </t>
  </si>
  <si>
    <t>Епифанов Дмитрий</t>
  </si>
  <si>
    <t>Open (15.06.1979)/36</t>
  </si>
  <si>
    <t>126,40</t>
  </si>
  <si>
    <t>ВЕСОВАЯ КАТЕГОРИЯ  120</t>
  </si>
  <si>
    <t>Иванчиков Сергей</t>
  </si>
  <si>
    <t>Жуковский/Московская область</t>
  </si>
  <si>
    <t>Open (28.06.1977)/38</t>
  </si>
  <si>
    <t>113,3</t>
  </si>
  <si>
    <t>99,2</t>
  </si>
  <si>
    <t>Masters 40-45 (31.03.1974)/41</t>
  </si>
  <si>
    <t xml:space="preserve">Смоленск/Смоленская область </t>
  </si>
  <si>
    <t>Open (31.03.1974)/41</t>
  </si>
  <si>
    <t>Женщины - профессионалы</t>
  </si>
  <si>
    <t>Мужчины - профессионалы</t>
  </si>
  <si>
    <t>Viktoria</t>
  </si>
  <si>
    <t>9,3</t>
  </si>
  <si>
    <t>Главный судья соревнований: Длужневский Сергей/Вологда МК</t>
  </si>
  <si>
    <t>Главный секретарь соревнований: Новиков Степан/Вологда МК</t>
  </si>
  <si>
    <t>Аппеляционное жюри: Длужневская Эльвира/Вологда МК, Длужневский Сергей/Вологда МК, Новиков Степан/Вологда МК</t>
  </si>
  <si>
    <t>Москва, 06-08 ноября 2015 года</t>
  </si>
  <si>
    <t>Центральный судья на помосте: Длужневская Эльвира/Вологда МК, Гунина Ксения/Москва НК, Емельянов Алексей/Серпухов НК, Туманов Александр/Серпухов НК, Смирнов Олег/Санкт Петербург НК</t>
  </si>
  <si>
    <t>Помощник главного секретаря: Ермолаева Дарья/Санкт Петербург, Кузнецова Оксана/Санкт Петербург</t>
  </si>
  <si>
    <t>Ольховский Александр/Воронеж НК, Голландцев Дмитрий/Воронеж РК, Никандров Артем/Великие Луки РК, Силушин Павел/Рязань РК, Трухтанов Павел/Самара РК.</t>
  </si>
  <si>
    <t>Боковые судьи на помосте: Смирнов Олег/Санкт Петербург НК, Емельянов Алексей/Cерпухов НК, Гунина Ксения/Москва НК, Туманов Александр/Серпухов НК, Трапезникова Наталья/Москва РК,</t>
  </si>
  <si>
    <t>Состав судейской коллегии на Кубке Восточной Европы по пауэрлифтингу, его отдельным движениям, народному жиму, пауэрспорту, жимовому двоеборью и армлифтингу по версиям федераций GPA/IPO/WAA/ФЖД и "Союз пауэрлифтеров России"</t>
  </si>
  <si>
    <t>Лидер</t>
  </si>
  <si>
    <t>Вегетарианская сила</t>
  </si>
  <si>
    <t>Тверская команда</t>
  </si>
  <si>
    <t>Командный зачет Кубка Восточной Европы по пауэрлифтингу, его отдельным движениям, народному жиму, пауэрспорту, жимовому двоеборью и армлифтингу по версиям федераций GPA/IPO/WAA/ФЖД и "Союз пауэрлифтеров России"</t>
  </si>
  <si>
    <t>Богородицк-стронг</t>
  </si>
  <si>
    <t>Юртаев Тимофей</t>
  </si>
  <si>
    <t>Фонбет</t>
  </si>
  <si>
    <t>Артемов Кирилл</t>
  </si>
  <si>
    <t>Команда А</t>
  </si>
  <si>
    <t>Серпухов</t>
  </si>
  <si>
    <t>Пауэрспорт</t>
  </si>
  <si>
    <t>Витязь</t>
  </si>
  <si>
    <t>ЖЕНЩИНЫ - АБСОЛЮТНЫЙ ЗАЧЕТ</t>
  </si>
  <si>
    <t>МУЖЧИНЫ - АБСОЛЮТНЫЙ ЗАЧЕТ</t>
  </si>
  <si>
    <t>Скульптор тела</t>
  </si>
  <si>
    <t>Московский центр боевых искусств</t>
  </si>
  <si>
    <t>ФАПО</t>
  </si>
  <si>
    <t>Спорт-универ-фитнес</t>
  </si>
  <si>
    <t>Спорт-лайф</t>
  </si>
  <si>
    <t>Master 40+ (05.10.1965)/50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</si>
</sst>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0.0000"/>
    <numFmt numFmtId="175" formatCode="000000"/>
    <numFmt numFmtId="176" formatCode="_-* #,##0.0_р_._-;\-* #,##0.0_р_._-;_-* &quot;-&quot;??_р_._-;_-@_-"/>
    <numFmt numFmtId="177" formatCode="_-* #,##0_р_._-;\-* #,##0_р_._-;_-* &quot;-&quot;??_р_._-;_-@_-"/>
  </numFmts>
  <fonts count="53">
    <font>
      <sz val="10"/>
      <name val="Arial Cyr"/>
      <family val="0"/>
    </font>
    <font>
      <sz val="24"/>
      <name val="Arial Cyr"/>
      <family val="2"/>
    </font>
    <font>
      <b/>
      <sz val="10"/>
      <name val="Arial Cyr"/>
      <family val="0"/>
    </font>
    <font>
      <b/>
      <sz val="11"/>
      <name val="Arial Cyr"/>
      <family val="0"/>
    </font>
    <font>
      <b/>
      <i/>
      <sz val="12"/>
      <name val="Arial Cyr"/>
      <family val="0"/>
    </font>
    <font>
      <i/>
      <sz val="12"/>
      <name val="Arial Cyr"/>
      <family val="0"/>
    </font>
    <font>
      <sz val="14"/>
      <name val="Arial Cyr"/>
      <family val="0"/>
    </font>
    <font>
      <i/>
      <sz val="11"/>
      <name val="Arial Cyr"/>
      <family val="0"/>
    </font>
    <font>
      <b/>
      <strike/>
      <sz val="1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trike/>
      <sz val="10"/>
      <color indexed="10"/>
      <name val="Arial Cyr"/>
      <family val="0"/>
    </font>
    <font>
      <b/>
      <sz val="10"/>
      <color indexed="10"/>
      <name val="Arial Cyr"/>
      <family val="0"/>
    </font>
    <font>
      <strike/>
      <sz val="10"/>
      <color indexed="10"/>
      <name val="Arial Cyr"/>
      <family val="0"/>
    </font>
    <font>
      <i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trike/>
      <sz val="10"/>
      <color rgb="FFFF0000"/>
      <name val="Arial Cyr"/>
      <family val="0"/>
    </font>
    <font>
      <b/>
      <sz val="10"/>
      <color rgb="FFFF0000"/>
      <name val="Arial Cyr"/>
      <family val="0"/>
    </font>
    <font>
      <strike/>
      <sz val="10"/>
      <color rgb="FFFF0000"/>
      <name val="Arial Cyr"/>
      <family val="0"/>
    </font>
    <font>
      <i/>
      <sz val="12"/>
      <color theme="1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rgb="FF000000"/>
      </left>
      <right style="thin"/>
      <top style="medium"/>
      <bottom>
        <color indexed="63"/>
      </bottom>
    </border>
    <border>
      <left style="thin">
        <color rgb="FF000000"/>
      </left>
      <right style="thin"/>
      <top>
        <color indexed="63"/>
      </top>
      <bottom style="medium">
        <color rgb="FF000000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>
        <color rgb="FF00000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>
        <color rgb="FF000000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rgb="FF000000"/>
      </right>
      <top style="medium"/>
      <bottom style="thin"/>
    </border>
    <border>
      <left style="thin">
        <color rgb="FF000000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/>
    </xf>
    <xf numFmtId="49" fontId="0" fillId="0" borderId="13" xfId="0" applyNumberForma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49" fontId="0" fillId="0" borderId="0" xfId="0" applyNumberFormat="1" applyAlignment="1">
      <alignment/>
    </xf>
    <xf numFmtId="49" fontId="0" fillId="0" borderId="13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6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Alignment="1">
      <alignment horizontal="left" indent="1"/>
    </xf>
    <xf numFmtId="49" fontId="7" fillId="0" borderId="0" xfId="0" applyNumberFormat="1" applyFont="1" applyAlignment="1">
      <alignment horizontal="left" indent="1"/>
    </xf>
    <xf numFmtId="49" fontId="7" fillId="0" borderId="0" xfId="0" applyNumberFormat="1" applyFont="1" applyAlignment="1">
      <alignment/>
    </xf>
    <xf numFmtId="49" fontId="3" fillId="0" borderId="1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49" fontId="2" fillId="0" borderId="13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49" fontId="49" fillId="0" borderId="13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50" fillId="0" borderId="13" xfId="0" applyNumberFormat="1" applyFont="1" applyBorder="1" applyAlignment="1">
      <alignment horizontal="center"/>
    </xf>
    <xf numFmtId="49" fontId="50" fillId="0" borderId="0" xfId="0" applyNumberFormat="1" applyFont="1" applyAlignment="1">
      <alignment horizontal="center"/>
    </xf>
    <xf numFmtId="49" fontId="0" fillId="0" borderId="13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 indent="1"/>
    </xf>
    <xf numFmtId="49" fontId="0" fillId="0" borderId="0" xfId="0" applyNumberFormat="1" applyFont="1" applyFill="1" applyBorder="1" applyAlignment="1">
      <alignment horizontal="left" indent="1"/>
    </xf>
    <xf numFmtId="49" fontId="2" fillId="0" borderId="13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49" fillId="0" borderId="13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2" fillId="0" borderId="0" xfId="0" applyFont="1" applyFill="1" applyBorder="1" applyAlignment="1">
      <alignment horizontal="center"/>
    </xf>
    <xf numFmtId="171" fontId="2" fillId="0" borderId="13" xfId="58" applyFont="1" applyBorder="1" applyAlignment="1">
      <alignment horizontal="center"/>
    </xf>
    <xf numFmtId="176" fontId="2" fillId="0" borderId="13" xfId="58" applyNumberFormat="1" applyFont="1" applyBorder="1" applyAlignment="1">
      <alignment horizontal="center"/>
    </xf>
    <xf numFmtId="176" fontId="2" fillId="0" borderId="15" xfId="58" applyNumberFormat="1" applyFont="1" applyBorder="1" applyAlignment="1">
      <alignment horizontal="center"/>
    </xf>
    <xf numFmtId="49" fontId="0" fillId="0" borderId="15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  <xf numFmtId="49" fontId="0" fillId="0" borderId="0" xfId="0" applyNumberFormat="1" applyAlignment="1">
      <alignment horizontal="left"/>
    </xf>
    <xf numFmtId="176" fontId="2" fillId="0" borderId="13" xfId="58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49" fontId="0" fillId="0" borderId="0" xfId="0" applyNumberFormat="1" applyAlignment="1">
      <alignment/>
    </xf>
    <xf numFmtId="171" fontId="2" fillId="0" borderId="0" xfId="58" applyFont="1" applyBorder="1" applyAlignment="1">
      <alignment horizontal="center"/>
    </xf>
    <xf numFmtId="176" fontId="2" fillId="33" borderId="13" xfId="58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49" fontId="3" fillId="0" borderId="0" xfId="0" applyNumberFormat="1" applyFont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 vertical="center"/>
    </xf>
    <xf numFmtId="49" fontId="0" fillId="0" borderId="20" xfId="0" applyNumberFormat="1" applyBorder="1" applyAlignment="1">
      <alignment/>
    </xf>
    <xf numFmtId="172" fontId="0" fillId="0" borderId="20" xfId="0" applyNumberFormat="1" applyBorder="1" applyAlignment="1">
      <alignment/>
    </xf>
    <xf numFmtId="172" fontId="51" fillId="0" borderId="20" xfId="0" applyNumberFormat="1" applyFont="1" applyBorder="1" applyAlignment="1">
      <alignment/>
    </xf>
    <xf numFmtId="172" fontId="0" fillId="0" borderId="21" xfId="0" applyNumberFormat="1" applyBorder="1" applyAlignment="1">
      <alignment horizontal="right"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49" fontId="0" fillId="0" borderId="22" xfId="0" applyNumberFormat="1" applyBorder="1" applyAlignment="1">
      <alignment/>
    </xf>
    <xf numFmtId="172" fontId="0" fillId="0" borderId="22" xfId="0" applyNumberFormat="1" applyBorder="1" applyAlignment="1">
      <alignment/>
    </xf>
    <xf numFmtId="0" fontId="0" fillId="0" borderId="22" xfId="0" applyBorder="1" applyAlignment="1">
      <alignment/>
    </xf>
    <xf numFmtId="172" fontId="51" fillId="0" borderId="22" xfId="0" applyNumberFormat="1" applyFont="1" applyBorder="1" applyAlignment="1">
      <alignment/>
    </xf>
    <xf numFmtId="49" fontId="0" fillId="0" borderId="21" xfId="0" applyNumberFormat="1" applyBorder="1" applyAlignment="1">
      <alignment/>
    </xf>
    <xf numFmtId="49" fontId="0" fillId="0" borderId="23" xfId="0" applyNumberFormat="1" applyBorder="1" applyAlignment="1">
      <alignment/>
    </xf>
    <xf numFmtId="49" fontId="9" fillId="0" borderId="17" xfId="0" applyNumberFormat="1" applyFont="1" applyBorder="1" applyAlignment="1">
      <alignment horizontal="center" vertical="center"/>
    </xf>
    <xf numFmtId="49" fontId="0" fillId="34" borderId="13" xfId="0" applyNumberFormat="1" applyFont="1" applyFill="1" applyBorder="1" applyAlignment="1">
      <alignment horizontal="right"/>
    </xf>
    <xf numFmtId="49" fontId="51" fillId="0" borderId="13" xfId="0" applyNumberFormat="1" applyFont="1" applyBorder="1" applyAlignment="1">
      <alignment horizontal="right"/>
    </xf>
    <xf numFmtId="0" fontId="0" fillId="0" borderId="0" xfId="0" applyFont="1" applyAlignment="1">
      <alignment/>
    </xf>
    <xf numFmtId="49" fontId="0" fillId="35" borderId="13" xfId="0" applyNumberFormat="1" applyFill="1" applyBorder="1" applyAlignment="1">
      <alignment horizontal="right"/>
    </xf>
    <xf numFmtId="0" fontId="10" fillId="0" borderId="0" xfId="0" applyFont="1" applyAlignment="1">
      <alignment/>
    </xf>
    <xf numFmtId="49" fontId="0" fillId="0" borderId="24" xfId="0" applyNumberFormat="1" applyBorder="1" applyAlignment="1">
      <alignment/>
    </xf>
    <xf numFmtId="49" fontId="2" fillId="0" borderId="24" xfId="0" applyNumberFormat="1" applyFont="1" applyBorder="1" applyAlignment="1">
      <alignment horizontal="center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32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49" fontId="3" fillId="0" borderId="33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0" fontId="0" fillId="0" borderId="43" xfId="0" applyBorder="1" applyAlignment="1">
      <alignment/>
    </xf>
    <xf numFmtId="49" fontId="4" fillId="0" borderId="0" xfId="0" applyNumberFormat="1" applyFont="1" applyAlignment="1">
      <alignment horizontal="center"/>
    </xf>
    <xf numFmtId="49" fontId="3" fillId="0" borderId="44" xfId="0" applyNumberFormat="1" applyFont="1" applyBorder="1" applyAlignment="1">
      <alignment horizontal="center" vertical="center"/>
    </xf>
    <xf numFmtId="49" fontId="3" fillId="0" borderId="45" xfId="0" applyNumberFormat="1" applyFont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48" xfId="0" applyNumberFormat="1" applyFont="1" applyBorder="1" applyAlignment="1">
      <alignment horizontal="center" vertical="center"/>
    </xf>
    <xf numFmtId="49" fontId="3" fillId="0" borderId="49" xfId="0" applyNumberFormat="1" applyFont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49" fontId="52" fillId="0" borderId="0" xfId="0" applyNumberFormat="1" applyFont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1" fillId="0" borderId="51" xfId="0" applyNumberFormat="1" applyFont="1" applyBorder="1" applyAlignment="1">
      <alignment horizontal="center" vertical="center" wrapText="1"/>
    </xf>
    <xf numFmtId="49" fontId="1" fillId="0" borderId="52" xfId="0" applyNumberFormat="1" applyFont="1" applyBorder="1" applyAlignment="1">
      <alignment horizontal="center" vertical="center" wrapText="1"/>
    </xf>
    <xf numFmtId="49" fontId="1" fillId="0" borderId="53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2">
      <selection activeCell="J6" sqref="J6:K6"/>
    </sheetView>
  </sheetViews>
  <sheetFormatPr defaultColWidth="8.75390625" defaultRowHeight="12.75"/>
  <cols>
    <col min="1" max="1" width="6.875" style="28" customWidth="1"/>
    <col min="2" max="2" width="22.25390625" style="16" customWidth="1"/>
    <col min="3" max="3" width="24.625" style="16" customWidth="1"/>
    <col min="4" max="4" width="10.625" style="16" bestFit="1" customWidth="1"/>
    <col min="5" max="5" width="16.75390625" style="16" customWidth="1"/>
    <col min="6" max="6" width="30.625" style="16" customWidth="1"/>
    <col min="7" max="7" width="14.00390625" style="16" customWidth="1"/>
    <col min="8" max="8" width="25.125" style="28" customWidth="1"/>
  </cols>
  <sheetData>
    <row r="1" spans="2:8" s="1" customFormat="1" ht="15" customHeight="1">
      <c r="B1" s="86" t="s">
        <v>1232</v>
      </c>
      <c r="C1" s="87"/>
      <c r="D1" s="87"/>
      <c r="E1" s="87"/>
      <c r="F1" s="87"/>
      <c r="G1" s="87"/>
      <c r="H1" s="87"/>
    </row>
    <row r="2" spans="2:8" s="1" customFormat="1" ht="102.75" customHeight="1" thickBot="1">
      <c r="B2" s="88"/>
      <c r="C2" s="89"/>
      <c r="D2" s="89"/>
      <c r="E2" s="89"/>
      <c r="F2" s="89"/>
      <c r="G2" s="89"/>
      <c r="H2" s="89"/>
    </row>
    <row r="3" spans="1:8" s="4" customFormat="1" ht="12.75" customHeight="1">
      <c r="A3" s="98" t="s">
        <v>932</v>
      </c>
      <c r="B3" s="90" t="s">
        <v>0</v>
      </c>
      <c r="C3" s="92" t="s">
        <v>1</v>
      </c>
      <c r="D3" s="92" t="s">
        <v>1226</v>
      </c>
      <c r="E3" s="94" t="s">
        <v>2</v>
      </c>
      <c r="F3" s="95" t="s">
        <v>1227</v>
      </c>
      <c r="G3" s="90" t="s">
        <v>934</v>
      </c>
      <c r="H3" s="100" t="s">
        <v>10</v>
      </c>
    </row>
    <row r="4" spans="1:8" s="4" customFormat="1" ht="23.25" customHeight="1" thickBot="1">
      <c r="A4" s="99"/>
      <c r="B4" s="91"/>
      <c r="C4" s="93"/>
      <c r="D4" s="93"/>
      <c r="E4" s="93"/>
      <c r="F4" s="96"/>
      <c r="G4" s="91"/>
      <c r="H4" s="101"/>
    </row>
    <row r="5" spans="1:8" ht="15.75">
      <c r="A5"/>
      <c r="B5" s="97" t="s">
        <v>1520</v>
      </c>
      <c r="C5" s="97"/>
      <c r="D5" s="97"/>
      <c r="E5" s="97"/>
      <c r="F5" s="97"/>
      <c r="G5" s="97"/>
      <c r="H5" s="97"/>
    </row>
    <row r="6" spans="1:8" ht="12.75">
      <c r="A6" s="26" t="s">
        <v>933</v>
      </c>
      <c r="B6" s="17" t="s">
        <v>1215</v>
      </c>
      <c r="C6" s="17" t="s">
        <v>1216</v>
      </c>
      <c r="D6" s="17" t="s">
        <v>1217</v>
      </c>
      <c r="E6" s="51" t="s">
        <v>1231</v>
      </c>
      <c r="F6" s="18" t="s">
        <v>1229</v>
      </c>
      <c r="G6" s="48">
        <v>25</v>
      </c>
      <c r="H6" s="17" t="s">
        <v>1235</v>
      </c>
    </row>
    <row r="7" spans="1:8" ht="12.75">
      <c r="A7" s="26" t="s">
        <v>935</v>
      </c>
      <c r="B7" s="17" t="s">
        <v>1120</v>
      </c>
      <c r="C7" s="17" t="s">
        <v>1121</v>
      </c>
      <c r="D7" s="17" t="s">
        <v>509</v>
      </c>
      <c r="E7" s="17" t="s">
        <v>15</v>
      </c>
      <c r="F7" s="17" t="s">
        <v>468</v>
      </c>
      <c r="G7" s="48">
        <v>21.25</v>
      </c>
      <c r="H7" s="17" t="s">
        <v>1122</v>
      </c>
    </row>
    <row r="8" spans="1:8" ht="12.75">
      <c r="A8" s="26" t="s">
        <v>936</v>
      </c>
      <c r="B8" s="17" t="s">
        <v>1218</v>
      </c>
      <c r="C8" s="17" t="s">
        <v>1219</v>
      </c>
      <c r="D8" s="17" t="s">
        <v>1220</v>
      </c>
      <c r="E8" s="17" t="s">
        <v>15</v>
      </c>
      <c r="F8" s="17" t="s">
        <v>1230</v>
      </c>
      <c r="G8" s="48">
        <v>15</v>
      </c>
      <c r="H8" s="17" t="s">
        <v>1236</v>
      </c>
    </row>
    <row r="9" spans="1:8" ht="12.75">
      <c r="A9" s="55"/>
      <c r="B9" s="56"/>
      <c r="C9" s="56"/>
      <c r="D9" s="56"/>
      <c r="E9" s="56"/>
      <c r="F9" s="56"/>
      <c r="G9" s="59"/>
      <c r="H9" s="56"/>
    </row>
    <row r="10" spans="1:8" ht="15.75">
      <c r="A10"/>
      <c r="B10" s="97" t="s">
        <v>1521</v>
      </c>
      <c r="C10" s="97"/>
      <c r="D10" s="97"/>
      <c r="E10" s="97"/>
      <c r="F10" s="97"/>
      <c r="G10" s="97"/>
      <c r="H10" s="97"/>
    </row>
    <row r="11" spans="1:8" ht="12.75">
      <c r="A11" s="26" t="s">
        <v>933</v>
      </c>
      <c r="B11" s="17" t="s">
        <v>1149</v>
      </c>
      <c r="C11" s="17" t="s">
        <v>1150</v>
      </c>
      <c r="D11" s="17" t="s">
        <v>617</v>
      </c>
      <c r="E11" s="10" t="s">
        <v>1241</v>
      </c>
      <c r="F11" s="17" t="s">
        <v>1233</v>
      </c>
      <c r="G11" s="49">
        <v>35</v>
      </c>
      <c r="H11" s="17" t="s">
        <v>1234</v>
      </c>
    </row>
    <row r="12" spans="1:8" ht="12.75">
      <c r="A12" s="26" t="s">
        <v>935</v>
      </c>
      <c r="B12" s="17" t="s">
        <v>1221</v>
      </c>
      <c r="C12" s="17" t="s">
        <v>1222</v>
      </c>
      <c r="D12" s="17" t="s">
        <v>89</v>
      </c>
      <c r="E12" s="17" t="s">
        <v>15</v>
      </c>
      <c r="F12" s="17" t="s">
        <v>468</v>
      </c>
      <c r="G12" s="49">
        <v>35</v>
      </c>
      <c r="H12" s="17" t="s">
        <v>1223</v>
      </c>
    </row>
    <row r="13" spans="1:8" ht="12.75">
      <c r="A13" s="26" t="s">
        <v>936</v>
      </c>
      <c r="B13" s="17" t="s">
        <v>1157</v>
      </c>
      <c r="C13" s="17" t="s">
        <v>1158</v>
      </c>
      <c r="D13" s="17" t="s">
        <v>218</v>
      </c>
      <c r="E13" s="17" t="s">
        <v>15</v>
      </c>
      <c r="F13" s="17" t="s">
        <v>275</v>
      </c>
      <c r="G13" s="49">
        <v>30</v>
      </c>
      <c r="H13" s="17" t="s">
        <v>55</v>
      </c>
    </row>
    <row r="14" spans="1:8" ht="12.75">
      <c r="A14" s="26" t="s">
        <v>938</v>
      </c>
      <c r="B14" s="17" t="s">
        <v>1154</v>
      </c>
      <c r="C14" s="17" t="s">
        <v>1155</v>
      </c>
      <c r="D14" s="17" t="s">
        <v>249</v>
      </c>
      <c r="E14" s="17" t="s">
        <v>15</v>
      </c>
      <c r="F14" s="17" t="s">
        <v>1156</v>
      </c>
      <c r="G14" s="49">
        <v>27.5</v>
      </c>
      <c r="H14" s="17" t="s">
        <v>55</v>
      </c>
    </row>
    <row r="15" spans="1:8" ht="12.75">
      <c r="A15" s="26" t="s">
        <v>939</v>
      </c>
      <c r="B15" s="17" t="s">
        <v>1176</v>
      </c>
      <c r="C15" s="17" t="s">
        <v>1177</v>
      </c>
      <c r="D15" s="17" t="s">
        <v>1178</v>
      </c>
      <c r="E15" s="17" t="s">
        <v>15</v>
      </c>
      <c r="F15" s="17" t="s">
        <v>275</v>
      </c>
      <c r="G15" s="49">
        <v>27.5</v>
      </c>
      <c r="H15" s="17" t="s">
        <v>55</v>
      </c>
    </row>
    <row r="16" spans="1:8" ht="12.75">
      <c r="A16" s="26" t="s">
        <v>940</v>
      </c>
      <c r="B16" s="17" t="s">
        <v>1170</v>
      </c>
      <c r="C16" s="17" t="s">
        <v>1171</v>
      </c>
      <c r="D16" s="17" t="s">
        <v>1172</v>
      </c>
      <c r="E16" s="17" t="s">
        <v>15</v>
      </c>
      <c r="F16" s="17" t="s">
        <v>1173</v>
      </c>
      <c r="G16" s="48">
        <v>23.75</v>
      </c>
      <c r="H16" s="17" t="s">
        <v>1174</v>
      </c>
    </row>
    <row r="17" spans="1:8" ht="12.75">
      <c r="A17" s="26"/>
      <c r="B17" s="17" t="s">
        <v>1142</v>
      </c>
      <c r="C17" s="17" t="s">
        <v>1143</v>
      </c>
      <c r="D17" s="17" t="s">
        <v>14</v>
      </c>
      <c r="E17" s="17" t="s">
        <v>15</v>
      </c>
      <c r="F17" s="17" t="s">
        <v>1144</v>
      </c>
      <c r="G17" s="49">
        <v>0</v>
      </c>
      <c r="H17" s="17" t="s">
        <v>55</v>
      </c>
    </row>
  </sheetData>
  <sheetProtection/>
  <mergeCells count="11">
    <mergeCell ref="B10:H10"/>
    <mergeCell ref="A3:A4"/>
    <mergeCell ref="G3:G4"/>
    <mergeCell ref="H3:H4"/>
    <mergeCell ref="B5:H5"/>
    <mergeCell ref="B1:H2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45"/>
  <sheetViews>
    <sheetView workbookViewId="0" topLeftCell="A3">
      <selection activeCell="F13" sqref="F13"/>
    </sheetView>
  </sheetViews>
  <sheetFormatPr defaultColWidth="8.75390625" defaultRowHeight="12.75"/>
  <cols>
    <col min="1" max="1" width="7.875" style="28" bestFit="1" customWidth="1"/>
    <col min="2" max="2" width="26.00390625" style="16" bestFit="1" customWidth="1"/>
    <col min="3" max="3" width="24.875" style="16" customWidth="1"/>
    <col min="4" max="4" width="10.625" style="16" bestFit="1" customWidth="1"/>
    <col min="5" max="5" width="11.375" style="16" customWidth="1"/>
    <col min="6" max="6" width="17.75390625" style="16" customWidth="1"/>
    <col min="7" max="7" width="32.25390625" style="16" customWidth="1"/>
    <col min="8" max="10" width="5.625" style="28" bestFit="1" customWidth="1"/>
    <col min="11" max="11" width="5.125" style="28" bestFit="1" customWidth="1"/>
    <col min="12" max="12" width="10.625" style="28" customWidth="1"/>
    <col min="13" max="13" width="8.625" style="28" bestFit="1" customWidth="1"/>
    <col min="14" max="14" width="22.375" style="16" customWidth="1"/>
    <col min="15" max="15" width="0.6171875" style="0" hidden="1" customWidth="1"/>
    <col min="16" max="17" width="9.125" style="0" hidden="1" customWidth="1"/>
    <col min="18" max="18" width="7.125" style="0" hidden="1" customWidth="1"/>
  </cols>
  <sheetData>
    <row r="1" spans="2:18" s="1" customFormat="1" ht="15" customHeight="1">
      <c r="B1" s="86" t="s">
        <v>1371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102"/>
    </row>
    <row r="2" spans="2:18" s="1" customFormat="1" ht="94.5" customHeight="1" thickBot="1">
      <c r="B2" s="88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103"/>
    </row>
    <row r="3" spans="1:14" s="4" customFormat="1" ht="12.75" customHeight="1">
      <c r="A3" s="98" t="s">
        <v>932</v>
      </c>
      <c r="B3" s="90" t="s">
        <v>0</v>
      </c>
      <c r="C3" s="92" t="s">
        <v>1</v>
      </c>
      <c r="D3" s="92" t="s">
        <v>1226</v>
      </c>
      <c r="E3" s="94" t="s">
        <v>11</v>
      </c>
      <c r="F3" s="94" t="s">
        <v>2</v>
      </c>
      <c r="G3" s="95" t="s">
        <v>1227</v>
      </c>
      <c r="H3" s="94" t="s">
        <v>6</v>
      </c>
      <c r="I3" s="94"/>
      <c r="J3" s="94"/>
      <c r="K3" s="94"/>
      <c r="L3" s="90" t="s">
        <v>934</v>
      </c>
      <c r="M3" s="94" t="s">
        <v>9</v>
      </c>
      <c r="N3" s="100" t="s">
        <v>10</v>
      </c>
    </row>
    <row r="4" spans="1:14" s="4" customFormat="1" ht="23.25" customHeight="1" thickBot="1">
      <c r="A4" s="99"/>
      <c r="B4" s="91"/>
      <c r="C4" s="93"/>
      <c r="D4" s="93"/>
      <c r="E4" s="93"/>
      <c r="F4" s="93"/>
      <c r="G4" s="96"/>
      <c r="H4" s="7">
        <v>1</v>
      </c>
      <c r="I4" s="7">
        <v>2</v>
      </c>
      <c r="J4" s="7">
        <v>3</v>
      </c>
      <c r="K4" s="7" t="s">
        <v>7</v>
      </c>
      <c r="L4" s="91"/>
      <c r="M4" s="93"/>
      <c r="N4" s="101"/>
    </row>
    <row r="5" spans="1:13" ht="15.75">
      <c r="A5"/>
      <c r="B5" s="104" t="s">
        <v>502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</row>
    <row r="6" spans="1:14" ht="12.75">
      <c r="A6" s="26" t="s">
        <v>933</v>
      </c>
      <c r="B6" s="17" t="s">
        <v>1373</v>
      </c>
      <c r="C6" s="17" t="s">
        <v>867</v>
      </c>
      <c r="D6" s="17" t="s">
        <v>513</v>
      </c>
      <c r="E6" s="17" t="str">
        <f>"1,0575"</f>
        <v>1,0575</v>
      </c>
      <c r="F6" s="52" t="s">
        <v>178</v>
      </c>
      <c r="G6" s="17" t="s">
        <v>868</v>
      </c>
      <c r="H6" s="29" t="s">
        <v>203</v>
      </c>
      <c r="I6" s="30" t="s">
        <v>145</v>
      </c>
      <c r="J6" s="30" t="s">
        <v>145</v>
      </c>
      <c r="K6" s="27"/>
      <c r="L6" s="49">
        <v>105</v>
      </c>
      <c r="M6" s="26" t="str">
        <f>"111,0375"</f>
        <v>111,0375</v>
      </c>
      <c r="N6" s="17" t="s">
        <v>325</v>
      </c>
    </row>
    <row r="8" spans="1:13" ht="15.75">
      <c r="A8"/>
      <c r="B8" s="97" t="s">
        <v>158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</row>
    <row r="9" spans="1:14" ht="12.75">
      <c r="A9" s="26"/>
      <c r="B9" s="17" t="s">
        <v>159</v>
      </c>
      <c r="C9" s="17" t="s">
        <v>160</v>
      </c>
      <c r="D9" s="17" t="s">
        <v>161</v>
      </c>
      <c r="E9" s="17" t="str">
        <f>"0,9323"</f>
        <v>0,9323</v>
      </c>
      <c r="F9" s="52" t="s">
        <v>162</v>
      </c>
      <c r="G9" s="17" t="s">
        <v>163</v>
      </c>
      <c r="H9" s="30" t="s">
        <v>53</v>
      </c>
      <c r="I9" s="30" t="s">
        <v>53</v>
      </c>
      <c r="J9" s="27"/>
      <c r="K9" s="27"/>
      <c r="L9" s="49">
        <v>0</v>
      </c>
      <c r="M9" s="26" t="str">
        <f>"0,0000"</f>
        <v>0,0000</v>
      </c>
      <c r="N9" s="17" t="s">
        <v>1052</v>
      </c>
    </row>
    <row r="10" spans="1:14" ht="12.75">
      <c r="A10" s="26" t="s">
        <v>933</v>
      </c>
      <c r="B10" s="17" t="s">
        <v>869</v>
      </c>
      <c r="C10" s="17" t="s">
        <v>870</v>
      </c>
      <c r="D10" s="17" t="s">
        <v>871</v>
      </c>
      <c r="E10" s="17" t="str">
        <f>"0,9028"</f>
        <v>0,9028</v>
      </c>
      <c r="F10" s="52" t="s">
        <v>1286</v>
      </c>
      <c r="G10" s="17" t="s">
        <v>1316</v>
      </c>
      <c r="H10" s="29" t="s">
        <v>53</v>
      </c>
      <c r="I10" s="29" t="s">
        <v>172</v>
      </c>
      <c r="J10" s="29" t="s">
        <v>187</v>
      </c>
      <c r="K10" s="27"/>
      <c r="L10" s="49">
        <v>125</v>
      </c>
      <c r="M10" s="26" t="str">
        <f>"112,8500"</f>
        <v>112,8500</v>
      </c>
      <c r="N10" s="17" t="s">
        <v>97</v>
      </c>
    </row>
    <row r="12" spans="1:13" ht="15.75">
      <c r="A12"/>
      <c r="B12" s="97" t="s">
        <v>27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</row>
    <row r="13" spans="1:14" ht="12.75">
      <c r="A13" s="26" t="s">
        <v>933</v>
      </c>
      <c r="B13" s="17" t="s">
        <v>1374</v>
      </c>
      <c r="C13" s="17" t="s">
        <v>530</v>
      </c>
      <c r="D13" s="17" t="s">
        <v>531</v>
      </c>
      <c r="E13" s="17" t="str">
        <f>"0,8653"</f>
        <v>0,8653</v>
      </c>
      <c r="F13" s="52" t="s">
        <v>168</v>
      </c>
      <c r="G13" s="17" t="s">
        <v>532</v>
      </c>
      <c r="H13" s="29" t="s">
        <v>35</v>
      </c>
      <c r="I13" s="30" t="s">
        <v>632</v>
      </c>
      <c r="J13" s="30" t="s">
        <v>191</v>
      </c>
      <c r="K13" s="27"/>
      <c r="L13" s="49">
        <v>145</v>
      </c>
      <c r="M13" s="26" t="str">
        <f>"125,4685"</f>
        <v>125,4685</v>
      </c>
      <c r="N13" s="17" t="s">
        <v>533</v>
      </c>
    </row>
    <row r="15" spans="1:13" ht="15.75">
      <c r="A15"/>
      <c r="B15" s="97" t="s">
        <v>27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</row>
    <row r="16" spans="1:14" ht="12.75">
      <c r="A16" s="26" t="s">
        <v>933</v>
      </c>
      <c r="B16" s="17" t="s">
        <v>582</v>
      </c>
      <c r="C16" s="17" t="s">
        <v>583</v>
      </c>
      <c r="D16" s="17" t="s">
        <v>29</v>
      </c>
      <c r="E16" s="17" t="str">
        <f>"0,6940"</f>
        <v>0,6940</v>
      </c>
      <c r="F16" s="52" t="s">
        <v>162</v>
      </c>
      <c r="G16" s="17" t="s">
        <v>163</v>
      </c>
      <c r="H16" s="29" t="s">
        <v>42</v>
      </c>
      <c r="I16" s="29" t="s">
        <v>90</v>
      </c>
      <c r="J16" s="29" t="s">
        <v>259</v>
      </c>
      <c r="K16" s="27"/>
      <c r="L16" s="49">
        <v>195</v>
      </c>
      <c r="M16" s="26" t="str">
        <f>"141,1492"</f>
        <v>141,1492</v>
      </c>
      <c r="N16" s="17" t="s">
        <v>396</v>
      </c>
    </row>
    <row r="18" spans="1:13" ht="15.75">
      <c r="A18"/>
      <c r="B18" s="97" t="s">
        <v>12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</row>
    <row r="19" spans="1:14" ht="12.75">
      <c r="A19" s="26" t="s">
        <v>933</v>
      </c>
      <c r="B19" s="17" t="s">
        <v>1375</v>
      </c>
      <c r="C19" s="17" t="s">
        <v>873</v>
      </c>
      <c r="D19" s="17" t="s">
        <v>874</v>
      </c>
      <c r="E19" s="17" t="str">
        <f>"0,6629"</f>
        <v>0,6629</v>
      </c>
      <c r="F19" s="52" t="s">
        <v>875</v>
      </c>
      <c r="G19" s="17" t="s">
        <v>876</v>
      </c>
      <c r="H19" s="29" t="s">
        <v>38</v>
      </c>
      <c r="I19" s="27"/>
      <c r="J19" s="27"/>
      <c r="K19" s="27"/>
      <c r="L19" s="49">
        <v>220</v>
      </c>
      <c r="M19" s="26" t="str">
        <f>"145,8380"</f>
        <v>145,8380</v>
      </c>
      <c r="N19" s="17" t="s">
        <v>949</v>
      </c>
    </row>
    <row r="20" spans="1:14" ht="12.75">
      <c r="A20" s="26" t="s">
        <v>933</v>
      </c>
      <c r="B20" s="17" t="s">
        <v>877</v>
      </c>
      <c r="C20" s="17" t="s">
        <v>878</v>
      </c>
      <c r="D20" s="17" t="s">
        <v>879</v>
      </c>
      <c r="E20" s="17" t="str">
        <f>"0,6482"</f>
        <v>0,6482</v>
      </c>
      <c r="F20" s="52" t="s">
        <v>1372</v>
      </c>
      <c r="G20" s="17" t="s">
        <v>1244</v>
      </c>
      <c r="H20" s="29" t="s">
        <v>34</v>
      </c>
      <c r="I20" s="29" t="s">
        <v>18</v>
      </c>
      <c r="J20" s="30" t="s">
        <v>42</v>
      </c>
      <c r="K20" s="27"/>
      <c r="L20" s="49">
        <v>160</v>
      </c>
      <c r="M20" s="26" t="str">
        <f>"103,7120"</f>
        <v>103,7120</v>
      </c>
      <c r="N20" s="17" t="s">
        <v>1383</v>
      </c>
    </row>
    <row r="22" spans="1:13" ht="15.75">
      <c r="A22"/>
      <c r="B22" s="97" t="s">
        <v>61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</row>
    <row r="23" spans="1:14" ht="12.75">
      <c r="A23" s="26" t="s">
        <v>933</v>
      </c>
      <c r="B23" s="17" t="s">
        <v>1376</v>
      </c>
      <c r="C23" s="17" t="s">
        <v>880</v>
      </c>
      <c r="D23" s="17" t="s">
        <v>881</v>
      </c>
      <c r="E23" s="17" t="str">
        <f>"0,6161"</f>
        <v>0,6161</v>
      </c>
      <c r="F23" s="17" t="s">
        <v>15</v>
      </c>
      <c r="G23" s="17" t="s">
        <v>473</v>
      </c>
      <c r="H23" s="29" t="s">
        <v>32</v>
      </c>
      <c r="I23" s="29" t="s">
        <v>222</v>
      </c>
      <c r="J23" s="30" t="s">
        <v>75</v>
      </c>
      <c r="K23" s="27"/>
      <c r="L23" s="49">
        <v>205</v>
      </c>
      <c r="M23" s="26" t="str">
        <f>"126,2903"</f>
        <v>126,2903</v>
      </c>
      <c r="N23" s="17" t="s">
        <v>1384</v>
      </c>
    </row>
    <row r="24" spans="1:14" ht="12.75">
      <c r="A24" s="26" t="s">
        <v>933</v>
      </c>
      <c r="B24" s="17" t="s">
        <v>1260</v>
      </c>
      <c r="C24" s="17" t="s">
        <v>63</v>
      </c>
      <c r="D24" s="17" t="s">
        <v>64</v>
      </c>
      <c r="E24" s="17" t="str">
        <f>"0,6133"</f>
        <v>0,6133</v>
      </c>
      <c r="F24" s="17" t="s">
        <v>15</v>
      </c>
      <c r="G24" s="17" t="s">
        <v>1245</v>
      </c>
      <c r="H24" s="29" t="s">
        <v>68</v>
      </c>
      <c r="I24" s="27"/>
      <c r="J24" s="27"/>
      <c r="K24" s="27"/>
      <c r="L24" s="49">
        <v>275</v>
      </c>
      <c r="M24" s="26" t="str">
        <f>"168,6712"</f>
        <v>168,6712</v>
      </c>
      <c r="N24" s="17" t="s">
        <v>69</v>
      </c>
    </row>
    <row r="25" spans="1:14" ht="12.75">
      <c r="A25" s="26" t="s">
        <v>935</v>
      </c>
      <c r="B25" s="17" t="s">
        <v>1377</v>
      </c>
      <c r="C25" s="17" t="s">
        <v>689</v>
      </c>
      <c r="D25" s="17" t="s">
        <v>345</v>
      </c>
      <c r="E25" s="17" t="str">
        <f>"0,6317"</f>
        <v>0,6317</v>
      </c>
      <c r="F25" s="52" t="s">
        <v>178</v>
      </c>
      <c r="G25" s="17" t="s">
        <v>882</v>
      </c>
      <c r="H25" s="29" t="s">
        <v>82</v>
      </c>
      <c r="I25" s="29" t="s">
        <v>66</v>
      </c>
      <c r="J25" s="29" t="s">
        <v>78</v>
      </c>
      <c r="K25" s="27"/>
      <c r="L25" s="49">
        <v>235</v>
      </c>
      <c r="M25" s="26" t="str">
        <f>"148,4495"</f>
        <v>148,4495</v>
      </c>
      <c r="N25" s="17" t="s">
        <v>325</v>
      </c>
    </row>
    <row r="26" spans="1:14" ht="12.75">
      <c r="A26" s="26" t="s">
        <v>936</v>
      </c>
      <c r="B26" s="17" t="s">
        <v>1378</v>
      </c>
      <c r="C26" s="17" t="s">
        <v>883</v>
      </c>
      <c r="D26" s="17" t="s">
        <v>81</v>
      </c>
      <c r="E26" s="17" t="str">
        <f>"0,6201"</f>
        <v>0,6201</v>
      </c>
      <c r="F26" s="17" t="s">
        <v>15</v>
      </c>
      <c r="G26" s="17" t="s">
        <v>1244</v>
      </c>
      <c r="H26" s="30" t="s">
        <v>74</v>
      </c>
      <c r="I26" s="29" t="s">
        <v>74</v>
      </c>
      <c r="J26" s="29" t="s">
        <v>75</v>
      </c>
      <c r="K26" s="27"/>
      <c r="L26" s="49">
        <v>215</v>
      </c>
      <c r="M26" s="26" t="str">
        <f>"133,3215"</f>
        <v>133,3215</v>
      </c>
      <c r="N26" s="17" t="s">
        <v>55</v>
      </c>
    </row>
    <row r="28" spans="1:13" ht="15.75">
      <c r="A28"/>
      <c r="B28" s="97" t="s">
        <v>87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</row>
    <row r="29" spans="1:14" ht="12.75">
      <c r="A29" s="26" t="s">
        <v>933</v>
      </c>
      <c r="B29" s="17" t="s">
        <v>1379</v>
      </c>
      <c r="C29" s="17" t="s">
        <v>884</v>
      </c>
      <c r="D29" s="17" t="s">
        <v>885</v>
      </c>
      <c r="E29" s="17" t="str">
        <f>"0,5946"</f>
        <v>0,5946</v>
      </c>
      <c r="F29" s="17" t="s">
        <v>15</v>
      </c>
      <c r="G29" s="17" t="s">
        <v>1244</v>
      </c>
      <c r="H29" s="29" t="s">
        <v>96</v>
      </c>
      <c r="I29" s="27"/>
      <c r="J29" s="27"/>
      <c r="K29" s="27"/>
      <c r="L29" s="49">
        <v>250</v>
      </c>
      <c r="M29" s="26" t="str">
        <f>"148,6500"</f>
        <v>148,6500</v>
      </c>
      <c r="N29" s="17" t="s">
        <v>55</v>
      </c>
    </row>
    <row r="30" spans="1:14" ht="12.75">
      <c r="A30" s="26" t="s">
        <v>935</v>
      </c>
      <c r="B30" s="17" t="s">
        <v>886</v>
      </c>
      <c r="C30" s="17" t="s">
        <v>887</v>
      </c>
      <c r="D30" s="17" t="s">
        <v>888</v>
      </c>
      <c r="E30" s="17" t="str">
        <f>"0,5840"</f>
        <v>0,5840</v>
      </c>
      <c r="F30" s="17" t="s">
        <v>15</v>
      </c>
      <c r="G30" s="17" t="s">
        <v>1244</v>
      </c>
      <c r="H30" s="29" t="s">
        <v>96</v>
      </c>
      <c r="I30" s="30" t="s">
        <v>246</v>
      </c>
      <c r="J30" s="30" t="s">
        <v>246</v>
      </c>
      <c r="K30" s="27"/>
      <c r="L30" s="49">
        <v>250</v>
      </c>
      <c r="M30" s="26" t="str">
        <f>"146,0125"</f>
        <v>146,0125</v>
      </c>
      <c r="N30" s="17" t="s">
        <v>55</v>
      </c>
    </row>
    <row r="31" spans="1:14" ht="12.75">
      <c r="A31" s="26" t="s">
        <v>933</v>
      </c>
      <c r="B31" s="17" t="s">
        <v>1380</v>
      </c>
      <c r="C31" s="17" t="s">
        <v>889</v>
      </c>
      <c r="D31" s="17" t="s">
        <v>888</v>
      </c>
      <c r="E31" s="17" t="str">
        <f>"0,5840"</f>
        <v>0,5840</v>
      </c>
      <c r="F31" s="17" t="s">
        <v>15</v>
      </c>
      <c r="G31" s="17" t="s">
        <v>1244</v>
      </c>
      <c r="H31" s="29" t="s">
        <v>96</v>
      </c>
      <c r="I31" s="30" t="s">
        <v>246</v>
      </c>
      <c r="J31" s="30" t="s">
        <v>246</v>
      </c>
      <c r="K31" s="27"/>
      <c r="L31" s="49">
        <v>250</v>
      </c>
      <c r="M31" s="26" t="str">
        <f>"146,0125"</f>
        <v>146,0125</v>
      </c>
      <c r="N31" s="17" t="s">
        <v>55</v>
      </c>
    </row>
    <row r="33" spans="1:13" ht="15.75">
      <c r="A33"/>
      <c r="B33" s="97" t="s">
        <v>93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</row>
    <row r="34" spans="1:14" ht="12.75">
      <c r="A34" s="26" t="s">
        <v>933</v>
      </c>
      <c r="B34" s="17" t="s">
        <v>1382</v>
      </c>
      <c r="C34" s="17" t="s">
        <v>891</v>
      </c>
      <c r="D34" s="17" t="s">
        <v>421</v>
      </c>
      <c r="E34" s="17" t="str">
        <f>"0,5644"</f>
        <v>0,5644</v>
      </c>
      <c r="F34" s="52" t="s">
        <v>491</v>
      </c>
      <c r="G34" s="17" t="s">
        <v>1244</v>
      </c>
      <c r="H34" s="29" t="s">
        <v>68</v>
      </c>
      <c r="I34" s="30" t="s">
        <v>739</v>
      </c>
      <c r="J34" s="30" t="s">
        <v>739</v>
      </c>
      <c r="K34" s="27"/>
      <c r="L34" s="49">
        <v>275</v>
      </c>
      <c r="M34" s="26" t="str">
        <f>"155,2100"</f>
        <v>155,2100</v>
      </c>
      <c r="N34" s="17" t="s">
        <v>492</v>
      </c>
    </row>
    <row r="36" spans="1:13" ht="15.75">
      <c r="A36"/>
      <c r="B36" s="97" t="s">
        <v>469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</row>
    <row r="37" spans="1:14" ht="12.75">
      <c r="A37" s="26" t="s">
        <v>933</v>
      </c>
      <c r="B37" s="17" t="s">
        <v>1381</v>
      </c>
      <c r="C37" s="17" t="s">
        <v>892</v>
      </c>
      <c r="D37" s="17" t="s">
        <v>893</v>
      </c>
      <c r="E37" s="17" t="str">
        <f>"0,5288"</f>
        <v>0,5288</v>
      </c>
      <c r="F37" s="52" t="s">
        <v>178</v>
      </c>
      <c r="G37" s="17" t="s">
        <v>1244</v>
      </c>
      <c r="H37" s="29" t="s">
        <v>103</v>
      </c>
      <c r="I37" s="30" t="s">
        <v>106</v>
      </c>
      <c r="J37" s="30" t="s">
        <v>106</v>
      </c>
      <c r="K37" s="27"/>
      <c r="L37" s="49">
        <v>270</v>
      </c>
      <c r="M37" s="26" t="str">
        <f>"142,7841"</f>
        <v>142,7841</v>
      </c>
      <c r="N37" s="17" t="s">
        <v>55</v>
      </c>
    </row>
    <row r="39" spans="2:3" ht="18">
      <c r="B39" s="19" t="s">
        <v>108</v>
      </c>
      <c r="C39" s="19"/>
    </row>
    <row r="40" spans="2:3" ht="15.75">
      <c r="B40" s="20" t="s">
        <v>117</v>
      </c>
      <c r="C40" s="20"/>
    </row>
    <row r="41" spans="2:3" ht="13.5">
      <c r="B41" s="22"/>
      <c r="C41" s="23"/>
    </row>
    <row r="42" spans="2:6" ht="13.5">
      <c r="B42" s="24" t="s">
        <v>111</v>
      </c>
      <c r="C42" s="24" t="s">
        <v>112</v>
      </c>
      <c r="D42" s="24" t="s">
        <v>113</v>
      </c>
      <c r="E42" s="24" t="s">
        <v>934</v>
      </c>
      <c r="F42" s="24" t="s">
        <v>115</v>
      </c>
    </row>
    <row r="43" spans="1:6" ht="12.75">
      <c r="A43" s="28" t="s">
        <v>933</v>
      </c>
      <c r="B43" s="21" t="s">
        <v>62</v>
      </c>
      <c r="C43" s="46" t="s">
        <v>110</v>
      </c>
      <c r="D43" s="46" t="s">
        <v>119</v>
      </c>
      <c r="E43" s="28" t="s">
        <v>68</v>
      </c>
      <c r="F43" s="28" t="s">
        <v>865</v>
      </c>
    </row>
    <row r="44" spans="1:6" ht="12.75">
      <c r="A44" s="28" t="s">
        <v>935</v>
      </c>
      <c r="B44" s="21" t="s">
        <v>890</v>
      </c>
      <c r="C44" s="46" t="s">
        <v>110</v>
      </c>
      <c r="D44" s="46" t="s">
        <v>118</v>
      </c>
      <c r="E44" s="28" t="s">
        <v>68</v>
      </c>
      <c r="F44" s="28" t="s">
        <v>894</v>
      </c>
    </row>
    <row r="45" spans="1:6" ht="12.75">
      <c r="A45" s="28" t="s">
        <v>936</v>
      </c>
      <c r="B45" s="21" t="s">
        <v>937</v>
      </c>
      <c r="C45" s="46" t="s">
        <v>110</v>
      </c>
      <c r="D45" s="46" t="s">
        <v>129</v>
      </c>
      <c r="E45" s="28" t="s">
        <v>96</v>
      </c>
      <c r="F45" s="28" t="s">
        <v>895</v>
      </c>
    </row>
  </sheetData>
  <sheetProtection/>
  <mergeCells count="21">
    <mergeCell ref="B15:M15"/>
    <mergeCell ref="B18:M18"/>
    <mergeCell ref="B22:M22"/>
    <mergeCell ref="B28:M28"/>
    <mergeCell ref="B33:M33"/>
    <mergeCell ref="B36:M36"/>
    <mergeCell ref="B8:M8"/>
    <mergeCell ref="B12:M12"/>
    <mergeCell ref="B3:B4"/>
    <mergeCell ref="C3:C4"/>
    <mergeCell ref="D3:D4"/>
    <mergeCell ref="E3:E4"/>
    <mergeCell ref="F3:F4"/>
    <mergeCell ref="G3:G4"/>
    <mergeCell ref="H3:K3"/>
    <mergeCell ref="B1:R2"/>
    <mergeCell ref="A3:A4"/>
    <mergeCell ref="L3:L4"/>
    <mergeCell ref="M3:M4"/>
    <mergeCell ref="N3:N4"/>
    <mergeCell ref="B5:M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72"/>
  <sheetViews>
    <sheetView workbookViewId="0" topLeftCell="A17">
      <selection activeCell="N6" sqref="N6"/>
    </sheetView>
  </sheetViews>
  <sheetFormatPr defaultColWidth="8.75390625" defaultRowHeight="12.75"/>
  <cols>
    <col min="1" max="1" width="7.875" style="28" bestFit="1" customWidth="1"/>
    <col min="2" max="2" width="23.375" style="16" customWidth="1"/>
    <col min="3" max="3" width="26.875" style="16" bestFit="1" customWidth="1"/>
    <col min="4" max="4" width="10.625" style="16" bestFit="1" customWidth="1"/>
    <col min="5" max="5" width="11.875" style="16" customWidth="1"/>
    <col min="6" max="6" width="18.125" style="16" customWidth="1"/>
    <col min="7" max="7" width="34.00390625" style="16" bestFit="1" customWidth="1"/>
    <col min="8" max="11" width="5.625" style="28" bestFit="1" customWidth="1"/>
    <col min="12" max="12" width="11.00390625" style="28" customWidth="1"/>
    <col min="13" max="13" width="8.625" style="28" bestFit="1" customWidth="1"/>
    <col min="14" max="14" width="20.25390625" style="16" customWidth="1"/>
    <col min="15" max="18" width="9.125" style="0" hidden="1" customWidth="1"/>
  </cols>
  <sheetData>
    <row r="1" spans="2:18" s="1" customFormat="1" ht="15" customHeight="1">
      <c r="B1" s="86" t="s">
        <v>1365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102"/>
    </row>
    <row r="2" spans="2:18" s="1" customFormat="1" ht="80.25" customHeight="1" thickBot="1">
      <c r="B2" s="88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103"/>
    </row>
    <row r="3" spans="1:14" s="4" customFormat="1" ht="12.75" customHeight="1">
      <c r="A3" s="98" t="s">
        <v>932</v>
      </c>
      <c r="B3" s="108" t="s">
        <v>0</v>
      </c>
      <c r="C3" s="92" t="s">
        <v>1</v>
      </c>
      <c r="D3" s="92" t="s">
        <v>1226</v>
      </c>
      <c r="E3" s="94" t="s">
        <v>11</v>
      </c>
      <c r="F3" s="94" t="s">
        <v>2</v>
      </c>
      <c r="G3" s="95" t="s">
        <v>1227</v>
      </c>
      <c r="H3" s="94" t="s">
        <v>6</v>
      </c>
      <c r="I3" s="94"/>
      <c r="J3" s="94"/>
      <c r="K3" s="94"/>
      <c r="L3" s="90" t="s">
        <v>934</v>
      </c>
      <c r="M3" s="94" t="s">
        <v>9</v>
      </c>
      <c r="N3" s="100" t="s">
        <v>10</v>
      </c>
    </row>
    <row r="4" spans="1:14" s="4" customFormat="1" ht="23.25" customHeight="1" thickBot="1">
      <c r="A4" s="99"/>
      <c r="B4" s="109"/>
      <c r="C4" s="93"/>
      <c r="D4" s="93"/>
      <c r="E4" s="93"/>
      <c r="F4" s="93"/>
      <c r="G4" s="96"/>
      <c r="H4" s="7">
        <v>1</v>
      </c>
      <c r="I4" s="7">
        <v>2</v>
      </c>
      <c r="J4" s="7">
        <v>3</v>
      </c>
      <c r="K4" s="7" t="s">
        <v>7</v>
      </c>
      <c r="L4" s="91"/>
      <c r="M4" s="93"/>
      <c r="N4" s="101"/>
    </row>
    <row r="5" spans="1:13" ht="15.75">
      <c r="A5"/>
      <c r="B5" s="104" t="s">
        <v>140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</row>
    <row r="6" spans="1:14" ht="12.75">
      <c r="A6" s="26" t="s">
        <v>933</v>
      </c>
      <c r="B6" s="17" t="s">
        <v>793</v>
      </c>
      <c r="C6" s="17" t="s">
        <v>794</v>
      </c>
      <c r="D6" s="17" t="s">
        <v>795</v>
      </c>
      <c r="E6" s="17" t="str">
        <f>"1,1477"</f>
        <v>1,1477</v>
      </c>
      <c r="F6" s="52" t="s">
        <v>1231</v>
      </c>
      <c r="G6" s="17" t="s">
        <v>1244</v>
      </c>
      <c r="H6" s="29" t="s">
        <v>134</v>
      </c>
      <c r="I6" s="30" t="s">
        <v>135</v>
      </c>
      <c r="J6" s="32" t="s">
        <v>135</v>
      </c>
      <c r="K6" s="27"/>
      <c r="L6" s="49">
        <v>75</v>
      </c>
      <c r="M6" s="26" t="str">
        <f>"86,0775"</f>
        <v>86,0775</v>
      </c>
      <c r="N6" s="17" t="s">
        <v>802</v>
      </c>
    </row>
    <row r="8" spans="1:13" ht="15.75">
      <c r="A8"/>
      <c r="B8" s="97" t="s">
        <v>502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</row>
    <row r="9" spans="1:14" ht="12.75">
      <c r="A9" s="26" t="s">
        <v>933</v>
      </c>
      <c r="B9" s="17" t="s">
        <v>796</v>
      </c>
      <c r="C9" s="17" t="s">
        <v>797</v>
      </c>
      <c r="D9" s="17" t="s">
        <v>798</v>
      </c>
      <c r="E9" s="17" t="str">
        <f>"1,0514"</f>
        <v>1,0514</v>
      </c>
      <c r="F9" s="17" t="s">
        <v>15</v>
      </c>
      <c r="G9" s="17" t="s">
        <v>60</v>
      </c>
      <c r="H9" s="29" t="s">
        <v>53</v>
      </c>
      <c r="I9" s="29" t="s">
        <v>145</v>
      </c>
      <c r="J9" s="30" t="s">
        <v>187</v>
      </c>
      <c r="K9" s="27"/>
      <c r="L9" s="49">
        <v>115</v>
      </c>
      <c r="M9" s="26" t="str">
        <f>"120,9110"</f>
        <v>120,9110</v>
      </c>
      <c r="N9" s="17" t="s">
        <v>423</v>
      </c>
    </row>
    <row r="11" spans="1:13" ht="15.75">
      <c r="A11"/>
      <c r="B11" s="97" t="s">
        <v>331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</row>
    <row r="12" spans="1:14" ht="12.75">
      <c r="A12" s="26" t="s">
        <v>933</v>
      </c>
      <c r="B12" s="17" t="s">
        <v>802</v>
      </c>
      <c r="C12" s="17" t="s">
        <v>333</v>
      </c>
      <c r="D12" s="17" t="s">
        <v>334</v>
      </c>
      <c r="E12" s="17" t="str">
        <f>"0,9876"</f>
        <v>0,9876</v>
      </c>
      <c r="F12" s="52" t="s">
        <v>1231</v>
      </c>
      <c r="G12" s="17" t="s">
        <v>1244</v>
      </c>
      <c r="H12" s="29" t="s">
        <v>18</v>
      </c>
      <c r="I12" s="30" t="s">
        <v>19</v>
      </c>
      <c r="J12" s="29" t="s">
        <v>23</v>
      </c>
      <c r="K12" s="27"/>
      <c r="L12" s="49">
        <v>172.5</v>
      </c>
      <c r="M12" s="26" t="str">
        <f>"170,3610"</f>
        <v>170,3610</v>
      </c>
      <c r="N12" s="17" t="s">
        <v>335</v>
      </c>
    </row>
    <row r="13" spans="1:14" ht="12.75">
      <c r="A13" s="26" t="s">
        <v>933</v>
      </c>
      <c r="B13" s="17" t="s">
        <v>799</v>
      </c>
      <c r="C13" s="17" t="s">
        <v>800</v>
      </c>
      <c r="D13" s="17" t="s">
        <v>801</v>
      </c>
      <c r="E13" s="17" t="str">
        <f>"1,0380"</f>
        <v>1,0380</v>
      </c>
      <c r="F13" s="52" t="s">
        <v>1231</v>
      </c>
      <c r="G13" s="17" t="s">
        <v>1244</v>
      </c>
      <c r="H13" s="29" t="s">
        <v>136</v>
      </c>
      <c r="I13" s="29" t="s">
        <v>169</v>
      </c>
      <c r="J13" s="30" t="s">
        <v>22</v>
      </c>
      <c r="K13" s="27"/>
      <c r="L13" s="49">
        <v>90</v>
      </c>
      <c r="M13" s="26" t="str">
        <f>"98,5581"</f>
        <v>98,5581</v>
      </c>
      <c r="N13" s="17" t="s">
        <v>802</v>
      </c>
    </row>
    <row r="15" spans="1:13" ht="15.75">
      <c r="A15"/>
      <c r="B15" s="97" t="s">
        <v>158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</row>
    <row r="16" spans="1:14" ht="12.75">
      <c r="A16" s="26" t="s">
        <v>933</v>
      </c>
      <c r="B16" s="17" t="s">
        <v>803</v>
      </c>
      <c r="C16" s="17" t="s">
        <v>804</v>
      </c>
      <c r="D16" s="17" t="s">
        <v>805</v>
      </c>
      <c r="E16" s="17" t="str">
        <f>"0,9233"</f>
        <v>0,9233</v>
      </c>
      <c r="F16" s="52" t="s">
        <v>1231</v>
      </c>
      <c r="G16" s="17" t="s">
        <v>1244</v>
      </c>
      <c r="H16" s="30" t="s">
        <v>136</v>
      </c>
      <c r="I16" s="29" t="s">
        <v>136</v>
      </c>
      <c r="J16" s="30" t="s">
        <v>22</v>
      </c>
      <c r="K16" s="27"/>
      <c r="L16" s="49">
        <v>80</v>
      </c>
      <c r="M16" s="26" t="str">
        <f>"73,8600"</f>
        <v>73,8600</v>
      </c>
      <c r="N16" s="17" t="s">
        <v>335</v>
      </c>
    </row>
    <row r="17" ht="12.75">
      <c r="F17" s="25"/>
    </row>
    <row r="18" spans="1:13" ht="15.75">
      <c r="A18"/>
      <c r="B18" s="97" t="s">
        <v>27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</row>
    <row r="19" spans="1:14" ht="12.75">
      <c r="A19" s="26" t="s">
        <v>933</v>
      </c>
      <c r="B19" s="17" t="s">
        <v>806</v>
      </c>
      <c r="C19" s="17" t="s">
        <v>807</v>
      </c>
      <c r="D19" s="17" t="s">
        <v>808</v>
      </c>
      <c r="E19" s="17" t="str">
        <f>"0,8917"</f>
        <v>0,8917</v>
      </c>
      <c r="F19" s="52" t="s">
        <v>1231</v>
      </c>
      <c r="G19" s="17" t="s">
        <v>1244</v>
      </c>
      <c r="H19" s="29" t="s">
        <v>136</v>
      </c>
      <c r="I19" s="29" t="s">
        <v>169</v>
      </c>
      <c r="J19" s="29" t="s">
        <v>22</v>
      </c>
      <c r="K19" s="27"/>
      <c r="L19" s="49">
        <v>100</v>
      </c>
      <c r="M19" s="26" t="str">
        <f>"89,1700"</f>
        <v>89,1700</v>
      </c>
      <c r="N19" s="17" t="s">
        <v>802</v>
      </c>
    </row>
    <row r="21" spans="1:13" ht="15.75">
      <c r="A21"/>
      <c r="B21" s="97" t="s">
        <v>12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</row>
    <row r="22" spans="1:14" ht="12.75">
      <c r="A22" s="26" t="s">
        <v>933</v>
      </c>
      <c r="B22" s="17" t="s">
        <v>1366</v>
      </c>
      <c r="C22" s="17" t="s">
        <v>810</v>
      </c>
      <c r="D22" s="17" t="s">
        <v>811</v>
      </c>
      <c r="E22" s="17" t="str">
        <f>"0,7883"</f>
        <v>0,7883</v>
      </c>
      <c r="F22" s="17" t="s">
        <v>15</v>
      </c>
      <c r="G22" s="17" t="s">
        <v>1244</v>
      </c>
      <c r="H22" s="29" t="s">
        <v>37</v>
      </c>
      <c r="I22" s="29" t="s">
        <v>75</v>
      </c>
      <c r="J22" s="27"/>
      <c r="K22" s="27"/>
      <c r="L22" s="49">
        <v>215</v>
      </c>
      <c r="M22" s="26" t="str">
        <f>"169,4845"</f>
        <v>169,4845</v>
      </c>
      <c r="N22" s="17" t="s">
        <v>812</v>
      </c>
    </row>
    <row r="24" spans="1:13" ht="15.75">
      <c r="A24"/>
      <c r="B24" s="97" t="s">
        <v>61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</row>
    <row r="25" spans="1:14" ht="12.75">
      <c r="A25" s="26" t="s">
        <v>933</v>
      </c>
      <c r="B25" s="17" t="s">
        <v>813</v>
      </c>
      <c r="C25" s="17" t="s">
        <v>814</v>
      </c>
      <c r="D25" s="17" t="s">
        <v>815</v>
      </c>
      <c r="E25" s="17" t="str">
        <f>"0,7703"</f>
        <v>0,7703</v>
      </c>
      <c r="F25" s="17" t="s">
        <v>15</v>
      </c>
      <c r="G25" s="17" t="s">
        <v>1244</v>
      </c>
      <c r="H25" s="29" t="s">
        <v>203</v>
      </c>
      <c r="I25" s="30" t="s">
        <v>145</v>
      </c>
      <c r="J25" s="29" t="s">
        <v>145</v>
      </c>
      <c r="K25" s="27"/>
      <c r="L25" s="49">
        <v>115</v>
      </c>
      <c r="M25" s="26" t="str">
        <f>"88,5845"</f>
        <v>88,5845</v>
      </c>
      <c r="N25" s="17" t="s">
        <v>816</v>
      </c>
    </row>
    <row r="27" spans="1:13" ht="15.75">
      <c r="A27"/>
      <c r="B27" s="97" t="s">
        <v>158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</row>
    <row r="28" spans="1:14" ht="12.75">
      <c r="A28" s="26" t="s">
        <v>933</v>
      </c>
      <c r="B28" s="17" t="s">
        <v>817</v>
      </c>
      <c r="C28" s="17" t="s">
        <v>818</v>
      </c>
      <c r="D28" s="17" t="s">
        <v>819</v>
      </c>
      <c r="E28" s="17" t="str">
        <f>"0,7743"</f>
        <v>0,7743</v>
      </c>
      <c r="F28" s="17" t="s">
        <v>15</v>
      </c>
      <c r="G28" s="17" t="s">
        <v>1244</v>
      </c>
      <c r="H28" s="29" t="s">
        <v>34</v>
      </c>
      <c r="I28" s="29" t="s">
        <v>19</v>
      </c>
      <c r="J28" s="29" t="s">
        <v>42</v>
      </c>
      <c r="K28" s="27"/>
      <c r="L28" s="49">
        <v>175</v>
      </c>
      <c r="M28" s="26" t="str">
        <f>"135,5025"</f>
        <v>135,5025</v>
      </c>
      <c r="N28" s="17" t="s">
        <v>1251</v>
      </c>
    </row>
    <row r="30" spans="1:13" ht="15.75">
      <c r="A30"/>
      <c r="B30" s="97" t="s">
        <v>12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</row>
    <row r="31" spans="1:14" ht="12.75">
      <c r="A31" s="26" t="s">
        <v>933</v>
      </c>
      <c r="B31" s="17" t="s">
        <v>820</v>
      </c>
      <c r="C31" s="17" t="s">
        <v>821</v>
      </c>
      <c r="D31" s="17" t="s">
        <v>822</v>
      </c>
      <c r="E31" s="17" t="str">
        <f>"0,6780"</f>
        <v>0,6780</v>
      </c>
      <c r="F31" s="52" t="s">
        <v>1231</v>
      </c>
      <c r="G31" s="17" t="s">
        <v>1244</v>
      </c>
      <c r="H31" s="29" t="s">
        <v>31</v>
      </c>
      <c r="I31" s="29" t="s">
        <v>32</v>
      </c>
      <c r="J31" s="29" t="s">
        <v>37</v>
      </c>
      <c r="K31" s="27"/>
      <c r="L31" s="49">
        <v>200</v>
      </c>
      <c r="M31" s="26" t="str">
        <f>"135,6000"</f>
        <v>135,6000</v>
      </c>
      <c r="N31" s="17" t="s">
        <v>332</v>
      </c>
    </row>
    <row r="33" spans="1:13" ht="15.75">
      <c r="A33"/>
      <c r="B33" s="97" t="s">
        <v>61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</row>
    <row r="34" spans="1:14" ht="12.75">
      <c r="A34" s="26" t="s">
        <v>933</v>
      </c>
      <c r="B34" s="17" t="s">
        <v>62</v>
      </c>
      <c r="C34" s="17" t="s">
        <v>63</v>
      </c>
      <c r="D34" s="17" t="s">
        <v>64</v>
      </c>
      <c r="E34" s="17" t="str">
        <f>"0,6133"</f>
        <v>0,6133</v>
      </c>
      <c r="F34" s="17" t="s">
        <v>15</v>
      </c>
      <c r="G34" s="17" t="s">
        <v>1370</v>
      </c>
      <c r="H34" s="29" t="s">
        <v>68</v>
      </c>
      <c r="I34" s="27"/>
      <c r="J34" s="27"/>
      <c r="K34" s="27"/>
      <c r="L34" s="49">
        <v>275</v>
      </c>
      <c r="M34" s="26" t="str">
        <f>"168,6712"</f>
        <v>168,6712</v>
      </c>
      <c r="N34" s="17" t="s">
        <v>69</v>
      </c>
    </row>
    <row r="35" spans="1:14" ht="12.75">
      <c r="A35" s="26" t="s">
        <v>935</v>
      </c>
      <c r="B35" s="17" t="s">
        <v>79</v>
      </c>
      <c r="C35" s="17" t="s">
        <v>80</v>
      </c>
      <c r="D35" s="17" t="s">
        <v>81</v>
      </c>
      <c r="E35" s="17" t="str">
        <f>"0,6201"</f>
        <v>0,6201</v>
      </c>
      <c r="F35" s="17" t="s">
        <v>15</v>
      </c>
      <c r="G35" s="17" t="s">
        <v>1244</v>
      </c>
      <c r="H35" s="29" t="s">
        <v>77</v>
      </c>
      <c r="I35" s="27"/>
      <c r="J35" s="27"/>
      <c r="K35" s="27"/>
      <c r="L35" s="49">
        <v>230</v>
      </c>
      <c r="M35" s="26" t="str">
        <f>"142,6230"</f>
        <v>142,6230</v>
      </c>
      <c r="N35" s="17" t="s">
        <v>377</v>
      </c>
    </row>
    <row r="36" spans="1:14" ht="12.75">
      <c r="A36" s="26" t="s">
        <v>933</v>
      </c>
      <c r="B36" s="17" t="s">
        <v>823</v>
      </c>
      <c r="C36" s="17" t="s">
        <v>824</v>
      </c>
      <c r="D36" s="17" t="s">
        <v>825</v>
      </c>
      <c r="E36" s="17" t="str">
        <f>"0,6165"</f>
        <v>0,6165</v>
      </c>
      <c r="F36" s="52" t="s">
        <v>1231</v>
      </c>
      <c r="G36" s="17" t="s">
        <v>1244</v>
      </c>
      <c r="H36" s="30" t="s">
        <v>67</v>
      </c>
      <c r="I36" s="29" t="s">
        <v>67</v>
      </c>
      <c r="J36" s="30" t="s">
        <v>32</v>
      </c>
      <c r="K36" s="27"/>
      <c r="L36" s="49">
        <v>170</v>
      </c>
      <c r="M36" s="26" t="str">
        <f>"110,5603"</f>
        <v>110,5603</v>
      </c>
      <c r="N36" s="17" t="s">
        <v>335</v>
      </c>
    </row>
    <row r="37" spans="1:14" ht="12.75">
      <c r="A37" s="26" t="s">
        <v>933</v>
      </c>
      <c r="B37" s="17" t="s">
        <v>826</v>
      </c>
      <c r="C37" s="17" t="s">
        <v>827</v>
      </c>
      <c r="D37" s="17" t="s">
        <v>614</v>
      </c>
      <c r="E37" s="17" t="str">
        <f>"0,6197"</f>
        <v>0,6197</v>
      </c>
      <c r="F37" s="17" t="s">
        <v>15</v>
      </c>
      <c r="G37" s="17" t="s">
        <v>1244</v>
      </c>
      <c r="H37" s="29" t="s">
        <v>208</v>
      </c>
      <c r="I37" s="29" t="s">
        <v>34</v>
      </c>
      <c r="J37" s="30" t="s">
        <v>36</v>
      </c>
      <c r="K37" s="27"/>
      <c r="L37" s="49">
        <v>140</v>
      </c>
      <c r="M37" s="26" t="str">
        <f>"139,6804"</f>
        <v>139,6804</v>
      </c>
      <c r="N37" s="17" t="s">
        <v>335</v>
      </c>
    </row>
    <row r="39" spans="1:13" ht="15.75">
      <c r="A39"/>
      <c r="B39" s="97" t="s">
        <v>87</v>
      </c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</row>
    <row r="40" spans="1:14" ht="12.75">
      <c r="A40" s="26" t="s">
        <v>933</v>
      </c>
      <c r="B40" s="17" t="s">
        <v>383</v>
      </c>
      <c r="C40" s="17" t="s">
        <v>384</v>
      </c>
      <c r="D40" s="17" t="s">
        <v>385</v>
      </c>
      <c r="E40" s="17" t="str">
        <f>"0,6043"</f>
        <v>0,6043</v>
      </c>
      <c r="F40" s="17" t="s">
        <v>15</v>
      </c>
      <c r="G40" s="17" t="s">
        <v>195</v>
      </c>
      <c r="H40" s="29" t="s">
        <v>222</v>
      </c>
      <c r="I40" s="29" t="s">
        <v>75</v>
      </c>
      <c r="J40" s="29" t="s">
        <v>66</v>
      </c>
      <c r="K40" s="30" t="s">
        <v>77</v>
      </c>
      <c r="L40" s="49">
        <v>225</v>
      </c>
      <c r="M40" s="26" t="str">
        <f>"135,9675"</f>
        <v>135,9675</v>
      </c>
      <c r="N40" s="17" t="s">
        <v>55</v>
      </c>
    </row>
    <row r="41" spans="1:14" ht="12.75">
      <c r="A41" s="26" t="s">
        <v>933</v>
      </c>
      <c r="B41" s="17" t="s">
        <v>611</v>
      </c>
      <c r="C41" s="17" t="s">
        <v>829</v>
      </c>
      <c r="D41" s="17" t="s">
        <v>830</v>
      </c>
      <c r="E41" s="17" t="str">
        <f>"0,5878"</f>
        <v>0,5878</v>
      </c>
      <c r="F41" s="52" t="s">
        <v>491</v>
      </c>
      <c r="G41" s="17" t="s">
        <v>1244</v>
      </c>
      <c r="H41" s="29" t="s">
        <v>831</v>
      </c>
      <c r="I41" s="29" t="s">
        <v>832</v>
      </c>
      <c r="J41" s="30" t="s">
        <v>833</v>
      </c>
      <c r="K41" s="27"/>
      <c r="L41" s="49">
        <v>350</v>
      </c>
      <c r="M41" s="26" t="str">
        <f>"205,7125"</f>
        <v>205,7125</v>
      </c>
      <c r="N41" s="17" t="s">
        <v>55</v>
      </c>
    </row>
    <row r="42" spans="1:14" ht="12.75">
      <c r="A42" s="26" t="s">
        <v>935</v>
      </c>
      <c r="B42" s="17" t="s">
        <v>1367</v>
      </c>
      <c r="C42" s="17" t="s">
        <v>835</v>
      </c>
      <c r="D42" s="17" t="s">
        <v>789</v>
      </c>
      <c r="E42" s="17" t="str">
        <f>"0,5835"</f>
        <v>0,5835</v>
      </c>
      <c r="F42" s="52" t="s">
        <v>162</v>
      </c>
      <c r="G42" s="17" t="s">
        <v>836</v>
      </c>
      <c r="H42" s="29" t="s">
        <v>837</v>
      </c>
      <c r="I42" s="29" t="s">
        <v>838</v>
      </c>
      <c r="J42" s="30" t="s">
        <v>235</v>
      </c>
      <c r="K42" s="27"/>
      <c r="L42" s="49">
        <v>325</v>
      </c>
      <c r="M42" s="26" t="str">
        <f>"189,6537"</f>
        <v>189,6537</v>
      </c>
      <c r="N42" s="17" t="s">
        <v>55</v>
      </c>
    </row>
    <row r="43" spans="1:14" ht="12.75">
      <c r="A43" s="26" t="s">
        <v>936</v>
      </c>
      <c r="B43" s="17" t="s">
        <v>839</v>
      </c>
      <c r="C43" s="17" t="s">
        <v>840</v>
      </c>
      <c r="D43" s="17" t="s">
        <v>830</v>
      </c>
      <c r="E43" s="17" t="str">
        <f>"0,5878"</f>
        <v>0,5878</v>
      </c>
      <c r="F43" s="52" t="s">
        <v>168</v>
      </c>
      <c r="G43" s="17" t="s">
        <v>1244</v>
      </c>
      <c r="H43" s="29" t="s">
        <v>75</v>
      </c>
      <c r="I43" s="29" t="s">
        <v>77</v>
      </c>
      <c r="J43" s="29" t="s">
        <v>92</v>
      </c>
      <c r="K43" s="27"/>
      <c r="L43" s="49">
        <v>245</v>
      </c>
      <c r="M43" s="26" t="str">
        <f>"143,9988"</f>
        <v>143,9988</v>
      </c>
      <c r="N43" s="17" t="s">
        <v>261</v>
      </c>
    </row>
    <row r="44" spans="1:14" ht="12.75">
      <c r="A44" s="26" t="s">
        <v>938</v>
      </c>
      <c r="B44" s="17" t="s">
        <v>841</v>
      </c>
      <c r="C44" s="17" t="s">
        <v>842</v>
      </c>
      <c r="D44" s="17" t="s">
        <v>843</v>
      </c>
      <c r="E44" s="17" t="str">
        <f>"0,6016"</f>
        <v>0,6016</v>
      </c>
      <c r="F44" s="52" t="s">
        <v>1231</v>
      </c>
      <c r="G44" s="17" t="s">
        <v>1244</v>
      </c>
      <c r="H44" s="29" t="s">
        <v>77</v>
      </c>
      <c r="I44" s="30" t="s">
        <v>92</v>
      </c>
      <c r="J44" s="30" t="s">
        <v>92</v>
      </c>
      <c r="K44" s="27"/>
      <c r="L44" s="49">
        <v>230</v>
      </c>
      <c r="M44" s="26" t="str">
        <f>"138,3680"</f>
        <v>138,3680</v>
      </c>
      <c r="N44" s="17" t="s">
        <v>1369</v>
      </c>
    </row>
    <row r="46" spans="1:13" ht="15.75">
      <c r="A46"/>
      <c r="B46" s="97" t="s">
        <v>93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</row>
    <row r="47" spans="1:14" ht="12.75">
      <c r="A47" s="26" t="s">
        <v>933</v>
      </c>
      <c r="B47" s="17" t="s">
        <v>1368</v>
      </c>
      <c r="C47" s="17" t="s">
        <v>845</v>
      </c>
      <c r="D47" s="17" t="s">
        <v>846</v>
      </c>
      <c r="E47" s="17" t="str">
        <f>"0,5656"</f>
        <v>0,5656</v>
      </c>
      <c r="F47" s="17" t="s">
        <v>15</v>
      </c>
      <c r="G47" s="17" t="s">
        <v>847</v>
      </c>
      <c r="H47" s="29" t="s">
        <v>306</v>
      </c>
      <c r="I47" s="29" t="s">
        <v>832</v>
      </c>
      <c r="J47" s="30" t="s">
        <v>833</v>
      </c>
      <c r="K47" s="27"/>
      <c r="L47" s="49">
        <v>350</v>
      </c>
      <c r="M47" s="26" t="str">
        <f>"197,9775"</f>
        <v>197,9775</v>
      </c>
      <c r="N47" s="17" t="s">
        <v>55</v>
      </c>
    </row>
    <row r="48" spans="1:14" ht="12.75">
      <c r="A48" s="26" t="s">
        <v>935</v>
      </c>
      <c r="B48" s="17" t="s">
        <v>848</v>
      </c>
      <c r="C48" s="17" t="s">
        <v>849</v>
      </c>
      <c r="D48" s="17" t="s">
        <v>850</v>
      </c>
      <c r="E48" s="17" t="str">
        <f>"0,5772"</f>
        <v>0,5772</v>
      </c>
      <c r="F48" s="52" t="s">
        <v>1231</v>
      </c>
      <c r="G48" s="17" t="s">
        <v>1244</v>
      </c>
      <c r="H48" s="29" t="s">
        <v>67</v>
      </c>
      <c r="I48" s="29" t="s">
        <v>31</v>
      </c>
      <c r="J48" s="29" t="s">
        <v>32</v>
      </c>
      <c r="K48" s="27"/>
      <c r="L48" s="49">
        <v>190</v>
      </c>
      <c r="M48" s="26" t="str">
        <f>"109,6680"</f>
        <v>109,6680</v>
      </c>
      <c r="N48" s="17" t="s">
        <v>335</v>
      </c>
    </row>
    <row r="49" spans="1:14" ht="12.75">
      <c r="A49" s="26" t="s">
        <v>933</v>
      </c>
      <c r="B49" s="17" t="s">
        <v>267</v>
      </c>
      <c r="C49" s="17" t="s">
        <v>268</v>
      </c>
      <c r="D49" s="17" t="s">
        <v>269</v>
      </c>
      <c r="E49" s="17" t="str">
        <f>"0,5640"</f>
        <v>0,5640</v>
      </c>
      <c r="F49" s="17" t="s">
        <v>15</v>
      </c>
      <c r="G49" s="17" t="s">
        <v>270</v>
      </c>
      <c r="H49" s="29" t="s">
        <v>103</v>
      </c>
      <c r="I49" s="27"/>
      <c r="J49" s="27"/>
      <c r="K49" s="27"/>
      <c r="L49" s="49">
        <v>270</v>
      </c>
      <c r="M49" s="26" t="str">
        <f>"160,6412"</f>
        <v>160,6412</v>
      </c>
      <c r="N49" s="17" t="s">
        <v>272</v>
      </c>
    </row>
    <row r="51" spans="1:13" ht="15.75">
      <c r="A51"/>
      <c r="B51" s="97" t="s">
        <v>98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</row>
    <row r="52" spans="1:14" ht="12.75">
      <c r="A52" s="26" t="s">
        <v>933</v>
      </c>
      <c r="B52" s="17" t="s">
        <v>853</v>
      </c>
      <c r="C52" s="17" t="s">
        <v>854</v>
      </c>
      <c r="D52" s="17" t="s">
        <v>855</v>
      </c>
      <c r="E52" s="17" t="str">
        <f>"0,5487"</f>
        <v>0,5487</v>
      </c>
      <c r="F52" s="52" t="s">
        <v>1231</v>
      </c>
      <c r="G52" s="17" t="s">
        <v>1244</v>
      </c>
      <c r="H52" s="29" t="s">
        <v>104</v>
      </c>
      <c r="I52" s="30" t="s">
        <v>257</v>
      </c>
      <c r="J52" s="30" t="s">
        <v>235</v>
      </c>
      <c r="K52" s="27"/>
      <c r="L52" s="49">
        <v>300</v>
      </c>
      <c r="M52" s="26" t="str">
        <f>"164,5950"</f>
        <v>164,5950</v>
      </c>
      <c r="N52" s="17" t="s">
        <v>55</v>
      </c>
    </row>
    <row r="53" spans="1:14" ht="12.75">
      <c r="A53" s="26" t="s">
        <v>935</v>
      </c>
      <c r="B53" s="17" t="s">
        <v>1315</v>
      </c>
      <c r="C53" s="17" t="s">
        <v>447</v>
      </c>
      <c r="D53" s="17" t="s">
        <v>448</v>
      </c>
      <c r="E53" s="17" t="str">
        <f>"0,5565"</f>
        <v>0,5565</v>
      </c>
      <c r="F53" s="52" t="s">
        <v>1231</v>
      </c>
      <c r="G53" s="17" t="s">
        <v>449</v>
      </c>
      <c r="H53" s="29" t="s">
        <v>91</v>
      </c>
      <c r="I53" s="29" t="s">
        <v>103</v>
      </c>
      <c r="J53" s="27"/>
      <c r="K53" s="27"/>
      <c r="L53" s="49">
        <v>270</v>
      </c>
      <c r="M53" s="26" t="str">
        <f>"150,2415"</f>
        <v>150,2415</v>
      </c>
      <c r="N53" s="17" t="s">
        <v>335</v>
      </c>
    </row>
    <row r="54" spans="1:14" ht="12.75">
      <c r="A54" s="26" t="s">
        <v>936</v>
      </c>
      <c r="B54" s="17" t="s">
        <v>856</v>
      </c>
      <c r="C54" s="17" t="s">
        <v>857</v>
      </c>
      <c r="D54" s="17" t="s">
        <v>858</v>
      </c>
      <c r="E54" s="17" t="str">
        <f>"0,5547"</f>
        <v>0,5547</v>
      </c>
      <c r="F54" s="52" t="s">
        <v>1231</v>
      </c>
      <c r="G54" s="17" t="s">
        <v>1244</v>
      </c>
      <c r="H54" s="29" t="s">
        <v>77</v>
      </c>
      <c r="I54" s="29" t="s">
        <v>96</v>
      </c>
      <c r="J54" s="29" t="s">
        <v>247</v>
      </c>
      <c r="K54" s="27"/>
      <c r="L54" s="49">
        <v>262.5</v>
      </c>
      <c r="M54" s="26" t="str">
        <f>"145,6088"</f>
        <v>145,6088</v>
      </c>
      <c r="N54" s="17" t="s">
        <v>335</v>
      </c>
    </row>
    <row r="56" spans="1:13" ht="15.75">
      <c r="A56"/>
      <c r="B56" s="97" t="s">
        <v>279</v>
      </c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</row>
    <row r="57" spans="1:14" ht="12.75">
      <c r="A57" s="26" t="s">
        <v>933</v>
      </c>
      <c r="B57" s="17" t="s">
        <v>465</v>
      </c>
      <c r="C57" s="17" t="s">
        <v>466</v>
      </c>
      <c r="D57" s="17" t="s">
        <v>467</v>
      </c>
      <c r="E57" s="17" t="str">
        <f>"0,5366"</f>
        <v>0,5366</v>
      </c>
      <c r="F57" s="52" t="s">
        <v>162</v>
      </c>
      <c r="G57" s="17" t="s">
        <v>468</v>
      </c>
      <c r="H57" s="29" t="s">
        <v>106</v>
      </c>
      <c r="I57" s="29" t="s">
        <v>257</v>
      </c>
      <c r="J57" s="29" t="s">
        <v>306</v>
      </c>
      <c r="K57" s="27"/>
      <c r="L57" s="49">
        <v>330</v>
      </c>
      <c r="M57" s="26" t="str">
        <f>"177,0912"</f>
        <v>177,0912</v>
      </c>
      <c r="N57" s="17" t="s">
        <v>55</v>
      </c>
    </row>
    <row r="59" spans="2:3" ht="18">
      <c r="B59" s="19" t="s">
        <v>108</v>
      </c>
      <c r="C59" s="19"/>
    </row>
    <row r="60" spans="2:3" ht="15.75">
      <c r="B60" s="20" t="s">
        <v>109</v>
      </c>
      <c r="C60" s="20"/>
    </row>
    <row r="61" spans="2:3" ht="13.5">
      <c r="B61" s="22"/>
      <c r="C61" s="23" t="s">
        <v>209</v>
      </c>
    </row>
    <row r="62" spans="2:6" ht="13.5">
      <c r="B62" s="24" t="s">
        <v>111</v>
      </c>
      <c r="C62" s="24" t="s">
        <v>112</v>
      </c>
      <c r="D62" s="24" t="s">
        <v>113</v>
      </c>
      <c r="E62" s="24" t="s">
        <v>934</v>
      </c>
      <c r="F62" s="24" t="s">
        <v>115</v>
      </c>
    </row>
    <row r="63" spans="1:6" ht="12.75">
      <c r="A63" s="28" t="s">
        <v>933</v>
      </c>
      <c r="B63" s="21" t="s">
        <v>332</v>
      </c>
      <c r="C63" s="46" t="s">
        <v>110</v>
      </c>
      <c r="D63" s="46" t="s">
        <v>474</v>
      </c>
      <c r="E63" s="28" t="s">
        <v>23</v>
      </c>
      <c r="F63" s="28" t="s">
        <v>859</v>
      </c>
    </row>
    <row r="64" spans="1:6" ht="12.75">
      <c r="A64" s="28" t="s">
        <v>935</v>
      </c>
      <c r="B64" s="21" t="s">
        <v>809</v>
      </c>
      <c r="C64" s="46" t="s">
        <v>110</v>
      </c>
      <c r="D64" s="46" t="s">
        <v>116</v>
      </c>
      <c r="E64" s="28" t="s">
        <v>75</v>
      </c>
      <c r="F64" s="28" t="s">
        <v>860</v>
      </c>
    </row>
    <row r="65" spans="1:6" ht="12.75">
      <c r="A65" s="28" t="s">
        <v>936</v>
      </c>
      <c r="B65" s="21" t="s">
        <v>796</v>
      </c>
      <c r="C65" s="46" t="s">
        <v>110</v>
      </c>
      <c r="D65" s="46" t="s">
        <v>703</v>
      </c>
      <c r="E65" s="28" t="s">
        <v>145</v>
      </c>
      <c r="F65" s="28" t="s">
        <v>861</v>
      </c>
    </row>
    <row r="67" spans="2:3" ht="15.75">
      <c r="B67" s="20" t="s">
        <v>117</v>
      </c>
      <c r="C67" s="20"/>
    </row>
    <row r="68" spans="2:3" ht="13.5">
      <c r="B68" s="22"/>
      <c r="C68" s="23" t="s">
        <v>209</v>
      </c>
    </row>
    <row r="69" spans="2:6" ht="13.5">
      <c r="B69" s="24" t="s">
        <v>111</v>
      </c>
      <c r="C69" s="24" t="s">
        <v>112</v>
      </c>
      <c r="D69" s="24" t="s">
        <v>113</v>
      </c>
      <c r="E69" s="24" t="s">
        <v>934</v>
      </c>
      <c r="F69" s="24" t="s">
        <v>115</v>
      </c>
    </row>
    <row r="70" spans="1:6" ht="12.75">
      <c r="A70" s="28" t="s">
        <v>933</v>
      </c>
      <c r="B70" s="21" t="s">
        <v>828</v>
      </c>
      <c r="C70" s="46" t="s">
        <v>110</v>
      </c>
      <c r="D70" s="46" t="s">
        <v>129</v>
      </c>
      <c r="E70" s="28" t="s">
        <v>832</v>
      </c>
      <c r="F70" s="28" t="s">
        <v>862</v>
      </c>
    </row>
    <row r="71" spans="1:6" ht="12.75">
      <c r="A71" s="28" t="s">
        <v>935</v>
      </c>
      <c r="B71" s="21" t="s">
        <v>844</v>
      </c>
      <c r="C71" s="46" t="s">
        <v>110</v>
      </c>
      <c r="D71" s="46" t="s">
        <v>118</v>
      </c>
      <c r="E71" s="28" t="s">
        <v>832</v>
      </c>
      <c r="F71" s="28" t="s">
        <v>863</v>
      </c>
    </row>
    <row r="72" spans="1:6" ht="12.75">
      <c r="A72" s="28" t="s">
        <v>936</v>
      </c>
      <c r="B72" s="21" t="s">
        <v>834</v>
      </c>
      <c r="C72" s="46" t="s">
        <v>110</v>
      </c>
      <c r="D72" s="46" t="s">
        <v>129</v>
      </c>
      <c r="E72" s="28" t="s">
        <v>838</v>
      </c>
      <c r="F72" s="28" t="s">
        <v>864</v>
      </c>
    </row>
  </sheetData>
  <sheetProtection/>
  <mergeCells count="26">
    <mergeCell ref="B33:M33"/>
    <mergeCell ref="B39:M39"/>
    <mergeCell ref="B46:M46"/>
    <mergeCell ref="B51:M51"/>
    <mergeCell ref="B56:M56"/>
    <mergeCell ref="B1:R2"/>
    <mergeCell ref="B15:M15"/>
    <mergeCell ref="B18:M18"/>
    <mergeCell ref="B21:M21"/>
    <mergeCell ref="B24:M24"/>
    <mergeCell ref="B27:M27"/>
    <mergeCell ref="B30:M30"/>
    <mergeCell ref="L3:L4"/>
    <mergeCell ref="M3:M4"/>
    <mergeCell ref="N3:N4"/>
    <mergeCell ref="B5:M5"/>
    <mergeCell ref="B8:M8"/>
    <mergeCell ref="B11:M11"/>
    <mergeCell ref="B3:B4"/>
    <mergeCell ref="C3:C4"/>
    <mergeCell ref="D3:D4"/>
    <mergeCell ref="E3:E4"/>
    <mergeCell ref="F3:F4"/>
    <mergeCell ref="G3:G4"/>
    <mergeCell ref="H3:K3"/>
    <mergeCell ref="A3:A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39"/>
  <sheetViews>
    <sheetView workbookViewId="0" topLeftCell="A2">
      <selection activeCell="E11" sqref="E11"/>
    </sheetView>
  </sheetViews>
  <sheetFormatPr defaultColWidth="11.00390625" defaultRowHeight="12.75"/>
  <cols>
    <col min="1" max="1" width="3.25390625" style="0" customWidth="1"/>
    <col min="2" max="2" width="23.875" style="0" customWidth="1"/>
    <col min="3" max="3" width="24.375" style="0" customWidth="1"/>
    <col min="5" max="5" width="15.375" style="0" customWidth="1"/>
    <col min="6" max="6" width="24.125" style="0" customWidth="1"/>
    <col min="10" max="10" width="9.125" style="0" customWidth="1"/>
    <col min="12" max="12" width="9.125" style="0" customWidth="1"/>
    <col min="13" max="13" width="8.75390625" style="0" customWidth="1"/>
    <col min="14" max="14" width="12.625" style="0" customWidth="1"/>
    <col min="15" max="15" width="26.375" style="0" customWidth="1"/>
  </cols>
  <sheetData>
    <row r="1" spans="1:18" ht="57.75" customHeight="1">
      <c r="A1" s="115"/>
      <c r="B1" s="116" t="s">
        <v>1465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8"/>
      <c r="P1" s="122"/>
      <c r="Q1" s="110"/>
      <c r="R1" s="110"/>
    </row>
    <row r="2" spans="1:18" ht="30" thickBot="1">
      <c r="A2" s="115"/>
      <c r="B2" s="119" t="s">
        <v>1466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1"/>
      <c r="P2" s="122"/>
      <c r="Q2" s="110"/>
      <c r="R2" s="110"/>
    </row>
    <row r="3" spans="1:15" ht="13.5">
      <c r="A3" s="62"/>
      <c r="B3" s="124" t="s">
        <v>0</v>
      </c>
      <c r="C3" s="63" t="s">
        <v>1442</v>
      </c>
      <c r="D3" s="126" t="s">
        <v>1226</v>
      </c>
      <c r="E3" s="126" t="s">
        <v>2</v>
      </c>
      <c r="F3" s="126" t="s">
        <v>1443</v>
      </c>
      <c r="G3" s="128" t="s">
        <v>1444</v>
      </c>
      <c r="H3" s="129"/>
      <c r="I3" s="129"/>
      <c r="J3" s="130"/>
      <c r="K3" s="131" t="s">
        <v>1445</v>
      </c>
      <c r="L3" s="129"/>
      <c r="M3" s="129"/>
      <c r="N3" s="111" t="s">
        <v>1446</v>
      </c>
      <c r="O3" s="113" t="s">
        <v>10</v>
      </c>
    </row>
    <row r="4" spans="1:15" ht="15" thickBot="1">
      <c r="A4" s="62"/>
      <c r="B4" s="125"/>
      <c r="C4" s="64" t="s">
        <v>1447</v>
      </c>
      <c r="D4" s="127"/>
      <c r="E4" s="127"/>
      <c r="F4" s="127"/>
      <c r="G4" s="65" t="s">
        <v>933</v>
      </c>
      <c r="H4" s="65" t="s">
        <v>935</v>
      </c>
      <c r="I4" s="65" t="s">
        <v>936</v>
      </c>
      <c r="J4" s="65" t="s">
        <v>934</v>
      </c>
      <c r="K4" s="65" t="s">
        <v>990</v>
      </c>
      <c r="L4" s="65" t="s">
        <v>934</v>
      </c>
      <c r="M4" s="78" t="s">
        <v>1040</v>
      </c>
      <c r="N4" s="112"/>
      <c r="O4" s="114"/>
    </row>
    <row r="5" spans="2:18" ht="15.75">
      <c r="B5" s="123" t="s">
        <v>1449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</row>
    <row r="6" spans="2:18" ht="15.75">
      <c r="B6" s="123" t="s">
        <v>1123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</row>
    <row r="7" spans="1:15" ht="12.75">
      <c r="A7" s="61">
        <v>1</v>
      </c>
      <c r="B7" s="17" t="s">
        <v>566</v>
      </c>
      <c r="C7" s="66" t="s">
        <v>567</v>
      </c>
      <c r="D7" s="66" t="s">
        <v>134</v>
      </c>
      <c r="E7" s="66" t="s">
        <v>15</v>
      </c>
      <c r="F7" s="66" t="s">
        <v>569</v>
      </c>
      <c r="G7" s="67">
        <v>105</v>
      </c>
      <c r="H7" s="67">
        <v>110</v>
      </c>
      <c r="I7" s="68">
        <v>115</v>
      </c>
      <c r="J7" s="67">
        <v>110</v>
      </c>
      <c r="K7" s="67">
        <v>70</v>
      </c>
      <c r="L7" s="70">
        <v>20</v>
      </c>
      <c r="M7" s="69">
        <v>1400</v>
      </c>
      <c r="N7" s="71">
        <v>40</v>
      </c>
      <c r="O7" s="71" t="s">
        <v>1448</v>
      </c>
    </row>
    <row r="8" spans="2:18" ht="15.75">
      <c r="B8" s="123" t="s">
        <v>61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</row>
    <row r="9" spans="1:15" ht="12.75">
      <c r="A9" s="61">
        <v>1</v>
      </c>
      <c r="B9" s="17" t="s">
        <v>1450</v>
      </c>
      <c r="C9" s="66" t="s">
        <v>1451</v>
      </c>
      <c r="D9" s="66" t="s">
        <v>1467</v>
      </c>
      <c r="E9" s="66" t="s">
        <v>15</v>
      </c>
      <c r="F9" s="66" t="s">
        <v>1244</v>
      </c>
      <c r="G9" s="67">
        <v>140</v>
      </c>
      <c r="H9" s="67">
        <v>150</v>
      </c>
      <c r="I9" s="67">
        <v>155</v>
      </c>
      <c r="J9" s="67">
        <v>155</v>
      </c>
      <c r="K9" s="67">
        <v>90</v>
      </c>
      <c r="L9" s="70">
        <v>26</v>
      </c>
      <c r="M9" s="69">
        <v>2340</v>
      </c>
      <c r="N9" s="71">
        <v>40</v>
      </c>
      <c r="O9" s="71" t="s">
        <v>1243</v>
      </c>
    </row>
    <row r="10" spans="2:18" ht="15.75">
      <c r="B10" s="123" t="s">
        <v>87</v>
      </c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</row>
    <row r="11" spans="1:15" ht="12.75">
      <c r="A11" s="61">
        <v>1</v>
      </c>
      <c r="B11" s="17" t="s">
        <v>1019</v>
      </c>
      <c r="C11" s="66" t="s">
        <v>1020</v>
      </c>
      <c r="D11" s="66" t="s">
        <v>1468</v>
      </c>
      <c r="E11" s="66" t="s">
        <v>1452</v>
      </c>
      <c r="F11" s="66" t="s">
        <v>1244</v>
      </c>
      <c r="G11" s="67">
        <v>130</v>
      </c>
      <c r="H11" s="67">
        <v>140</v>
      </c>
      <c r="I11" s="67">
        <v>145</v>
      </c>
      <c r="J11" s="67">
        <v>145</v>
      </c>
      <c r="K11" s="67">
        <v>100</v>
      </c>
      <c r="L11" s="70">
        <v>21</v>
      </c>
      <c r="M11" s="69">
        <v>2100</v>
      </c>
      <c r="N11" s="71">
        <v>40</v>
      </c>
      <c r="O11" s="71" t="s">
        <v>450</v>
      </c>
    </row>
    <row r="12" spans="2:18" ht="15.75">
      <c r="B12" s="123" t="s">
        <v>93</v>
      </c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</row>
    <row r="13" spans="1:16" ht="12.75">
      <c r="A13" s="61">
        <v>1</v>
      </c>
      <c r="B13" s="17" t="s">
        <v>666</v>
      </c>
      <c r="C13" s="66" t="s">
        <v>667</v>
      </c>
      <c r="D13" s="66" t="s">
        <v>1469</v>
      </c>
      <c r="E13" s="66" t="s">
        <v>1330</v>
      </c>
      <c r="F13" s="66" t="s">
        <v>1244</v>
      </c>
      <c r="G13" s="67">
        <v>170</v>
      </c>
      <c r="H13" s="67">
        <v>172.5</v>
      </c>
      <c r="I13" s="67">
        <v>177.5</v>
      </c>
      <c r="J13" s="67">
        <v>177.5</v>
      </c>
      <c r="K13" s="67">
        <v>110</v>
      </c>
      <c r="L13" s="70">
        <v>18</v>
      </c>
      <c r="M13" s="69">
        <v>2200</v>
      </c>
      <c r="N13" s="71">
        <v>40</v>
      </c>
      <c r="O13" s="71" t="s">
        <v>1470</v>
      </c>
      <c r="P13" t="s">
        <v>209</v>
      </c>
    </row>
    <row r="14" spans="2:18" ht="15.75">
      <c r="B14" s="123" t="s">
        <v>1453</v>
      </c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</row>
    <row r="15" spans="2:18" ht="15.75">
      <c r="B15" s="123" t="s">
        <v>331</v>
      </c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</row>
    <row r="16" spans="1:15" ht="12.75">
      <c r="A16" s="61">
        <v>1</v>
      </c>
      <c r="B16" s="17" t="s">
        <v>1471</v>
      </c>
      <c r="C16" s="17" t="s">
        <v>1472</v>
      </c>
      <c r="D16" s="66" t="s">
        <v>1473</v>
      </c>
      <c r="E16" s="66" t="s">
        <v>1512</v>
      </c>
      <c r="F16" s="66" t="s">
        <v>1474</v>
      </c>
      <c r="G16" s="67">
        <v>45</v>
      </c>
      <c r="H16" s="68">
        <v>50</v>
      </c>
      <c r="I16" s="68">
        <v>50</v>
      </c>
      <c r="J16" s="67">
        <v>45</v>
      </c>
      <c r="K16" s="67">
        <v>30</v>
      </c>
      <c r="L16" s="70">
        <v>30</v>
      </c>
      <c r="M16" s="69">
        <v>900</v>
      </c>
      <c r="N16" s="71">
        <v>40</v>
      </c>
      <c r="O16" s="71" t="s">
        <v>1475</v>
      </c>
    </row>
    <row r="17" spans="1:18" ht="15.75">
      <c r="A17" s="61"/>
      <c r="B17" s="123" t="s">
        <v>1455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</row>
    <row r="18" spans="2:18" ht="15.75">
      <c r="B18" s="123" t="s">
        <v>1476</v>
      </c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</row>
    <row r="19" spans="1:15" ht="12.75">
      <c r="A19" s="61">
        <v>1</v>
      </c>
      <c r="B19" s="17" t="s">
        <v>601</v>
      </c>
      <c r="C19" s="66" t="s">
        <v>602</v>
      </c>
      <c r="D19" s="66" t="s">
        <v>136</v>
      </c>
      <c r="E19" s="52" t="s">
        <v>178</v>
      </c>
      <c r="F19" s="66" t="s">
        <v>604</v>
      </c>
      <c r="G19" s="80" t="s">
        <v>208</v>
      </c>
      <c r="H19" s="79" t="s">
        <v>208</v>
      </c>
      <c r="I19" s="80" t="s">
        <v>34</v>
      </c>
      <c r="J19" s="79" t="s">
        <v>208</v>
      </c>
      <c r="K19" s="67">
        <v>80</v>
      </c>
      <c r="L19" s="70">
        <v>24</v>
      </c>
      <c r="M19" s="69">
        <v>1920</v>
      </c>
      <c r="N19" s="71">
        <v>40</v>
      </c>
      <c r="O19" s="71" t="s">
        <v>175</v>
      </c>
    </row>
    <row r="20" spans="2:18" ht="15.75">
      <c r="B20" s="123" t="s">
        <v>1456</v>
      </c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</row>
    <row r="21" spans="1:15" ht="12.75">
      <c r="A21" s="61">
        <v>1</v>
      </c>
      <c r="B21" s="17" t="s">
        <v>402</v>
      </c>
      <c r="C21" s="66" t="s">
        <v>403</v>
      </c>
      <c r="D21" s="66" t="s">
        <v>1477</v>
      </c>
      <c r="E21" s="66" t="s">
        <v>1478</v>
      </c>
      <c r="F21" s="66" t="s">
        <v>1479</v>
      </c>
      <c r="G21" s="67">
        <v>145</v>
      </c>
      <c r="H21" s="67">
        <v>150</v>
      </c>
      <c r="I21" s="67"/>
      <c r="J21" s="67">
        <v>150</v>
      </c>
      <c r="K21" s="67">
        <v>100</v>
      </c>
      <c r="L21" s="70">
        <v>21</v>
      </c>
      <c r="M21" s="69">
        <v>2100</v>
      </c>
      <c r="N21" s="71">
        <v>40</v>
      </c>
      <c r="O21" s="71" t="s">
        <v>1052</v>
      </c>
    </row>
    <row r="22" spans="2:18" ht="15.75">
      <c r="B22" s="123" t="s">
        <v>1459</v>
      </c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</row>
    <row r="23" spans="1:15" ht="12.75">
      <c r="A23" s="61">
        <v>1</v>
      </c>
      <c r="B23" s="76" t="s">
        <v>1480</v>
      </c>
      <c r="C23" s="17" t="s">
        <v>1481</v>
      </c>
      <c r="D23" s="66" t="s">
        <v>172</v>
      </c>
      <c r="E23" s="66" t="s">
        <v>1330</v>
      </c>
      <c r="F23" s="66" t="s">
        <v>1482</v>
      </c>
      <c r="G23" s="67">
        <v>240</v>
      </c>
      <c r="H23" s="80" t="s">
        <v>96</v>
      </c>
      <c r="I23" s="67">
        <v>250</v>
      </c>
      <c r="J23" s="67">
        <v>250</v>
      </c>
      <c r="K23" s="67">
        <v>120</v>
      </c>
      <c r="L23" s="70">
        <v>24</v>
      </c>
      <c r="M23" s="69">
        <v>3240</v>
      </c>
      <c r="N23" s="71">
        <v>40</v>
      </c>
      <c r="O23" s="71" t="s">
        <v>1243</v>
      </c>
    </row>
    <row r="24" spans="2:18" ht="15.75">
      <c r="B24" s="123" t="s">
        <v>1460</v>
      </c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</row>
    <row r="25" spans="1:15" ht="12.75">
      <c r="A25" s="61">
        <v>1</v>
      </c>
      <c r="B25" s="17" t="s">
        <v>1483</v>
      </c>
      <c r="C25" s="66" t="s">
        <v>1484</v>
      </c>
      <c r="D25" s="66" t="s">
        <v>1485</v>
      </c>
      <c r="E25" s="66" t="s">
        <v>1478</v>
      </c>
      <c r="F25" s="66" t="s">
        <v>1454</v>
      </c>
      <c r="G25" s="67">
        <v>180</v>
      </c>
      <c r="H25" s="67">
        <v>190</v>
      </c>
      <c r="I25" s="67">
        <v>197.5</v>
      </c>
      <c r="J25" s="67">
        <v>197.5</v>
      </c>
      <c r="K25" s="67">
        <v>130</v>
      </c>
      <c r="L25" s="70">
        <v>17</v>
      </c>
      <c r="M25" s="69">
        <v>2210</v>
      </c>
      <c r="N25" s="71">
        <v>40</v>
      </c>
      <c r="O25" s="71" t="s">
        <v>1243</v>
      </c>
    </row>
    <row r="26" spans="2:18" ht="15.75">
      <c r="B26" s="123" t="s">
        <v>1461</v>
      </c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</row>
    <row r="27" spans="2:18" ht="15.75">
      <c r="B27" s="123" t="s">
        <v>1486</v>
      </c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</row>
    <row r="28" spans="1:15" ht="12.75">
      <c r="A28">
        <v>1</v>
      </c>
      <c r="B28" s="76" t="s">
        <v>1487</v>
      </c>
      <c r="C28" s="17" t="s">
        <v>1489</v>
      </c>
      <c r="D28" s="66" t="s">
        <v>1490</v>
      </c>
      <c r="E28" s="66" t="s">
        <v>1330</v>
      </c>
      <c r="F28" s="66" t="s">
        <v>1488</v>
      </c>
      <c r="G28" s="67">
        <v>257.5</v>
      </c>
      <c r="H28" s="67">
        <v>277.5</v>
      </c>
      <c r="I28" s="67">
        <v>282.5</v>
      </c>
      <c r="J28" s="67">
        <v>282.5</v>
      </c>
      <c r="K28" s="67">
        <v>180</v>
      </c>
      <c r="L28" s="70">
        <v>25</v>
      </c>
      <c r="M28" s="69">
        <v>4500</v>
      </c>
      <c r="N28" s="71">
        <v>40</v>
      </c>
      <c r="O28" s="71" t="s">
        <v>1243</v>
      </c>
    </row>
    <row r="29" spans="2:18" ht="15.75">
      <c r="B29" s="123" t="s">
        <v>1462</v>
      </c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</row>
    <row r="30" spans="2:18" ht="15.75">
      <c r="B30" s="123" t="s">
        <v>1456</v>
      </c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</row>
    <row r="31" spans="1:15" ht="12.75">
      <c r="A31" s="61">
        <v>1</v>
      </c>
      <c r="B31" s="17" t="s">
        <v>1457</v>
      </c>
      <c r="C31" s="66" t="s">
        <v>1458</v>
      </c>
      <c r="D31" s="66" t="s">
        <v>1491</v>
      </c>
      <c r="E31" s="66" t="s">
        <v>1330</v>
      </c>
      <c r="F31" s="66" t="s">
        <v>1244</v>
      </c>
      <c r="G31" s="67">
        <v>180</v>
      </c>
      <c r="H31" s="67">
        <v>190</v>
      </c>
      <c r="I31" s="68">
        <v>200</v>
      </c>
      <c r="J31" s="67">
        <v>190</v>
      </c>
      <c r="K31" s="67">
        <v>100</v>
      </c>
      <c r="L31" s="70">
        <v>30</v>
      </c>
      <c r="M31" s="69">
        <v>3000</v>
      </c>
      <c r="N31" s="71">
        <v>40</v>
      </c>
      <c r="O31" s="71" t="s">
        <v>1243</v>
      </c>
    </row>
    <row r="32" spans="1:15" ht="12.75">
      <c r="A32" s="81">
        <v>2</v>
      </c>
      <c r="B32" s="77" t="s">
        <v>1463</v>
      </c>
      <c r="C32" s="17" t="s">
        <v>1494</v>
      </c>
      <c r="D32" s="72" t="s">
        <v>1464</v>
      </c>
      <c r="E32" s="72" t="s">
        <v>1330</v>
      </c>
      <c r="F32" s="72" t="s">
        <v>1493</v>
      </c>
      <c r="G32" s="67">
        <v>185</v>
      </c>
      <c r="H32" s="75">
        <v>195</v>
      </c>
      <c r="I32" s="75">
        <v>195</v>
      </c>
      <c r="J32" s="67">
        <v>185</v>
      </c>
      <c r="K32" s="73">
        <v>100</v>
      </c>
      <c r="L32" s="74">
        <v>25</v>
      </c>
      <c r="M32" s="69">
        <v>2500</v>
      </c>
      <c r="N32" s="71">
        <v>36</v>
      </c>
      <c r="O32" s="71" t="s">
        <v>1243</v>
      </c>
    </row>
    <row r="33" spans="1:15" ht="12.75">
      <c r="A33" s="61">
        <v>1</v>
      </c>
      <c r="B33" s="77" t="s">
        <v>1463</v>
      </c>
      <c r="C33" s="17" t="s">
        <v>1492</v>
      </c>
      <c r="D33" s="72" t="s">
        <v>1464</v>
      </c>
      <c r="E33" s="72" t="s">
        <v>1330</v>
      </c>
      <c r="F33" s="72" t="s">
        <v>1493</v>
      </c>
      <c r="G33" s="67">
        <v>185</v>
      </c>
      <c r="H33" s="75">
        <v>195</v>
      </c>
      <c r="I33" s="75">
        <v>195</v>
      </c>
      <c r="J33" s="67">
        <v>185</v>
      </c>
      <c r="K33" s="73">
        <v>100</v>
      </c>
      <c r="L33" s="74">
        <v>25</v>
      </c>
      <c r="M33" s="69">
        <v>2500</v>
      </c>
      <c r="N33" s="71">
        <v>36</v>
      </c>
      <c r="O33" s="71" t="s">
        <v>1243</v>
      </c>
    </row>
    <row r="34" spans="2:18" ht="15.75">
      <c r="B34" s="123" t="s">
        <v>1495</v>
      </c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</row>
    <row r="35" spans="2:18" ht="15.75">
      <c r="B35" s="123" t="s">
        <v>331</v>
      </c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</row>
    <row r="36" spans="1:15" ht="12.75">
      <c r="A36" s="61">
        <v>1</v>
      </c>
      <c r="B36" s="17" t="s">
        <v>1215</v>
      </c>
      <c r="C36" s="17" t="s">
        <v>1216</v>
      </c>
      <c r="D36" s="66" t="s">
        <v>1217</v>
      </c>
      <c r="E36" s="66" t="s">
        <v>1497</v>
      </c>
      <c r="F36" s="66" t="s">
        <v>1244</v>
      </c>
      <c r="G36" s="67">
        <v>120</v>
      </c>
      <c r="H36" s="79" t="s">
        <v>196</v>
      </c>
      <c r="I36" s="82" t="s">
        <v>182</v>
      </c>
      <c r="J36" s="67">
        <v>132.5</v>
      </c>
      <c r="K36" s="67">
        <v>85</v>
      </c>
      <c r="L36" s="70">
        <v>17</v>
      </c>
      <c r="M36" s="69">
        <v>1445</v>
      </c>
      <c r="N36" s="71">
        <v>40</v>
      </c>
      <c r="O36" s="71" t="s">
        <v>1235</v>
      </c>
    </row>
    <row r="37" spans="1:18" ht="15.75">
      <c r="A37" s="61"/>
      <c r="B37" s="123" t="s">
        <v>1496</v>
      </c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</row>
    <row r="38" spans="2:18" ht="15.75">
      <c r="B38" s="123" t="s">
        <v>1476</v>
      </c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</row>
    <row r="39" spans="1:15" ht="12.75">
      <c r="A39" s="61">
        <v>1</v>
      </c>
      <c r="B39" s="17" t="s">
        <v>386</v>
      </c>
      <c r="C39" s="66" t="s">
        <v>387</v>
      </c>
      <c r="D39" s="66" t="s">
        <v>1498</v>
      </c>
      <c r="E39" s="52" t="s">
        <v>1330</v>
      </c>
      <c r="F39" s="66" t="s">
        <v>389</v>
      </c>
      <c r="G39" s="67">
        <v>200</v>
      </c>
      <c r="H39" s="79" t="s">
        <v>222</v>
      </c>
      <c r="I39" s="80" t="s">
        <v>82</v>
      </c>
      <c r="J39" s="79" t="s">
        <v>222</v>
      </c>
      <c r="K39" s="67">
        <v>130</v>
      </c>
      <c r="L39" s="70">
        <v>17</v>
      </c>
      <c r="M39" s="69">
        <v>2220</v>
      </c>
      <c r="N39" s="71">
        <v>40</v>
      </c>
      <c r="O39" s="71" t="s">
        <v>1243</v>
      </c>
    </row>
  </sheetData>
  <sheetProtection/>
  <mergeCells count="34">
    <mergeCell ref="B30:R30"/>
    <mergeCell ref="B12:R12"/>
    <mergeCell ref="B34:R34"/>
    <mergeCell ref="B35:R35"/>
    <mergeCell ref="B37:R37"/>
    <mergeCell ref="B38:R38"/>
    <mergeCell ref="B26:R26"/>
    <mergeCell ref="B27:R27"/>
    <mergeCell ref="B29:R29"/>
    <mergeCell ref="B22:R22"/>
    <mergeCell ref="B24:R24"/>
    <mergeCell ref="B15:R15"/>
    <mergeCell ref="B17:R17"/>
    <mergeCell ref="B18:R18"/>
    <mergeCell ref="B20:R20"/>
    <mergeCell ref="B10:R10"/>
    <mergeCell ref="B14:R14"/>
    <mergeCell ref="B5:R5"/>
    <mergeCell ref="B6:R6"/>
    <mergeCell ref="B8:R8"/>
    <mergeCell ref="R1:R2"/>
    <mergeCell ref="B3:B4"/>
    <mergeCell ref="D3:D4"/>
    <mergeCell ref="E3:E4"/>
    <mergeCell ref="F3:F4"/>
    <mergeCell ref="G3:J3"/>
    <mergeCell ref="K3:M3"/>
    <mergeCell ref="Q1:Q2"/>
    <mergeCell ref="N3:N4"/>
    <mergeCell ref="O3:O4"/>
    <mergeCell ref="A1:A2"/>
    <mergeCell ref="B1:O1"/>
    <mergeCell ref="B2:O2"/>
    <mergeCell ref="P1:P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9"/>
  <sheetViews>
    <sheetView workbookViewId="0" topLeftCell="A1">
      <selection activeCell="T5" sqref="T5"/>
    </sheetView>
  </sheetViews>
  <sheetFormatPr defaultColWidth="8.75390625" defaultRowHeight="12.75"/>
  <cols>
    <col min="1" max="1" width="8.375" style="28" customWidth="1"/>
    <col min="2" max="2" width="20.75390625" style="16" customWidth="1"/>
    <col min="3" max="3" width="27.375" style="16" customWidth="1"/>
    <col min="4" max="4" width="10.625" style="16" bestFit="1" customWidth="1"/>
    <col min="5" max="5" width="8.375" style="16" bestFit="1" customWidth="1"/>
    <col min="6" max="6" width="19.375" style="16" customWidth="1"/>
    <col min="7" max="7" width="25.875" style="16" customWidth="1"/>
    <col min="8" max="8" width="8.25390625" style="28" customWidth="1"/>
    <col min="9" max="9" width="8.875" style="28" customWidth="1"/>
    <col min="10" max="10" width="10.875" style="28" customWidth="1"/>
    <col min="11" max="11" width="9.625" style="28" bestFit="1" customWidth="1"/>
    <col min="12" max="12" width="22.375" style="16" customWidth="1"/>
    <col min="13" max="18" width="9.125" style="0" hidden="1" customWidth="1"/>
  </cols>
  <sheetData>
    <row r="1" spans="2:18" s="1" customFormat="1" ht="15" customHeight="1">
      <c r="B1" s="86" t="s">
        <v>1246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</row>
    <row r="2" spans="2:18" s="1" customFormat="1" ht="84.75" customHeight="1" thickBot="1">
      <c r="B2" s="88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</row>
    <row r="3" spans="1:12" s="4" customFormat="1" ht="12.75" customHeight="1">
      <c r="A3" s="98" t="s">
        <v>932</v>
      </c>
      <c r="B3" s="90" t="s">
        <v>0</v>
      </c>
      <c r="C3" s="92" t="s">
        <v>1</v>
      </c>
      <c r="D3" s="92" t="s">
        <v>1226</v>
      </c>
      <c r="E3" s="94" t="s">
        <v>11</v>
      </c>
      <c r="F3" s="94" t="s">
        <v>2</v>
      </c>
      <c r="G3" s="95" t="s">
        <v>3</v>
      </c>
      <c r="H3" s="98" t="s">
        <v>5</v>
      </c>
      <c r="I3" s="94"/>
      <c r="J3" s="90" t="s">
        <v>1040</v>
      </c>
      <c r="K3" s="94" t="s">
        <v>9</v>
      </c>
      <c r="L3" s="100" t="s">
        <v>10</v>
      </c>
    </row>
    <row r="4" spans="1:12" s="4" customFormat="1" ht="23.25" customHeight="1" thickBot="1">
      <c r="A4" s="99"/>
      <c r="B4" s="91"/>
      <c r="C4" s="93"/>
      <c r="D4" s="93"/>
      <c r="E4" s="93"/>
      <c r="F4" s="93"/>
      <c r="G4" s="96"/>
      <c r="H4" s="6" t="s">
        <v>990</v>
      </c>
      <c r="I4" s="7" t="s">
        <v>991</v>
      </c>
      <c r="J4" s="91"/>
      <c r="K4" s="93"/>
      <c r="L4" s="101"/>
    </row>
    <row r="5" spans="1:11" ht="15.75">
      <c r="A5"/>
      <c r="B5" s="104" t="s">
        <v>140</v>
      </c>
      <c r="C5" s="104"/>
      <c r="D5" s="104"/>
      <c r="E5" s="104"/>
      <c r="F5" s="104"/>
      <c r="G5" s="104"/>
      <c r="H5" s="104"/>
      <c r="I5" s="104"/>
      <c r="J5" s="104"/>
      <c r="K5" s="104"/>
    </row>
    <row r="6" spans="1:12" ht="12.75">
      <c r="A6" s="26" t="s">
        <v>933</v>
      </c>
      <c r="B6" s="17" t="s">
        <v>493</v>
      </c>
      <c r="C6" s="17" t="s">
        <v>494</v>
      </c>
      <c r="D6" s="17" t="s">
        <v>495</v>
      </c>
      <c r="E6" s="17" t="str">
        <f>"1,1195"</f>
        <v>1,1195</v>
      </c>
      <c r="F6" s="52" t="s">
        <v>496</v>
      </c>
      <c r="G6" s="17" t="s">
        <v>1247</v>
      </c>
      <c r="H6" s="26" t="s">
        <v>947</v>
      </c>
      <c r="I6" s="26" t="s">
        <v>1104</v>
      </c>
      <c r="J6" s="26">
        <v>1210</v>
      </c>
      <c r="K6" s="26" t="str">
        <f>"1354,5950"</f>
        <v>1354,5950</v>
      </c>
      <c r="L6" s="17" t="s">
        <v>497</v>
      </c>
    </row>
    <row r="8" spans="1:11" ht="15.75">
      <c r="A8"/>
      <c r="B8" s="97" t="s">
        <v>331</v>
      </c>
      <c r="C8" s="97"/>
      <c r="D8" s="97"/>
      <c r="E8" s="97"/>
      <c r="F8" s="97"/>
      <c r="G8" s="97"/>
      <c r="H8" s="97"/>
      <c r="I8" s="97"/>
      <c r="J8" s="97"/>
      <c r="K8" s="97"/>
    </row>
    <row r="9" spans="1:12" ht="12.75">
      <c r="A9" s="26" t="s">
        <v>933</v>
      </c>
      <c r="B9" s="17" t="s">
        <v>523</v>
      </c>
      <c r="C9" s="17" t="s">
        <v>524</v>
      </c>
      <c r="D9" s="17" t="s">
        <v>525</v>
      </c>
      <c r="E9" s="17" t="str">
        <f>"0,9956"</f>
        <v>0,9956</v>
      </c>
      <c r="F9" s="52" t="s">
        <v>178</v>
      </c>
      <c r="G9" s="17" t="s">
        <v>526</v>
      </c>
      <c r="H9" s="26" t="s">
        <v>948</v>
      </c>
      <c r="I9" s="26" t="s">
        <v>1059</v>
      </c>
      <c r="J9" s="26">
        <v>1290</v>
      </c>
      <c r="K9" s="26" t="str">
        <f>"1284,3240"</f>
        <v>1284,3240</v>
      </c>
      <c r="L9" s="17" t="s">
        <v>528</v>
      </c>
    </row>
    <row r="10" spans="1:12" ht="12.75">
      <c r="A10" s="26" t="s">
        <v>935</v>
      </c>
      <c r="B10" s="17" t="s">
        <v>1105</v>
      </c>
      <c r="C10" s="17" t="s">
        <v>1106</v>
      </c>
      <c r="D10" s="17" t="s">
        <v>1107</v>
      </c>
      <c r="E10" s="17" t="str">
        <f>"1,0263"</f>
        <v>1,0263</v>
      </c>
      <c r="F10" s="52" t="s">
        <v>178</v>
      </c>
      <c r="G10" s="17" t="s">
        <v>1248</v>
      </c>
      <c r="H10" s="26" t="s">
        <v>948</v>
      </c>
      <c r="I10" s="26" t="s">
        <v>1091</v>
      </c>
      <c r="J10" s="26">
        <v>810</v>
      </c>
      <c r="K10" s="26" t="str">
        <f>"831,3030"</f>
        <v>831,3030</v>
      </c>
      <c r="L10" s="17" t="s">
        <v>325</v>
      </c>
    </row>
    <row r="12" spans="1:11" ht="15.75">
      <c r="A12"/>
      <c r="B12" s="97" t="s">
        <v>158</v>
      </c>
      <c r="C12" s="97"/>
      <c r="D12" s="97"/>
      <c r="E12" s="97"/>
      <c r="F12" s="97"/>
      <c r="G12" s="97"/>
      <c r="H12" s="97"/>
      <c r="I12" s="97"/>
      <c r="J12" s="97"/>
      <c r="K12" s="97"/>
    </row>
    <row r="13" spans="1:12" ht="12.75">
      <c r="A13" s="26" t="s">
        <v>933</v>
      </c>
      <c r="B13" s="17" t="s">
        <v>1108</v>
      </c>
      <c r="C13" s="17" t="s">
        <v>1109</v>
      </c>
      <c r="D13" s="17" t="s">
        <v>1110</v>
      </c>
      <c r="E13" s="17" t="str">
        <f>"0,9156"</f>
        <v>0,9156</v>
      </c>
      <c r="F13" s="17" t="s">
        <v>15</v>
      </c>
      <c r="G13" s="17" t="s">
        <v>1111</v>
      </c>
      <c r="H13" s="26" t="s">
        <v>772</v>
      </c>
      <c r="I13" s="26" t="s">
        <v>1112</v>
      </c>
      <c r="J13" s="26">
        <v>1680</v>
      </c>
      <c r="K13" s="26" t="str">
        <f>"1538,2080"</f>
        <v>1538,2080</v>
      </c>
      <c r="L13" s="17" t="s">
        <v>1113</v>
      </c>
    </row>
    <row r="15" spans="1:11" ht="15.75">
      <c r="A15"/>
      <c r="B15" s="97" t="s">
        <v>158</v>
      </c>
      <c r="C15" s="97"/>
      <c r="D15" s="97"/>
      <c r="E15" s="97"/>
      <c r="F15" s="97"/>
      <c r="G15" s="97"/>
      <c r="H15" s="97"/>
      <c r="I15" s="97"/>
      <c r="J15" s="97"/>
      <c r="K15" s="97"/>
    </row>
    <row r="16" spans="1:12" ht="12.75">
      <c r="A16" s="26" t="s">
        <v>933</v>
      </c>
      <c r="B16" s="17" t="s">
        <v>1114</v>
      </c>
      <c r="C16" s="17" t="s">
        <v>1115</v>
      </c>
      <c r="D16" s="17" t="s">
        <v>1116</v>
      </c>
      <c r="E16" s="17" t="str">
        <f>"0,7808"</f>
        <v>0,7808</v>
      </c>
      <c r="F16" s="52" t="s">
        <v>168</v>
      </c>
      <c r="G16" s="17" t="s">
        <v>1247</v>
      </c>
      <c r="H16" s="26" t="s">
        <v>945</v>
      </c>
      <c r="I16" s="26" t="s">
        <v>137</v>
      </c>
      <c r="J16" s="26">
        <v>1625</v>
      </c>
      <c r="K16" s="26" t="str">
        <f>"1268,8000"</f>
        <v>1268,8000</v>
      </c>
      <c r="L16" s="17" t="s">
        <v>1117</v>
      </c>
    </row>
    <row r="18" spans="1:11" ht="15.75">
      <c r="A18"/>
      <c r="B18" s="97" t="s">
        <v>27</v>
      </c>
      <c r="C18" s="97"/>
      <c r="D18" s="97"/>
      <c r="E18" s="97"/>
      <c r="F18" s="97"/>
      <c r="G18" s="97"/>
      <c r="H18" s="97"/>
      <c r="I18" s="97"/>
      <c r="J18" s="97"/>
      <c r="K18" s="97"/>
    </row>
    <row r="19" spans="1:12" ht="12.75">
      <c r="A19" s="26" t="s">
        <v>933</v>
      </c>
      <c r="B19" s="17" t="s">
        <v>1118</v>
      </c>
      <c r="C19" s="17" t="s">
        <v>1119</v>
      </c>
      <c r="D19" s="17" t="s">
        <v>746</v>
      </c>
      <c r="E19" s="17" t="str">
        <f>"0,6983"</f>
        <v>0,6983</v>
      </c>
      <c r="F19" s="52" t="s">
        <v>168</v>
      </c>
      <c r="G19" s="17" t="s">
        <v>1247</v>
      </c>
      <c r="H19" s="26" t="s">
        <v>518</v>
      </c>
      <c r="I19" s="26" t="s">
        <v>137</v>
      </c>
      <c r="J19" s="26">
        <v>1875</v>
      </c>
      <c r="K19" s="26" t="str">
        <f>"1309,3125"</f>
        <v>1309,3125</v>
      </c>
      <c r="L19" s="17" t="s">
        <v>1117</v>
      </c>
    </row>
  </sheetData>
  <sheetProtection/>
  <mergeCells count="17">
    <mergeCell ref="B15:K15"/>
    <mergeCell ref="B18:K18"/>
    <mergeCell ref="B3:B4"/>
    <mergeCell ref="C3:C4"/>
    <mergeCell ref="D3:D4"/>
    <mergeCell ref="E3:E4"/>
    <mergeCell ref="F3:F4"/>
    <mergeCell ref="G3:G4"/>
    <mergeCell ref="H3:I3"/>
    <mergeCell ref="J3:J4"/>
    <mergeCell ref="A3:A4"/>
    <mergeCell ref="B1:R2"/>
    <mergeCell ref="L3:L4"/>
    <mergeCell ref="B5:K5"/>
    <mergeCell ref="B8:K8"/>
    <mergeCell ref="B12:K12"/>
    <mergeCell ref="K3:K4"/>
  </mergeCells>
  <printOptions/>
  <pageMargins left="0.7" right="0.7" top="0.75" bottom="0.75" header="0.3" footer="0.3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48"/>
  <sheetViews>
    <sheetView workbookViewId="0" topLeftCell="A3">
      <selection activeCell="F24" sqref="F24"/>
    </sheetView>
  </sheetViews>
  <sheetFormatPr defaultColWidth="8.75390625" defaultRowHeight="12.75"/>
  <cols>
    <col min="1" max="1" width="9.375" style="28" customWidth="1"/>
    <col min="2" max="2" width="20.25390625" style="16" customWidth="1"/>
    <col min="3" max="3" width="25.125" style="16" customWidth="1"/>
    <col min="4" max="4" width="10.625" style="16" bestFit="1" customWidth="1"/>
    <col min="5" max="5" width="9.25390625" style="16" customWidth="1"/>
    <col min="6" max="6" width="15.375" style="16" customWidth="1"/>
    <col min="7" max="7" width="34.375" style="16" customWidth="1"/>
    <col min="8" max="8" width="9.875" style="28" customWidth="1"/>
    <col min="9" max="9" width="11.125" style="28" customWidth="1"/>
    <col min="10" max="10" width="10.75390625" style="28" customWidth="1"/>
    <col min="11" max="11" width="9.625" style="28" bestFit="1" customWidth="1"/>
    <col min="12" max="12" width="18.75390625" style="16" customWidth="1"/>
    <col min="13" max="20" width="9.125" style="0" hidden="1" customWidth="1"/>
  </cols>
  <sheetData>
    <row r="1" spans="2:20" s="1" customFormat="1" ht="15" customHeight="1">
      <c r="B1" s="86" t="s">
        <v>1255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102"/>
    </row>
    <row r="2" spans="2:20" s="1" customFormat="1" ht="102" customHeight="1" thickBot="1">
      <c r="B2" s="88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103"/>
    </row>
    <row r="3" spans="1:12" s="4" customFormat="1" ht="12.75" customHeight="1">
      <c r="A3" s="98" t="s">
        <v>932</v>
      </c>
      <c r="B3" s="90" t="s">
        <v>0</v>
      </c>
      <c r="C3" s="92" t="s">
        <v>1</v>
      </c>
      <c r="D3" s="92" t="s">
        <v>1226</v>
      </c>
      <c r="E3" s="94" t="s">
        <v>11</v>
      </c>
      <c r="F3" s="94" t="s">
        <v>2</v>
      </c>
      <c r="G3" s="95" t="s">
        <v>1227</v>
      </c>
      <c r="H3" s="98" t="s">
        <v>5</v>
      </c>
      <c r="I3" s="94"/>
      <c r="J3" s="90" t="s">
        <v>1040</v>
      </c>
      <c r="K3" s="94" t="s">
        <v>9</v>
      </c>
      <c r="L3" s="100" t="s">
        <v>10</v>
      </c>
    </row>
    <row r="4" spans="1:12" s="4" customFormat="1" ht="23.25" customHeight="1" thickBot="1">
      <c r="A4" s="99"/>
      <c r="B4" s="91"/>
      <c r="C4" s="93"/>
      <c r="D4" s="93"/>
      <c r="E4" s="93"/>
      <c r="F4" s="93"/>
      <c r="G4" s="96"/>
      <c r="H4" s="6" t="s">
        <v>990</v>
      </c>
      <c r="I4" s="7" t="s">
        <v>991</v>
      </c>
      <c r="J4" s="91"/>
      <c r="K4" s="93"/>
      <c r="L4" s="101"/>
    </row>
    <row r="5" spans="1:11" ht="15.75">
      <c r="A5"/>
      <c r="B5" s="104" t="s">
        <v>140</v>
      </c>
      <c r="C5" s="104"/>
      <c r="D5" s="104"/>
      <c r="E5" s="104"/>
      <c r="F5" s="104"/>
      <c r="G5" s="104"/>
      <c r="H5" s="104"/>
      <c r="I5" s="104"/>
      <c r="J5" s="104"/>
      <c r="K5" s="104"/>
    </row>
    <row r="6" spans="1:12" ht="12.75">
      <c r="A6" s="26" t="s">
        <v>933</v>
      </c>
      <c r="B6" s="17" t="s">
        <v>992</v>
      </c>
      <c r="C6" s="17" t="s">
        <v>993</v>
      </c>
      <c r="D6" s="17" t="s">
        <v>994</v>
      </c>
      <c r="E6" s="17" t="str">
        <f>"1,1161"</f>
        <v>1,1161</v>
      </c>
      <c r="F6" s="52" t="s">
        <v>168</v>
      </c>
      <c r="G6" s="17" t="s">
        <v>1239</v>
      </c>
      <c r="H6" s="26" t="s">
        <v>171</v>
      </c>
      <c r="I6" s="26" t="s">
        <v>946</v>
      </c>
      <c r="J6" s="49">
        <v>1312.5</v>
      </c>
      <c r="K6" s="26" t="str">
        <f>"1464,8812"</f>
        <v>1464,8812</v>
      </c>
      <c r="L6" s="17" t="s">
        <v>55</v>
      </c>
    </row>
    <row r="8" spans="1:11" ht="15.75">
      <c r="A8"/>
      <c r="B8" s="97" t="s">
        <v>331</v>
      </c>
      <c r="C8" s="97"/>
      <c r="D8" s="97"/>
      <c r="E8" s="97"/>
      <c r="F8" s="97"/>
      <c r="G8" s="97"/>
      <c r="H8" s="97"/>
      <c r="I8" s="97"/>
      <c r="J8" s="97"/>
      <c r="K8" s="97"/>
    </row>
    <row r="9" spans="1:12" ht="12.75">
      <c r="A9" s="26" t="s">
        <v>933</v>
      </c>
      <c r="B9" s="17" t="s">
        <v>995</v>
      </c>
      <c r="C9" s="17" t="s">
        <v>996</v>
      </c>
      <c r="D9" s="17" t="s">
        <v>801</v>
      </c>
      <c r="E9" s="17" t="str">
        <f>"0,8860"</f>
        <v>0,8860</v>
      </c>
      <c r="F9" s="17" t="s">
        <v>15</v>
      </c>
      <c r="G9" s="17" t="s">
        <v>242</v>
      </c>
      <c r="H9" s="26" t="s">
        <v>146</v>
      </c>
      <c r="I9" s="26" t="s">
        <v>997</v>
      </c>
      <c r="J9" s="49">
        <v>2127.5</v>
      </c>
      <c r="K9" s="26" t="str">
        <f>"1885,0713"</f>
        <v>1885,0713</v>
      </c>
      <c r="L9" s="17" t="s">
        <v>55</v>
      </c>
    </row>
    <row r="11" spans="1:11" ht="15.75">
      <c r="A11"/>
      <c r="B11" s="97" t="s">
        <v>158</v>
      </c>
      <c r="C11" s="97"/>
      <c r="D11" s="97"/>
      <c r="E11" s="97"/>
      <c r="F11" s="97"/>
      <c r="G11" s="97"/>
      <c r="H11" s="97"/>
      <c r="I11" s="97"/>
      <c r="J11" s="97"/>
      <c r="K11" s="97"/>
    </row>
    <row r="12" spans="1:12" ht="12.75">
      <c r="A12" s="26" t="s">
        <v>933</v>
      </c>
      <c r="B12" s="17" t="s">
        <v>556</v>
      </c>
      <c r="C12" s="17" t="s">
        <v>998</v>
      </c>
      <c r="D12" s="17" t="s">
        <v>558</v>
      </c>
      <c r="E12" s="17" t="str">
        <f>"0,7531"</f>
        <v>0,7531</v>
      </c>
      <c r="F12" s="17" t="s">
        <v>15</v>
      </c>
      <c r="G12" s="17" t="s">
        <v>1239</v>
      </c>
      <c r="H12" s="26" t="s">
        <v>527</v>
      </c>
      <c r="I12" s="26" t="s">
        <v>999</v>
      </c>
      <c r="J12" s="49">
        <v>810</v>
      </c>
      <c r="K12" s="26" t="str">
        <f>"849,8017"</f>
        <v>849,8017</v>
      </c>
      <c r="L12" s="17" t="s">
        <v>559</v>
      </c>
    </row>
    <row r="14" spans="1:11" ht="15.75">
      <c r="A14"/>
      <c r="B14" s="97" t="s">
        <v>27</v>
      </c>
      <c r="C14" s="97"/>
      <c r="D14" s="97"/>
      <c r="E14" s="97"/>
      <c r="F14" s="97"/>
      <c r="G14" s="97"/>
      <c r="H14" s="97"/>
      <c r="I14" s="97"/>
      <c r="J14" s="97"/>
      <c r="K14" s="97"/>
    </row>
    <row r="15" spans="1:12" ht="12.75">
      <c r="A15" s="26" t="s">
        <v>933</v>
      </c>
      <c r="B15" s="17" t="s">
        <v>1041</v>
      </c>
      <c r="C15" s="17" t="s">
        <v>1000</v>
      </c>
      <c r="D15" s="17" t="s">
        <v>1001</v>
      </c>
      <c r="E15" s="17" t="str">
        <f>"0,6920"</f>
        <v>0,6920</v>
      </c>
      <c r="F15" s="52" t="s">
        <v>168</v>
      </c>
      <c r="G15" s="17" t="s">
        <v>1239</v>
      </c>
      <c r="H15" s="26" t="s">
        <v>135</v>
      </c>
      <c r="I15" s="26" t="s">
        <v>1002</v>
      </c>
      <c r="J15" s="49">
        <v>1725</v>
      </c>
      <c r="K15" s="26" t="str">
        <f>"1193,6138"</f>
        <v>1193,6138</v>
      </c>
      <c r="L15" s="17" t="s">
        <v>555</v>
      </c>
    </row>
    <row r="16" spans="1:12" ht="12.75">
      <c r="A16" s="26" t="s">
        <v>933</v>
      </c>
      <c r="B16" s="17" t="s">
        <v>1003</v>
      </c>
      <c r="C16" s="17" t="s">
        <v>1004</v>
      </c>
      <c r="D16" s="17" t="s">
        <v>1005</v>
      </c>
      <c r="E16" s="17" t="str">
        <f>"0,7348"</f>
        <v>0,7348</v>
      </c>
      <c r="F16" s="17" t="s">
        <v>15</v>
      </c>
      <c r="G16" s="17" t="s">
        <v>59</v>
      </c>
      <c r="H16" s="26" t="s">
        <v>134</v>
      </c>
      <c r="I16" s="26" t="s">
        <v>1006</v>
      </c>
      <c r="J16" s="49">
        <v>2030</v>
      </c>
      <c r="K16" s="26" t="str">
        <f>"1685,6724"</f>
        <v>1685,6724</v>
      </c>
      <c r="L16" s="17" t="s">
        <v>55</v>
      </c>
    </row>
    <row r="18" spans="1:11" ht="15.75">
      <c r="A18"/>
      <c r="B18" s="97" t="s">
        <v>12</v>
      </c>
      <c r="C18" s="97"/>
      <c r="D18" s="97"/>
      <c r="E18" s="97"/>
      <c r="F18" s="97"/>
      <c r="G18" s="97"/>
      <c r="H18" s="97"/>
      <c r="I18" s="97"/>
      <c r="J18" s="97"/>
      <c r="K18" s="97"/>
    </row>
    <row r="19" spans="1:12" ht="12.75">
      <c r="A19" s="26" t="s">
        <v>933</v>
      </c>
      <c r="B19" s="17" t="s">
        <v>596</v>
      </c>
      <c r="C19" s="17" t="s">
        <v>597</v>
      </c>
      <c r="D19" s="17" t="s">
        <v>598</v>
      </c>
      <c r="E19" s="17" t="str">
        <f>"0,6606"</f>
        <v>0,6606</v>
      </c>
      <c r="F19" s="17" t="s">
        <v>15</v>
      </c>
      <c r="G19" s="17" t="s">
        <v>441</v>
      </c>
      <c r="H19" s="26" t="s">
        <v>136</v>
      </c>
      <c r="I19" s="26" t="s">
        <v>506</v>
      </c>
      <c r="J19" s="49">
        <v>3200</v>
      </c>
      <c r="K19" s="26" t="str">
        <f>"2113,9200"</f>
        <v>2113,9200</v>
      </c>
      <c r="L19" s="17" t="s">
        <v>55</v>
      </c>
    </row>
    <row r="20" spans="1:12" ht="12.75">
      <c r="A20" s="26" t="s">
        <v>935</v>
      </c>
      <c r="B20" s="17" t="s">
        <v>599</v>
      </c>
      <c r="C20" s="17" t="s">
        <v>600</v>
      </c>
      <c r="D20" s="17" t="s">
        <v>598</v>
      </c>
      <c r="E20" s="17" t="str">
        <f>"0,6606"</f>
        <v>0,6606</v>
      </c>
      <c r="F20" s="17" t="s">
        <v>15</v>
      </c>
      <c r="G20" s="17" t="s">
        <v>1239</v>
      </c>
      <c r="H20" s="26" t="s">
        <v>136</v>
      </c>
      <c r="I20" s="26" t="s">
        <v>948</v>
      </c>
      <c r="J20" s="49">
        <v>2400</v>
      </c>
      <c r="K20" s="26" t="str">
        <f>"1585,4400"</f>
        <v>1585,4400</v>
      </c>
      <c r="L20" s="17" t="s">
        <v>55</v>
      </c>
    </row>
    <row r="22" spans="1:11" ht="15.75">
      <c r="A22"/>
      <c r="B22" s="97" t="s">
        <v>61</v>
      </c>
      <c r="C22" s="97"/>
      <c r="D22" s="97"/>
      <c r="E22" s="97"/>
      <c r="F22" s="97"/>
      <c r="G22" s="97"/>
      <c r="H22" s="97"/>
      <c r="I22" s="97"/>
      <c r="J22" s="97"/>
      <c r="K22" s="97"/>
    </row>
    <row r="23" spans="1:12" ht="12.75">
      <c r="A23" s="26" t="s">
        <v>933</v>
      </c>
      <c r="B23" s="17" t="s">
        <v>623</v>
      </c>
      <c r="C23" s="17" t="s">
        <v>624</v>
      </c>
      <c r="D23" s="17" t="s">
        <v>625</v>
      </c>
      <c r="E23" s="17" t="str">
        <f>"0,6238"</f>
        <v>0,6238</v>
      </c>
      <c r="F23" s="17" t="s">
        <v>15</v>
      </c>
      <c r="G23" s="17" t="s">
        <v>626</v>
      </c>
      <c r="H23" s="26" t="s">
        <v>183</v>
      </c>
      <c r="I23" s="26" t="s">
        <v>1006</v>
      </c>
      <c r="J23" s="49">
        <v>2537.5</v>
      </c>
      <c r="K23" s="26" t="str">
        <f>"1583,0193"</f>
        <v>1583,0193</v>
      </c>
      <c r="L23" s="17" t="s">
        <v>55</v>
      </c>
    </row>
    <row r="24" spans="1:12" ht="12.75">
      <c r="A24" s="26" t="s">
        <v>935</v>
      </c>
      <c r="B24" s="17" t="s">
        <v>1007</v>
      </c>
      <c r="C24" s="17" t="s">
        <v>1008</v>
      </c>
      <c r="D24" s="17" t="s">
        <v>1009</v>
      </c>
      <c r="E24" s="17" t="str">
        <f>"0,6345"</f>
        <v>0,6345</v>
      </c>
      <c r="F24" s="52" t="s">
        <v>178</v>
      </c>
      <c r="G24" s="17" t="s">
        <v>1239</v>
      </c>
      <c r="H24" s="26" t="s">
        <v>156</v>
      </c>
      <c r="I24" s="26" t="s">
        <v>1010</v>
      </c>
      <c r="J24" s="49">
        <v>2210</v>
      </c>
      <c r="K24" s="26" t="str">
        <f>"1402,1345"</f>
        <v>1402,1345</v>
      </c>
      <c r="L24" s="17" t="s">
        <v>325</v>
      </c>
    </row>
    <row r="25" spans="1:12" ht="12.75">
      <c r="A25" s="26" t="s">
        <v>936</v>
      </c>
      <c r="B25" s="17" t="s">
        <v>1011</v>
      </c>
      <c r="C25" s="17" t="s">
        <v>956</v>
      </c>
      <c r="D25" s="17" t="s">
        <v>881</v>
      </c>
      <c r="E25" s="17" t="str">
        <f>"0,6161"</f>
        <v>0,6161</v>
      </c>
      <c r="F25" s="17" t="s">
        <v>15</v>
      </c>
      <c r="G25" s="17" t="s">
        <v>957</v>
      </c>
      <c r="H25" s="26" t="s">
        <v>169</v>
      </c>
      <c r="I25" s="26" t="s">
        <v>1012</v>
      </c>
      <c r="J25" s="49">
        <v>1890</v>
      </c>
      <c r="K25" s="26" t="str">
        <f>"1164,3345"</f>
        <v>1164,3345</v>
      </c>
      <c r="L25" s="17" t="s">
        <v>55</v>
      </c>
    </row>
    <row r="26" spans="1:12" ht="12.75">
      <c r="A26" s="26"/>
      <c r="B26" s="17" t="s">
        <v>198</v>
      </c>
      <c r="C26" s="17" t="s">
        <v>199</v>
      </c>
      <c r="D26" s="17" t="s">
        <v>200</v>
      </c>
      <c r="E26" s="17" t="str">
        <f>"0,6326"</f>
        <v>0,6326</v>
      </c>
      <c r="F26" s="17" t="s">
        <v>15</v>
      </c>
      <c r="G26" s="17" t="s">
        <v>201</v>
      </c>
      <c r="H26" s="26" t="s">
        <v>156</v>
      </c>
      <c r="I26" s="26" t="s">
        <v>1013</v>
      </c>
      <c r="J26" s="49">
        <v>0</v>
      </c>
      <c r="K26" s="26" t="str">
        <f>"0,0000"</f>
        <v>0,0000</v>
      </c>
      <c r="L26" s="17" t="s">
        <v>204</v>
      </c>
    </row>
    <row r="27" spans="1:12" ht="12.75">
      <c r="A27" s="26" t="s">
        <v>933</v>
      </c>
      <c r="B27" s="17" t="s">
        <v>1014</v>
      </c>
      <c r="C27" s="17" t="s">
        <v>1015</v>
      </c>
      <c r="D27" s="17" t="s">
        <v>1016</v>
      </c>
      <c r="E27" s="17" t="str">
        <f>"0,6153"</f>
        <v>0,6153</v>
      </c>
      <c r="F27" s="17" t="s">
        <v>15</v>
      </c>
      <c r="G27" s="17" t="s">
        <v>1017</v>
      </c>
      <c r="H27" s="26" t="s">
        <v>169</v>
      </c>
      <c r="I27" s="26" t="s">
        <v>1018</v>
      </c>
      <c r="J27" s="49">
        <v>1170</v>
      </c>
      <c r="K27" s="26" t="str">
        <f>"801,2498"</f>
        <v>801,2498</v>
      </c>
      <c r="L27" s="17" t="s">
        <v>204</v>
      </c>
    </row>
    <row r="29" spans="1:11" ht="15.75">
      <c r="A29"/>
      <c r="B29" s="97" t="s">
        <v>87</v>
      </c>
      <c r="C29" s="97"/>
      <c r="D29" s="97"/>
      <c r="E29" s="97"/>
      <c r="F29" s="97"/>
      <c r="G29" s="97"/>
      <c r="H29" s="97"/>
      <c r="I29" s="97"/>
      <c r="J29" s="97"/>
      <c r="K29" s="97"/>
    </row>
    <row r="30" spans="1:12" ht="12.75">
      <c r="A30" s="26" t="s">
        <v>933</v>
      </c>
      <c r="B30" s="17" t="s">
        <v>1019</v>
      </c>
      <c r="C30" s="17" t="s">
        <v>1020</v>
      </c>
      <c r="D30" s="17" t="s">
        <v>1021</v>
      </c>
      <c r="E30" s="17" t="str">
        <f>"0,5974"</f>
        <v>0,5974</v>
      </c>
      <c r="F30" s="52" t="s">
        <v>168</v>
      </c>
      <c r="G30" s="17" t="s">
        <v>1239</v>
      </c>
      <c r="H30" s="26" t="s">
        <v>164</v>
      </c>
      <c r="I30" s="26" t="s">
        <v>1006</v>
      </c>
      <c r="J30" s="49">
        <v>2755</v>
      </c>
      <c r="K30" s="26" t="str">
        <f>"1645,8370"</f>
        <v>1645,8370</v>
      </c>
      <c r="L30" s="17" t="s">
        <v>1022</v>
      </c>
    </row>
    <row r="32" spans="1:11" ht="15.75">
      <c r="A32"/>
      <c r="B32" s="97" t="s">
        <v>93</v>
      </c>
      <c r="C32" s="97"/>
      <c r="D32" s="97"/>
      <c r="E32" s="97"/>
      <c r="F32" s="97"/>
      <c r="G32" s="97"/>
      <c r="H32" s="97"/>
      <c r="I32" s="97"/>
      <c r="J32" s="97"/>
      <c r="K32" s="97"/>
    </row>
    <row r="33" spans="1:12" ht="12.75">
      <c r="A33" s="26" t="s">
        <v>933</v>
      </c>
      <c r="B33" s="17" t="s">
        <v>1023</v>
      </c>
      <c r="C33" s="17" t="s">
        <v>1024</v>
      </c>
      <c r="D33" s="17" t="s">
        <v>1025</v>
      </c>
      <c r="E33" s="17" t="str">
        <f>"0,5767"</f>
        <v>0,5767</v>
      </c>
      <c r="F33" s="17" t="s">
        <v>15</v>
      </c>
      <c r="G33" s="17" t="s">
        <v>1026</v>
      </c>
      <c r="H33" s="26" t="s">
        <v>157</v>
      </c>
      <c r="I33" s="26" t="s">
        <v>1027</v>
      </c>
      <c r="J33" s="49">
        <v>2050</v>
      </c>
      <c r="K33" s="26" t="str">
        <f>"1335,9255"</f>
        <v>1335,9255</v>
      </c>
      <c r="L33" s="17" t="s">
        <v>55</v>
      </c>
    </row>
    <row r="35" spans="1:11" ht="15.75">
      <c r="A35"/>
      <c r="B35" s="97" t="s">
        <v>98</v>
      </c>
      <c r="C35" s="97"/>
      <c r="D35" s="97"/>
      <c r="E35" s="97"/>
      <c r="F35" s="97"/>
      <c r="G35" s="97"/>
      <c r="H35" s="97"/>
      <c r="I35" s="97"/>
      <c r="J35" s="97"/>
      <c r="K35" s="97"/>
    </row>
    <row r="36" spans="1:12" ht="12.75">
      <c r="A36" s="26" t="s">
        <v>933</v>
      </c>
      <c r="B36" s="17" t="s">
        <v>450</v>
      </c>
      <c r="C36" s="17" t="s">
        <v>451</v>
      </c>
      <c r="D36" s="17" t="s">
        <v>452</v>
      </c>
      <c r="E36" s="17" t="str">
        <f>"0,5592"</f>
        <v>0,5592</v>
      </c>
      <c r="F36" s="52" t="s">
        <v>168</v>
      </c>
      <c r="G36" s="17" t="s">
        <v>1239</v>
      </c>
      <c r="H36" s="26" t="s">
        <v>44</v>
      </c>
      <c r="I36" s="26" t="s">
        <v>1028</v>
      </c>
      <c r="J36" s="49">
        <v>1575</v>
      </c>
      <c r="K36" s="26" t="str">
        <f>"880,8187"</f>
        <v>880,8187</v>
      </c>
      <c r="L36" s="17" t="s">
        <v>55</v>
      </c>
    </row>
    <row r="37" spans="1:12" ht="12.75">
      <c r="A37" s="26" t="s">
        <v>933</v>
      </c>
      <c r="B37" s="17" t="s">
        <v>450</v>
      </c>
      <c r="C37" s="17" t="s">
        <v>1029</v>
      </c>
      <c r="D37" s="17" t="s">
        <v>452</v>
      </c>
      <c r="E37" s="17" t="str">
        <f>"0,5592"</f>
        <v>0,5592</v>
      </c>
      <c r="F37" s="52" t="s">
        <v>168</v>
      </c>
      <c r="G37" s="17" t="s">
        <v>1239</v>
      </c>
      <c r="H37" s="26" t="s">
        <v>44</v>
      </c>
      <c r="I37" s="26" t="s">
        <v>1028</v>
      </c>
      <c r="J37" s="49">
        <v>1575</v>
      </c>
      <c r="K37" s="26" t="str">
        <f>"918,6940"</f>
        <v>918,6940</v>
      </c>
      <c r="L37" s="17" t="s">
        <v>55</v>
      </c>
    </row>
    <row r="39" spans="1:11" ht="15.75">
      <c r="A39"/>
      <c r="B39" s="97" t="s">
        <v>279</v>
      </c>
      <c r="C39" s="97"/>
      <c r="D39" s="97"/>
      <c r="E39" s="97"/>
      <c r="F39" s="97"/>
      <c r="G39" s="97"/>
      <c r="H39" s="97"/>
      <c r="I39" s="97"/>
      <c r="J39" s="97"/>
      <c r="K39" s="97"/>
    </row>
    <row r="40" spans="1:12" ht="12.75">
      <c r="A40" s="26" t="s">
        <v>933</v>
      </c>
      <c r="B40" s="17" t="s">
        <v>1030</v>
      </c>
      <c r="C40" s="17" t="s">
        <v>1031</v>
      </c>
      <c r="D40" s="17" t="s">
        <v>1032</v>
      </c>
      <c r="E40" s="17" t="str">
        <f>"0,5444"</f>
        <v>0,5444</v>
      </c>
      <c r="F40" s="52" t="s">
        <v>178</v>
      </c>
      <c r="G40" s="17" t="s">
        <v>1239</v>
      </c>
      <c r="H40" s="26" t="s">
        <v>196</v>
      </c>
      <c r="I40" s="26" t="s">
        <v>1033</v>
      </c>
      <c r="J40" s="49">
        <v>1147.5</v>
      </c>
      <c r="K40" s="26" t="str">
        <f>"739,6029"</f>
        <v>739,6029</v>
      </c>
      <c r="L40" s="17" t="s">
        <v>325</v>
      </c>
    </row>
    <row r="42" spans="2:3" ht="18">
      <c r="B42" s="19" t="s">
        <v>108</v>
      </c>
      <c r="C42" s="19"/>
    </row>
    <row r="43" spans="2:3" ht="15.75">
      <c r="B43" s="20" t="s">
        <v>117</v>
      </c>
      <c r="C43" s="20"/>
    </row>
    <row r="44" spans="2:3" ht="13.5">
      <c r="B44" s="22"/>
      <c r="C44" s="23" t="s">
        <v>209</v>
      </c>
    </row>
    <row r="45" spans="2:6" ht="13.5">
      <c r="B45" s="24" t="s">
        <v>111</v>
      </c>
      <c r="C45" s="24" t="s">
        <v>112</v>
      </c>
      <c r="D45" s="24" t="s">
        <v>113</v>
      </c>
      <c r="E45" s="24" t="s">
        <v>1040</v>
      </c>
      <c r="F45" s="24" t="s">
        <v>115</v>
      </c>
    </row>
    <row r="46" spans="1:6" ht="12.75">
      <c r="A46" s="28" t="s">
        <v>933</v>
      </c>
      <c r="B46" s="21" t="s">
        <v>596</v>
      </c>
      <c r="C46" s="46" t="s">
        <v>110</v>
      </c>
      <c r="D46" s="46" t="s">
        <v>116</v>
      </c>
      <c r="E46" s="46" t="s">
        <v>1034</v>
      </c>
      <c r="F46" s="28" t="s">
        <v>1035</v>
      </c>
    </row>
    <row r="47" spans="1:6" ht="12.75">
      <c r="A47" s="28" t="s">
        <v>935</v>
      </c>
      <c r="B47" s="21" t="s">
        <v>995</v>
      </c>
      <c r="C47" s="46" t="s">
        <v>110</v>
      </c>
      <c r="D47" s="46" t="s">
        <v>474</v>
      </c>
      <c r="E47" s="46" t="s">
        <v>1036</v>
      </c>
      <c r="F47" s="28" t="s">
        <v>1037</v>
      </c>
    </row>
    <row r="48" spans="1:6" ht="12.75">
      <c r="A48" s="28" t="s">
        <v>936</v>
      </c>
      <c r="B48" s="21" t="s">
        <v>1019</v>
      </c>
      <c r="C48" s="46" t="s">
        <v>110</v>
      </c>
      <c r="D48" s="46" t="s">
        <v>129</v>
      </c>
      <c r="E48" s="46" t="s">
        <v>1038</v>
      </c>
      <c r="F48" s="28" t="s">
        <v>1039</v>
      </c>
    </row>
  </sheetData>
  <sheetProtection/>
  <mergeCells count="22">
    <mergeCell ref="B1:T2"/>
    <mergeCell ref="L3:L4"/>
    <mergeCell ref="B5:K5"/>
    <mergeCell ref="B8:K8"/>
    <mergeCell ref="B11:K11"/>
    <mergeCell ref="B14:K14"/>
    <mergeCell ref="J3:J4"/>
    <mergeCell ref="K3:K4"/>
    <mergeCell ref="A3:A4"/>
    <mergeCell ref="B22:K22"/>
    <mergeCell ref="B29:K29"/>
    <mergeCell ref="B32:K32"/>
    <mergeCell ref="B3:B4"/>
    <mergeCell ref="C3:C4"/>
    <mergeCell ref="D3:D4"/>
    <mergeCell ref="E3:E4"/>
    <mergeCell ref="B35:K35"/>
    <mergeCell ref="B39:K39"/>
    <mergeCell ref="B18:K18"/>
    <mergeCell ref="F3:F4"/>
    <mergeCell ref="G3:G4"/>
    <mergeCell ref="H3:I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47"/>
  <sheetViews>
    <sheetView workbookViewId="0" topLeftCell="A3">
      <selection activeCell="B18" sqref="B18:K18"/>
    </sheetView>
  </sheetViews>
  <sheetFormatPr defaultColWidth="8.75390625" defaultRowHeight="12.75"/>
  <cols>
    <col min="1" max="1" width="7.25390625" style="28" customWidth="1"/>
    <col min="2" max="2" width="26.00390625" style="16" bestFit="1" customWidth="1"/>
    <col min="3" max="3" width="26.875" style="16" bestFit="1" customWidth="1"/>
    <col min="4" max="4" width="10.625" style="16" bestFit="1" customWidth="1"/>
    <col min="5" max="5" width="9.375" style="16" customWidth="1"/>
    <col min="6" max="6" width="19.875" style="16" customWidth="1"/>
    <col min="7" max="7" width="33.625" style="16" bestFit="1" customWidth="1"/>
    <col min="8" max="8" width="7.25390625" style="28" customWidth="1"/>
    <col min="9" max="9" width="10.375" style="28" customWidth="1"/>
    <col min="10" max="10" width="10.25390625" style="28" customWidth="1"/>
    <col min="11" max="11" width="9.625" style="28" bestFit="1" customWidth="1"/>
    <col min="12" max="12" width="19.75390625" style="16" customWidth="1"/>
    <col min="13" max="18" width="9.125" style="0" hidden="1" customWidth="1"/>
  </cols>
  <sheetData>
    <row r="1" spans="2:18" s="1" customFormat="1" ht="15" customHeight="1">
      <c r="B1" s="86" t="s">
        <v>1249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102"/>
    </row>
    <row r="2" spans="2:18" s="1" customFormat="1" ht="97.5" customHeight="1" thickBot="1">
      <c r="B2" s="88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103"/>
    </row>
    <row r="3" spans="1:12" s="4" customFormat="1" ht="12.75" customHeight="1">
      <c r="A3" s="98" t="s">
        <v>932</v>
      </c>
      <c r="B3" s="90" t="s">
        <v>0</v>
      </c>
      <c r="C3" s="92" t="s">
        <v>1</v>
      </c>
      <c r="D3" s="92" t="s">
        <v>1226</v>
      </c>
      <c r="E3" s="94" t="s">
        <v>11</v>
      </c>
      <c r="F3" s="94" t="s">
        <v>2</v>
      </c>
      <c r="G3" s="95" t="s">
        <v>1227</v>
      </c>
      <c r="H3" s="98" t="s">
        <v>5</v>
      </c>
      <c r="I3" s="94"/>
      <c r="J3" s="90" t="s">
        <v>1040</v>
      </c>
      <c r="K3" s="94" t="s">
        <v>9</v>
      </c>
      <c r="L3" s="100" t="s">
        <v>10</v>
      </c>
    </row>
    <row r="4" spans="1:12" s="4" customFormat="1" ht="23.25" customHeight="1" thickBot="1">
      <c r="A4" s="99"/>
      <c r="B4" s="91"/>
      <c r="C4" s="93"/>
      <c r="D4" s="93"/>
      <c r="E4" s="93"/>
      <c r="F4" s="93"/>
      <c r="G4" s="96"/>
      <c r="H4" s="6" t="s">
        <v>990</v>
      </c>
      <c r="I4" s="7" t="s">
        <v>991</v>
      </c>
      <c r="J4" s="91"/>
      <c r="K4" s="93"/>
      <c r="L4" s="101"/>
    </row>
    <row r="5" spans="1:11" ht="15.75">
      <c r="A5"/>
      <c r="B5" s="104" t="s">
        <v>61</v>
      </c>
      <c r="C5" s="104"/>
      <c r="D5" s="104"/>
      <c r="E5" s="104"/>
      <c r="F5" s="104"/>
      <c r="G5" s="104"/>
      <c r="H5" s="104"/>
      <c r="I5" s="104"/>
      <c r="J5" s="104"/>
      <c r="K5" s="104"/>
    </row>
    <row r="6" spans="1:12" ht="12.75">
      <c r="A6" s="26" t="s">
        <v>933</v>
      </c>
      <c r="B6" s="17" t="s">
        <v>343</v>
      </c>
      <c r="C6" s="17" t="s">
        <v>344</v>
      </c>
      <c r="D6" s="17" t="s">
        <v>345</v>
      </c>
      <c r="E6" s="17" t="str">
        <f>"0,7714"</f>
        <v>0,7714</v>
      </c>
      <c r="F6" s="17" t="s">
        <v>15</v>
      </c>
      <c r="G6" s="17" t="s">
        <v>1253</v>
      </c>
      <c r="H6" s="26" t="s">
        <v>183</v>
      </c>
      <c r="I6" s="26" t="s">
        <v>1042</v>
      </c>
      <c r="J6" s="49">
        <v>1925</v>
      </c>
      <c r="K6" s="26" t="str">
        <f>"1484,9450"</f>
        <v>1484,9450</v>
      </c>
      <c r="L6" s="17" t="s">
        <v>1250</v>
      </c>
    </row>
    <row r="7" spans="2:12" ht="12.75">
      <c r="B7" s="84"/>
      <c r="C7" s="84"/>
      <c r="D7" s="84"/>
      <c r="E7" s="84"/>
      <c r="F7" s="84"/>
      <c r="G7" s="84"/>
      <c r="H7" s="85"/>
      <c r="I7" s="85"/>
      <c r="J7" s="85"/>
      <c r="K7" s="85"/>
      <c r="L7" s="84"/>
    </row>
    <row r="8" spans="1:12" ht="15.75">
      <c r="A8"/>
      <c r="B8" s="107" t="s">
        <v>158</v>
      </c>
      <c r="C8" s="107"/>
      <c r="D8" s="107"/>
      <c r="E8" s="107"/>
      <c r="F8" s="107"/>
      <c r="G8" s="107"/>
      <c r="H8" s="107"/>
      <c r="I8" s="107"/>
      <c r="J8" s="107"/>
      <c r="K8" s="107"/>
      <c r="L8" s="56"/>
    </row>
    <row r="9" spans="1:12" ht="12.75">
      <c r="A9" s="26" t="s">
        <v>933</v>
      </c>
      <c r="B9" s="17" t="s">
        <v>817</v>
      </c>
      <c r="C9" s="17" t="s">
        <v>818</v>
      </c>
      <c r="D9" s="17" t="s">
        <v>819</v>
      </c>
      <c r="E9" s="17" t="str">
        <f>"0,7743"</f>
        <v>0,7743</v>
      </c>
      <c r="F9" s="17" t="s">
        <v>15</v>
      </c>
      <c r="G9" s="17" t="s">
        <v>1239</v>
      </c>
      <c r="H9" s="26" t="s">
        <v>339</v>
      </c>
      <c r="I9" s="26" t="s">
        <v>506</v>
      </c>
      <c r="J9" s="49">
        <v>2600</v>
      </c>
      <c r="K9" s="26" t="str">
        <f>"2013,1799"</f>
        <v>2013,1799</v>
      </c>
      <c r="L9" s="17" t="s">
        <v>1251</v>
      </c>
    </row>
    <row r="11" spans="1:11" ht="15.75">
      <c r="A11"/>
      <c r="B11" s="97" t="s">
        <v>27</v>
      </c>
      <c r="C11" s="97"/>
      <c r="D11" s="97"/>
      <c r="E11" s="97"/>
      <c r="F11" s="97"/>
      <c r="G11" s="97"/>
      <c r="H11" s="97"/>
      <c r="I11" s="97"/>
      <c r="J11" s="97"/>
      <c r="K11" s="97"/>
    </row>
    <row r="12" spans="1:12" ht="12.75">
      <c r="A12" s="26" t="s">
        <v>933</v>
      </c>
      <c r="B12" s="17" t="s">
        <v>1043</v>
      </c>
      <c r="C12" s="17" t="s">
        <v>1044</v>
      </c>
      <c r="D12" s="17" t="s">
        <v>40</v>
      </c>
      <c r="E12" s="17" t="str">
        <f>"0,6899"</f>
        <v>0,6899</v>
      </c>
      <c r="F12" s="17" t="s">
        <v>15</v>
      </c>
      <c r="G12" s="17" t="s">
        <v>581</v>
      </c>
      <c r="H12" s="26" t="s">
        <v>135</v>
      </c>
      <c r="I12" s="26" t="s">
        <v>1045</v>
      </c>
      <c r="J12" s="49">
        <v>2700</v>
      </c>
      <c r="K12" s="26" t="str">
        <f>"1862,7299"</f>
        <v>1862,7299</v>
      </c>
      <c r="L12" s="17" t="s">
        <v>1046</v>
      </c>
    </row>
    <row r="13" spans="1:12" ht="12.75">
      <c r="A13" s="26" t="s">
        <v>933</v>
      </c>
      <c r="B13" s="17" t="s">
        <v>353</v>
      </c>
      <c r="C13" s="17" t="s">
        <v>1047</v>
      </c>
      <c r="D13" s="17" t="s">
        <v>355</v>
      </c>
      <c r="E13" s="17" t="str">
        <f>"0,7079"</f>
        <v>0,7079</v>
      </c>
      <c r="F13" s="52" t="s">
        <v>162</v>
      </c>
      <c r="G13" s="17" t="s">
        <v>73</v>
      </c>
      <c r="H13" s="26" t="s">
        <v>588</v>
      </c>
      <c r="I13" s="26" t="s">
        <v>170</v>
      </c>
      <c r="J13" s="49">
        <v>3262.5</v>
      </c>
      <c r="K13" s="26" t="str">
        <f>"2408,8332"</f>
        <v>2408,8332</v>
      </c>
      <c r="L13" s="17" t="s">
        <v>357</v>
      </c>
    </row>
    <row r="15" spans="1:11" ht="15.75">
      <c r="A15"/>
      <c r="B15" s="97" t="s">
        <v>12</v>
      </c>
      <c r="C15" s="97"/>
      <c r="D15" s="97"/>
      <c r="E15" s="97"/>
      <c r="F15" s="97"/>
      <c r="G15" s="97"/>
      <c r="H15" s="97"/>
      <c r="I15" s="97"/>
      <c r="J15" s="97"/>
      <c r="K15" s="97"/>
    </row>
    <row r="16" spans="1:12" ht="12.75">
      <c r="A16" s="26" t="s">
        <v>933</v>
      </c>
      <c r="B16" s="17" t="s">
        <v>1048</v>
      </c>
      <c r="C16" s="17" t="s">
        <v>1049</v>
      </c>
      <c r="D16" s="17" t="s">
        <v>1050</v>
      </c>
      <c r="E16" s="17" t="str">
        <f>"0,6737"</f>
        <v>0,6737</v>
      </c>
      <c r="F16" s="17" t="s">
        <v>15</v>
      </c>
      <c r="G16" s="17" t="s">
        <v>1438</v>
      </c>
      <c r="H16" s="26" t="s">
        <v>155</v>
      </c>
      <c r="I16" s="26" t="s">
        <v>1051</v>
      </c>
      <c r="J16" s="49">
        <v>2480</v>
      </c>
      <c r="K16" s="26" t="str">
        <f>"1670,6521"</f>
        <v>1670,6521</v>
      </c>
      <c r="L16" s="17" t="s">
        <v>55</v>
      </c>
    </row>
    <row r="18" spans="1:11" ht="15.75">
      <c r="A18"/>
      <c r="B18" s="97" t="s">
        <v>61</v>
      </c>
      <c r="C18" s="97"/>
      <c r="D18" s="97"/>
      <c r="E18" s="97"/>
      <c r="F18" s="97"/>
      <c r="G18" s="97"/>
      <c r="H18" s="97"/>
      <c r="I18" s="97"/>
      <c r="J18" s="97"/>
      <c r="K18" s="97"/>
    </row>
    <row r="19" spans="1:12" ht="12.75">
      <c r="A19" s="26" t="s">
        <v>933</v>
      </c>
      <c r="B19" s="17" t="s">
        <v>1052</v>
      </c>
      <c r="C19" s="17" t="s">
        <v>1053</v>
      </c>
      <c r="D19" s="17" t="s">
        <v>1054</v>
      </c>
      <c r="E19" s="17" t="str">
        <f>"0,6411"</f>
        <v>0,6411</v>
      </c>
      <c r="F19" s="52" t="s">
        <v>162</v>
      </c>
      <c r="G19" s="17" t="s">
        <v>163</v>
      </c>
      <c r="H19" s="26" t="s">
        <v>156</v>
      </c>
      <c r="I19" s="26" t="s">
        <v>1055</v>
      </c>
      <c r="J19" s="49">
        <v>3910</v>
      </c>
      <c r="K19" s="26" t="str">
        <f>"2506,7010"</f>
        <v>2506,7010</v>
      </c>
      <c r="L19" s="17" t="s">
        <v>1056</v>
      </c>
    </row>
    <row r="20" spans="1:12" ht="12.75">
      <c r="A20" s="26" t="s">
        <v>935</v>
      </c>
      <c r="B20" s="17" t="s">
        <v>1057</v>
      </c>
      <c r="C20" s="17" t="s">
        <v>1058</v>
      </c>
      <c r="D20" s="17" t="s">
        <v>86</v>
      </c>
      <c r="E20" s="17" t="str">
        <f>"0,6137"</f>
        <v>0,6137</v>
      </c>
      <c r="F20" s="52" t="s">
        <v>1254</v>
      </c>
      <c r="G20" s="17" t="s">
        <v>1253</v>
      </c>
      <c r="H20" s="26" t="s">
        <v>169</v>
      </c>
      <c r="I20" s="26" t="s">
        <v>1059</v>
      </c>
      <c r="J20" s="49">
        <v>3870</v>
      </c>
      <c r="K20" s="26" t="str">
        <f>"2375,2124"</f>
        <v>2375,2124</v>
      </c>
      <c r="L20" s="17" t="s">
        <v>55</v>
      </c>
    </row>
    <row r="21" spans="1:12" ht="12.75">
      <c r="A21" s="26" t="s">
        <v>936</v>
      </c>
      <c r="B21" s="17" t="s">
        <v>1060</v>
      </c>
      <c r="C21" s="17" t="s">
        <v>1061</v>
      </c>
      <c r="D21" s="17" t="s">
        <v>1062</v>
      </c>
      <c r="E21" s="17" t="str">
        <f>"0,6247"</f>
        <v>0,6247</v>
      </c>
      <c r="F21" s="52" t="s">
        <v>15</v>
      </c>
      <c r="G21" s="17" t="s">
        <v>1239</v>
      </c>
      <c r="H21" s="26" t="s">
        <v>183</v>
      </c>
      <c r="I21" s="26" t="s">
        <v>1063</v>
      </c>
      <c r="J21" s="49">
        <v>3587.5</v>
      </c>
      <c r="K21" s="26" t="str">
        <f>"2240,9319"</f>
        <v>2240,9319</v>
      </c>
      <c r="L21" s="17" t="s">
        <v>1064</v>
      </c>
    </row>
    <row r="22" spans="1:12" ht="12.75">
      <c r="A22" s="26" t="s">
        <v>938</v>
      </c>
      <c r="B22" s="17" t="s">
        <v>1065</v>
      </c>
      <c r="C22" s="17" t="s">
        <v>1066</v>
      </c>
      <c r="D22" s="17" t="s">
        <v>1067</v>
      </c>
      <c r="E22" s="17" t="str">
        <f>"0,6359"</f>
        <v>0,6359</v>
      </c>
      <c r="F22" s="52" t="s">
        <v>15</v>
      </c>
      <c r="G22" s="17" t="s">
        <v>1239</v>
      </c>
      <c r="H22" s="26" t="s">
        <v>156</v>
      </c>
      <c r="I22" s="26" t="s">
        <v>997</v>
      </c>
      <c r="J22" s="49">
        <v>3145</v>
      </c>
      <c r="K22" s="26" t="str">
        <f>"1999,7483"</f>
        <v>1999,7483</v>
      </c>
      <c r="L22" s="17" t="s">
        <v>55</v>
      </c>
    </row>
    <row r="23" spans="1:12" ht="12.75">
      <c r="A23" s="26" t="s">
        <v>933</v>
      </c>
      <c r="B23" s="17" t="s">
        <v>1057</v>
      </c>
      <c r="C23" s="17" t="s">
        <v>1068</v>
      </c>
      <c r="D23" s="17" t="s">
        <v>86</v>
      </c>
      <c r="E23" s="17" t="str">
        <f>"0,6137"</f>
        <v>0,6137</v>
      </c>
      <c r="F23" s="52" t="s">
        <v>1254</v>
      </c>
      <c r="G23" s="17" t="s">
        <v>1253</v>
      </c>
      <c r="H23" s="26" t="s">
        <v>169</v>
      </c>
      <c r="I23" s="26" t="s">
        <v>1059</v>
      </c>
      <c r="J23" s="49">
        <v>3870</v>
      </c>
      <c r="K23" s="26" t="str">
        <f>"2375,2124"</f>
        <v>2375,2124</v>
      </c>
      <c r="L23" s="17" t="s">
        <v>55</v>
      </c>
    </row>
    <row r="24" spans="1:12" ht="12.75">
      <c r="A24" s="26" t="s">
        <v>935</v>
      </c>
      <c r="B24" s="17" t="s">
        <v>1060</v>
      </c>
      <c r="C24" s="17" t="s">
        <v>1069</v>
      </c>
      <c r="D24" s="17" t="s">
        <v>1062</v>
      </c>
      <c r="E24" s="17" t="str">
        <f>"0,6247"</f>
        <v>0,6247</v>
      </c>
      <c r="F24" s="52" t="s">
        <v>15</v>
      </c>
      <c r="G24" s="17" t="s">
        <v>1239</v>
      </c>
      <c r="H24" s="26" t="s">
        <v>183</v>
      </c>
      <c r="I24" s="26" t="s">
        <v>1063</v>
      </c>
      <c r="J24" s="49">
        <v>3587.5</v>
      </c>
      <c r="K24" s="26" t="str">
        <f>"2393,3152"</f>
        <v>2393,3152</v>
      </c>
      <c r="L24" s="17" t="s">
        <v>1064</v>
      </c>
    </row>
    <row r="25" spans="1:12" ht="12.75">
      <c r="A25" s="26" t="s">
        <v>936</v>
      </c>
      <c r="B25" s="17" t="s">
        <v>1070</v>
      </c>
      <c r="C25" s="17" t="s">
        <v>1071</v>
      </c>
      <c r="D25" s="17" t="s">
        <v>971</v>
      </c>
      <c r="E25" s="17" t="str">
        <f>"0,6263"</f>
        <v>0,6263</v>
      </c>
      <c r="F25" s="52" t="s">
        <v>15</v>
      </c>
      <c r="G25" s="17" t="s">
        <v>1253</v>
      </c>
      <c r="H25" s="26" t="s">
        <v>183</v>
      </c>
      <c r="I25" s="26" t="s">
        <v>1072</v>
      </c>
      <c r="J25" s="49">
        <v>2712.5</v>
      </c>
      <c r="K25" s="26" t="str">
        <f>"1751,6425"</f>
        <v>1751,6425</v>
      </c>
      <c r="L25" s="17" t="s">
        <v>55</v>
      </c>
    </row>
    <row r="27" spans="1:11" ht="15.75">
      <c r="A27"/>
      <c r="B27" s="97" t="s">
        <v>87</v>
      </c>
      <c r="C27" s="97"/>
      <c r="D27" s="97"/>
      <c r="E27" s="97"/>
      <c r="F27" s="97"/>
      <c r="G27" s="97"/>
      <c r="H27" s="97"/>
      <c r="I27" s="97"/>
      <c r="J27" s="97"/>
      <c r="K27" s="97"/>
    </row>
    <row r="28" spans="1:12" ht="12.75">
      <c r="A28" s="26" t="s">
        <v>933</v>
      </c>
      <c r="B28" s="17" t="s">
        <v>1073</v>
      </c>
      <c r="C28" s="17" t="s">
        <v>1074</v>
      </c>
      <c r="D28" s="17" t="s">
        <v>1075</v>
      </c>
      <c r="E28" s="17" t="str">
        <f>"0,5833"</f>
        <v>0,5833</v>
      </c>
      <c r="F28" s="52" t="s">
        <v>15</v>
      </c>
      <c r="G28" s="17" t="s">
        <v>73</v>
      </c>
      <c r="H28" s="26" t="s">
        <v>22</v>
      </c>
      <c r="I28" s="26" t="s">
        <v>506</v>
      </c>
      <c r="J28" s="49">
        <v>4000</v>
      </c>
      <c r="K28" s="26" t="str">
        <f>"2333,2000"</f>
        <v>2333,2000</v>
      </c>
      <c r="L28" s="17" t="s">
        <v>55</v>
      </c>
    </row>
    <row r="29" spans="1:12" ht="12.75">
      <c r="A29" s="26" t="s">
        <v>935</v>
      </c>
      <c r="B29" s="17" t="s">
        <v>1076</v>
      </c>
      <c r="C29" s="17" t="s">
        <v>1077</v>
      </c>
      <c r="D29" s="17" t="s">
        <v>1078</v>
      </c>
      <c r="E29" s="17" t="str">
        <f>"0,5955"</f>
        <v>0,5955</v>
      </c>
      <c r="F29" s="52" t="s">
        <v>1079</v>
      </c>
      <c r="G29" s="17" t="s">
        <v>1253</v>
      </c>
      <c r="H29" s="26" t="s">
        <v>164</v>
      </c>
      <c r="I29" s="26" t="s">
        <v>1080</v>
      </c>
      <c r="J29" s="49">
        <v>3230</v>
      </c>
      <c r="K29" s="26" t="str">
        <f>"1923,4650"</f>
        <v>1923,4650</v>
      </c>
      <c r="L29" s="17" t="s">
        <v>1252</v>
      </c>
    </row>
    <row r="30" spans="1:12" ht="12.75">
      <c r="A30" s="26" t="s">
        <v>936</v>
      </c>
      <c r="B30" s="17" t="s">
        <v>1081</v>
      </c>
      <c r="C30" s="17" t="s">
        <v>1082</v>
      </c>
      <c r="D30" s="17" t="s">
        <v>1083</v>
      </c>
      <c r="E30" s="17" t="str">
        <f>"0,5856"</f>
        <v>0,5856</v>
      </c>
      <c r="F30" s="52" t="s">
        <v>15</v>
      </c>
      <c r="G30" s="17" t="s">
        <v>329</v>
      </c>
      <c r="H30" s="26" t="s">
        <v>22</v>
      </c>
      <c r="I30" s="26" t="s">
        <v>1084</v>
      </c>
      <c r="J30" s="49">
        <v>2800</v>
      </c>
      <c r="K30" s="26" t="str">
        <f>"1639,6801"</f>
        <v>1639,6801</v>
      </c>
      <c r="L30" s="17" t="s">
        <v>55</v>
      </c>
    </row>
    <row r="31" spans="1:12" ht="12.75">
      <c r="A31" s="26" t="s">
        <v>933</v>
      </c>
      <c r="B31" s="17" t="s">
        <v>1081</v>
      </c>
      <c r="C31" s="17" t="s">
        <v>1085</v>
      </c>
      <c r="D31" s="17" t="s">
        <v>1083</v>
      </c>
      <c r="E31" s="17" t="str">
        <f>"0,5856"</f>
        <v>0,5856</v>
      </c>
      <c r="F31" s="52" t="s">
        <v>15</v>
      </c>
      <c r="G31" s="17" t="s">
        <v>329</v>
      </c>
      <c r="H31" s="26" t="s">
        <v>22</v>
      </c>
      <c r="I31" s="26" t="s">
        <v>1084</v>
      </c>
      <c r="J31" s="49">
        <v>2800</v>
      </c>
      <c r="K31" s="26" t="str">
        <f>"1639,6801"</f>
        <v>1639,6801</v>
      </c>
      <c r="L31" s="17" t="s">
        <v>55</v>
      </c>
    </row>
    <row r="33" spans="1:11" ht="15.75">
      <c r="A33"/>
      <c r="B33" s="97" t="s">
        <v>93</v>
      </c>
      <c r="C33" s="97"/>
      <c r="D33" s="97"/>
      <c r="E33" s="97"/>
      <c r="F33" s="97"/>
      <c r="G33" s="97"/>
      <c r="H33" s="97"/>
      <c r="I33" s="97"/>
      <c r="J33" s="97"/>
      <c r="K33" s="97"/>
    </row>
    <row r="34" spans="1:12" ht="12.75">
      <c r="A34" s="26" t="s">
        <v>933</v>
      </c>
      <c r="B34" s="17" t="s">
        <v>1086</v>
      </c>
      <c r="C34" s="17" t="s">
        <v>1087</v>
      </c>
      <c r="D34" s="17" t="s">
        <v>850</v>
      </c>
      <c r="E34" s="17" t="str">
        <f>"0,5772"</f>
        <v>0,5772</v>
      </c>
      <c r="F34" s="17" t="s">
        <v>15</v>
      </c>
      <c r="G34" s="17" t="s">
        <v>1253</v>
      </c>
      <c r="H34" s="26" t="s">
        <v>157</v>
      </c>
      <c r="I34" s="26" t="s">
        <v>1072</v>
      </c>
      <c r="J34" s="49">
        <v>3177.5</v>
      </c>
      <c r="K34" s="26" t="str">
        <f>"1834,0530"</f>
        <v>1834,0530</v>
      </c>
      <c r="L34" s="17" t="s">
        <v>55</v>
      </c>
    </row>
    <row r="35" spans="1:12" ht="12.75">
      <c r="A35" s="26" t="s">
        <v>933</v>
      </c>
      <c r="B35" s="17" t="s">
        <v>1088</v>
      </c>
      <c r="C35" s="17" t="s">
        <v>1089</v>
      </c>
      <c r="D35" s="17" t="s">
        <v>1090</v>
      </c>
      <c r="E35" s="17" t="str">
        <f>"0,5763"</f>
        <v>0,5763</v>
      </c>
      <c r="F35" s="17" t="s">
        <v>15</v>
      </c>
      <c r="G35" s="17" t="s">
        <v>1239</v>
      </c>
      <c r="H35" s="26" t="s">
        <v>157</v>
      </c>
      <c r="I35" s="26" t="s">
        <v>1091</v>
      </c>
      <c r="J35" s="49">
        <v>2767.5</v>
      </c>
      <c r="K35" s="26" t="str">
        <f>"1594,9103"</f>
        <v>1594,9103</v>
      </c>
      <c r="L35" s="17" t="s">
        <v>55</v>
      </c>
    </row>
    <row r="37" spans="1:11" ht="15.75">
      <c r="A37"/>
      <c r="B37" s="97" t="s">
        <v>98</v>
      </c>
      <c r="C37" s="97"/>
      <c r="D37" s="97"/>
      <c r="E37" s="97"/>
      <c r="F37" s="97"/>
      <c r="G37" s="97"/>
      <c r="H37" s="97"/>
      <c r="I37" s="97"/>
      <c r="J37" s="97"/>
      <c r="K37" s="97"/>
    </row>
    <row r="38" spans="1:12" ht="12.75">
      <c r="A38" s="26" t="s">
        <v>933</v>
      </c>
      <c r="B38" s="17" t="s">
        <v>1092</v>
      </c>
      <c r="C38" s="17" t="s">
        <v>1093</v>
      </c>
      <c r="D38" s="17" t="s">
        <v>1094</v>
      </c>
      <c r="E38" s="17" t="str">
        <f>"0,5537"</f>
        <v>0,5537</v>
      </c>
      <c r="F38" s="17" t="s">
        <v>15</v>
      </c>
      <c r="G38" s="17" t="s">
        <v>1239</v>
      </c>
      <c r="H38" s="26" t="s">
        <v>45</v>
      </c>
      <c r="I38" s="26" t="s">
        <v>1042</v>
      </c>
      <c r="J38" s="49">
        <v>2585</v>
      </c>
      <c r="K38" s="26" t="str">
        <f>"1431,4437"</f>
        <v>1431,4437</v>
      </c>
      <c r="L38" s="17" t="s">
        <v>55</v>
      </c>
    </row>
    <row r="39" spans="1:12" ht="12.75">
      <c r="A39" s="26" t="s">
        <v>933</v>
      </c>
      <c r="B39" s="17" t="s">
        <v>1095</v>
      </c>
      <c r="C39" s="17" t="s">
        <v>1096</v>
      </c>
      <c r="D39" s="17" t="s">
        <v>1097</v>
      </c>
      <c r="E39" s="17" t="str">
        <f>"0,5601"</f>
        <v>0,5601</v>
      </c>
      <c r="F39" s="17" t="s">
        <v>15</v>
      </c>
      <c r="G39" s="17" t="s">
        <v>441</v>
      </c>
      <c r="H39" s="26" t="s">
        <v>44</v>
      </c>
      <c r="I39" s="26" t="s">
        <v>1042</v>
      </c>
      <c r="J39" s="49">
        <v>2475</v>
      </c>
      <c r="K39" s="26" t="str">
        <f>"1429,0936"</f>
        <v>1429,0936</v>
      </c>
      <c r="L39" s="17" t="s">
        <v>55</v>
      </c>
    </row>
    <row r="41" spans="2:3" ht="18">
      <c r="B41" s="19" t="s">
        <v>108</v>
      </c>
      <c r="C41" s="19"/>
    </row>
    <row r="42" spans="2:3" ht="15.75">
      <c r="B42" s="20" t="s">
        <v>117</v>
      </c>
      <c r="C42" s="20"/>
    </row>
    <row r="43" spans="2:3" ht="13.5">
      <c r="B43" s="22"/>
      <c r="C43" s="23" t="s">
        <v>209</v>
      </c>
    </row>
    <row r="44" spans="2:6" ht="13.5">
      <c r="B44" s="24" t="s">
        <v>111</v>
      </c>
      <c r="C44" s="24" t="s">
        <v>112</v>
      </c>
      <c r="D44" s="24" t="s">
        <v>113</v>
      </c>
      <c r="E44" s="24" t="s">
        <v>1040</v>
      </c>
      <c r="F44" s="24" t="s">
        <v>115</v>
      </c>
    </row>
    <row r="45" spans="1:6" ht="12.75">
      <c r="A45" s="28" t="s">
        <v>933</v>
      </c>
      <c r="B45" s="21" t="s">
        <v>1052</v>
      </c>
      <c r="C45" s="46" t="s">
        <v>110</v>
      </c>
      <c r="D45" s="46" t="s">
        <v>119</v>
      </c>
      <c r="E45" s="46" t="s">
        <v>1098</v>
      </c>
      <c r="F45" s="28" t="s">
        <v>1099</v>
      </c>
    </row>
    <row r="46" spans="1:6" ht="12.75">
      <c r="A46" s="28" t="s">
        <v>935</v>
      </c>
      <c r="B46" s="21" t="s">
        <v>1057</v>
      </c>
      <c r="C46" s="46" t="s">
        <v>110</v>
      </c>
      <c r="D46" s="46" t="s">
        <v>119</v>
      </c>
      <c r="E46" s="46" t="s">
        <v>1100</v>
      </c>
      <c r="F46" s="28" t="s">
        <v>1101</v>
      </c>
    </row>
    <row r="47" spans="1:6" ht="12.75">
      <c r="A47" s="28" t="s">
        <v>936</v>
      </c>
      <c r="B47" s="21" t="s">
        <v>1073</v>
      </c>
      <c r="C47" s="46" t="s">
        <v>110</v>
      </c>
      <c r="D47" s="46" t="s">
        <v>129</v>
      </c>
      <c r="E47" s="46" t="s">
        <v>1102</v>
      </c>
      <c r="F47" s="28" t="s">
        <v>1103</v>
      </c>
    </row>
  </sheetData>
  <sheetProtection/>
  <mergeCells count="20">
    <mergeCell ref="B18:K18"/>
    <mergeCell ref="B3:B4"/>
    <mergeCell ref="C3:C4"/>
    <mergeCell ref="D3:D4"/>
    <mergeCell ref="E3:E4"/>
    <mergeCell ref="F3:F4"/>
    <mergeCell ref="G3:G4"/>
    <mergeCell ref="H3:I3"/>
    <mergeCell ref="J3:J4"/>
    <mergeCell ref="K3:K4"/>
    <mergeCell ref="B27:K27"/>
    <mergeCell ref="B33:K33"/>
    <mergeCell ref="B37:K37"/>
    <mergeCell ref="B1:R2"/>
    <mergeCell ref="A3:A4"/>
    <mergeCell ref="L3:L4"/>
    <mergeCell ref="B5:K5"/>
    <mergeCell ref="B8:K8"/>
    <mergeCell ref="B11:K11"/>
    <mergeCell ref="B15:K15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41"/>
  <sheetViews>
    <sheetView workbookViewId="0" topLeftCell="A1">
      <selection activeCell="T2" sqref="T2"/>
    </sheetView>
  </sheetViews>
  <sheetFormatPr defaultColWidth="8.75390625" defaultRowHeight="12.75"/>
  <cols>
    <col min="1" max="1" width="7.875" style="28" bestFit="1" customWidth="1"/>
    <col min="2" max="2" width="23.00390625" style="16" customWidth="1"/>
    <col min="3" max="3" width="26.875" style="16" bestFit="1" customWidth="1"/>
    <col min="4" max="4" width="10.625" style="16" bestFit="1" customWidth="1"/>
    <col min="5" max="5" width="11.00390625" style="16" customWidth="1"/>
    <col min="6" max="6" width="27.625" style="16" customWidth="1"/>
    <col min="7" max="7" width="28.125" style="16" bestFit="1" customWidth="1"/>
    <col min="8" max="10" width="5.625" style="28" bestFit="1" customWidth="1"/>
    <col min="11" max="11" width="5.125" style="28" bestFit="1" customWidth="1"/>
    <col min="12" max="12" width="10.375" style="28" customWidth="1"/>
    <col min="13" max="13" width="8.625" style="28" bestFit="1" customWidth="1"/>
    <col min="14" max="14" width="22.375" style="16" customWidth="1"/>
    <col min="15" max="18" width="9.125" style="0" hidden="1" customWidth="1"/>
  </cols>
  <sheetData>
    <row r="1" spans="2:18" s="1" customFormat="1" ht="15" customHeight="1">
      <c r="B1" s="86" t="s">
        <v>1362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102"/>
    </row>
    <row r="2" spans="2:18" s="1" customFormat="1" ht="81" customHeight="1" thickBot="1">
      <c r="B2" s="88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103"/>
    </row>
    <row r="3" spans="1:14" s="4" customFormat="1" ht="12.75" customHeight="1">
      <c r="A3" s="98" t="s">
        <v>932</v>
      </c>
      <c r="B3" s="90" t="s">
        <v>0</v>
      </c>
      <c r="C3" s="92" t="s">
        <v>1</v>
      </c>
      <c r="D3" s="92" t="s">
        <v>1226</v>
      </c>
      <c r="E3" s="94" t="s">
        <v>11</v>
      </c>
      <c r="F3" s="94" t="s">
        <v>2</v>
      </c>
      <c r="G3" s="95" t="s">
        <v>1227</v>
      </c>
      <c r="H3" s="94" t="s">
        <v>5</v>
      </c>
      <c r="I3" s="94"/>
      <c r="J3" s="94"/>
      <c r="K3" s="94"/>
      <c r="L3" s="90" t="s">
        <v>934</v>
      </c>
      <c r="M3" s="94" t="s">
        <v>9</v>
      </c>
      <c r="N3" s="100" t="s">
        <v>10</v>
      </c>
    </row>
    <row r="4" spans="1:14" s="4" customFormat="1" ht="23.25" customHeight="1" thickBot="1">
      <c r="A4" s="99"/>
      <c r="B4" s="91"/>
      <c r="C4" s="93"/>
      <c r="D4" s="93"/>
      <c r="E4" s="93"/>
      <c r="F4" s="93"/>
      <c r="G4" s="96"/>
      <c r="H4" s="7">
        <v>1</v>
      </c>
      <c r="I4" s="7">
        <v>2</v>
      </c>
      <c r="J4" s="7">
        <v>3</v>
      </c>
      <c r="K4" s="7" t="s">
        <v>7</v>
      </c>
      <c r="L4" s="91"/>
      <c r="M4" s="93"/>
      <c r="N4" s="101"/>
    </row>
    <row r="5" spans="1:13" ht="15.75">
      <c r="A5"/>
      <c r="B5" s="104" t="s">
        <v>158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</row>
    <row r="6" spans="1:14" ht="12.75">
      <c r="A6" s="26" t="s">
        <v>933</v>
      </c>
      <c r="B6" s="17" t="s">
        <v>1355</v>
      </c>
      <c r="C6" s="17" t="s">
        <v>760</v>
      </c>
      <c r="D6" s="17" t="s">
        <v>761</v>
      </c>
      <c r="E6" s="17" t="str">
        <f>"0,9683"</f>
        <v>0,9683</v>
      </c>
      <c r="F6" s="52" t="s">
        <v>1363</v>
      </c>
      <c r="G6" s="17" t="s">
        <v>1244</v>
      </c>
      <c r="H6" s="29" t="s">
        <v>339</v>
      </c>
      <c r="I6" s="29" t="s">
        <v>134</v>
      </c>
      <c r="J6" s="30" t="s">
        <v>155</v>
      </c>
      <c r="K6" s="27"/>
      <c r="L6" s="49">
        <v>70</v>
      </c>
      <c r="M6" s="26" t="str">
        <f>"71,5090"</f>
        <v>71,5090</v>
      </c>
      <c r="N6" s="17" t="s">
        <v>696</v>
      </c>
    </row>
    <row r="8" spans="1:13" ht="15.75">
      <c r="A8"/>
      <c r="B8" s="97" t="s">
        <v>140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</row>
    <row r="9" spans="1:14" ht="12.75">
      <c r="A9" s="26" t="s">
        <v>933</v>
      </c>
      <c r="B9" s="17" t="s">
        <v>1356</v>
      </c>
      <c r="C9" s="17" t="s">
        <v>762</v>
      </c>
      <c r="D9" s="17" t="s">
        <v>763</v>
      </c>
      <c r="E9" s="17" t="str">
        <f>"1,1433"</f>
        <v>1,1433</v>
      </c>
      <c r="F9" s="52" t="s">
        <v>1363</v>
      </c>
      <c r="G9" s="17" t="s">
        <v>1244</v>
      </c>
      <c r="H9" s="29" t="s">
        <v>147</v>
      </c>
      <c r="I9" s="29" t="s">
        <v>134</v>
      </c>
      <c r="J9" s="29" t="s">
        <v>136</v>
      </c>
      <c r="K9" s="27"/>
      <c r="L9" s="49">
        <v>80</v>
      </c>
      <c r="M9" s="26" t="str">
        <f>"91,4640"</f>
        <v>91,4640</v>
      </c>
      <c r="N9" s="17" t="s">
        <v>696</v>
      </c>
    </row>
    <row r="10" spans="1:14" ht="12.75">
      <c r="A10" s="26" t="s">
        <v>935</v>
      </c>
      <c r="B10" s="17" t="s">
        <v>1357</v>
      </c>
      <c r="C10" s="17" t="s">
        <v>764</v>
      </c>
      <c r="D10" s="17" t="s">
        <v>765</v>
      </c>
      <c r="E10" s="17" t="str">
        <f>"1,0099"</f>
        <v>1,0099</v>
      </c>
      <c r="F10" s="52" t="s">
        <v>1363</v>
      </c>
      <c r="G10" s="17" t="s">
        <v>1244</v>
      </c>
      <c r="H10" s="29" t="s">
        <v>339</v>
      </c>
      <c r="I10" s="29" t="s">
        <v>134</v>
      </c>
      <c r="J10" s="29" t="s">
        <v>135</v>
      </c>
      <c r="K10" s="27"/>
      <c r="L10" s="49">
        <v>75</v>
      </c>
      <c r="M10" s="26" t="str">
        <f>"75,7425"</f>
        <v>75,7425</v>
      </c>
      <c r="N10" s="17" t="s">
        <v>696</v>
      </c>
    </row>
    <row r="12" spans="1:13" ht="15.75">
      <c r="A12"/>
      <c r="B12" s="97" t="s">
        <v>502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</row>
    <row r="13" spans="1:14" ht="12.75">
      <c r="A13" s="26" t="s">
        <v>933</v>
      </c>
      <c r="B13" s="17" t="s">
        <v>1358</v>
      </c>
      <c r="C13" s="17" t="s">
        <v>767</v>
      </c>
      <c r="D13" s="17" t="s">
        <v>768</v>
      </c>
      <c r="E13" s="17" t="str">
        <f>"0,9484"</f>
        <v>0,9484</v>
      </c>
      <c r="F13" s="17" t="s">
        <v>15</v>
      </c>
      <c r="G13" s="17" t="s">
        <v>1244</v>
      </c>
      <c r="H13" s="29" t="s">
        <v>169</v>
      </c>
      <c r="I13" s="30" t="s">
        <v>164</v>
      </c>
      <c r="J13" s="30" t="s">
        <v>164</v>
      </c>
      <c r="K13" s="27"/>
      <c r="L13" s="49">
        <v>90</v>
      </c>
      <c r="M13" s="26" t="str">
        <f>"85,3515"</f>
        <v>85,3515</v>
      </c>
      <c r="N13" s="17" t="s">
        <v>1364</v>
      </c>
    </row>
    <row r="15" spans="1:13" ht="15.75">
      <c r="A15"/>
      <c r="B15" s="97" t="s">
        <v>331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</row>
    <row r="16" spans="1:14" ht="12.75">
      <c r="A16" s="26" t="s">
        <v>933</v>
      </c>
      <c r="B16" s="17" t="s">
        <v>769</v>
      </c>
      <c r="C16" s="17" t="s">
        <v>770</v>
      </c>
      <c r="D16" s="17" t="s">
        <v>771</v>
      </c>
      <c r="E16" s="17" t="str">
        <f>"0,8718"</f>
        <v>0,8718</v>
      </c>
      <c r="F16" s="17" t="s">
        <v>1363</v>
      </c>
      <c r="G16" s="17" t="s">
        <v>1244</v>
      </c>
      <c r="H16" s="29" t="s">
        <v>772</v>
      </c>
      <c r="I16" s="29" t="s">
        <v>506</v>
      </c>
      <c r="J16" s="29" t="s">
        <v>170</v>
      </c>
      <c r="K16" s="27"/>
      <c r="L16" s="49">
        <v>45</v>
      </c>
      <c r="M16" s="26" t="str">
        <f>"39,2310"</f>
        <v>39,2310</v>
      </c>
      <c r="N16" s="17" t="s">
        <v>696</v>
      </c>
    </row>
    <row r="18" spans="1:13" ht="15.75">
      <c r="A18"/>
      <c r="B18" s="97" t="s">
        <v>158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</row>
    <row r="19" spans="1:14" ht="12.75">
      <c r="A19" s="26" t="s">
        <v>933</v>
      </c>
      <c r="B19" s="17" t="s">
        <v>1359</v>
      </c>
      <c r="C19" s="17" t="s">
        <v>774</v>
      </c>
      <c r="D19" s="17" t="s">
        <v>775</v>
      </c>
      <c r="E19" s="17" t="str">
        <f>"0,7484"</f>
        <v>0,7484</v>
      </c>
      <c r="F19" s="17" t="s">
        <v>1363</v>
      </c>
      <c r="G19" s="17" t="s">
        <v>1244</v>
      </c>
      <c r="H19" s="29" t="s">
        <v>156</v>
      </c>
      <c r="I19" s="29" t="s">
        <v>169</v>
      </c>
      <c r="J19" s="29" t="s">
        <v>164</v>
      </c>
      <c r="K19" s="27"/>
      <c r="L19" s="49">
        <v>95</v>
      </c>
      <c r="M19" s="26" t="str">
        <f>"71,0980"</f>
        <v>71,0980</v>
      </c>
      <c r="N19" s="17" t="s">
        <v>696</v>
      </c>
    </row>
    <row r="21" spans="1:13" ht="15.75">
      <c r="A21"/>
      <c r="B21" s="97" t="s">
        <v>12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</row>
    <row r="22" spans="1:14" ht="12.75">
      <c r="A22" s="26" t="s">
        <v>933</v>
      </c>
      <c r="B22" s="17" t="s">
        <v>776</v>
      </c>
      <c r="C22" s="17" t="s">
        <v>777</v>
      </c>
      <c r="D22" s="17" t="s">
        <v>194</v>
      </c>
      <c r="E22" s="17" t="str">
        <f>"0,6550"</f>
        <v>0,6550</v>
      </c>
      <c r="F22" s="52" t="s">
        <v>1363</v>
      </c>
      <c r="G22" s="17" t="s">
        <v>1244</v>
      </c>
      <c r="H22" s="29" t="s">
        <v>135</v>
      </c>
      <c r="I22" s="29" t="s">
        <v>136</v>
      </c>
      <c r="J22" s="29" t="s">
        <v>156</v>
      </c>
      <c r="K22" s="27"/>
      <c r="L22" s="49">
        <v>85</v>
      </c>
      <c r="M22" s="26" t="str">
        <f>"55,6792"</f>
        <v>55,6792</v>
      </c>
      <c r="N22" s="17" t="s">
        <v>696</v>
      </c>
    </row>
    <row r="24" spans="1:13" ht="15.75">
      <c r="A24"/>
      <c r="B24" s="97" t="s">
        <v>61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</row>
    <row r="25" spans="1:14" ht="12.75">
      <c r="A25" s="26" t="s">
        <v>933</v>
      </c>
      <c r="B25" s="17" t="s">
        <v>778</v>
      </c>
      <c r="C25" s="17" t="s">
        <v>779</v>
      </c>
      <c r="D25" s="17" t="s">
        <v>625</v>
      </c>
      <c r="E25" s="17" t="str">
        <f>"0,6238"</f>
        <v>0,6238</v>
      </c>
      <c r="F25" s="17" t="s">
        <v>15</v>
      </c>
      <c r="G25" s="17" t="s">
        <v>780</v>
      </c>
      <c r="H25" s="29" t="s">
        <v>169</v>
      </c>
      <c r="I25" s="29" t="s">
        <v>203</v>
      </c>
      <c r="J25" s="30" t="s">
        <v>44</v>
      </c>
      <c r="K25" s="27"/>
      <c r="L25" s="49">
        <v>105</v>
      </c>
      <c r="M25" s="26" t="str">
        <f>"65,5042"</f>
        <v>65,5042</v>
      </c>
      <c r="N25" s="17" t="s">
        <v>781</v>
      </c>
    </row>
    <row r="26" spans="1:14" ht="12.75">
      <c r="A26" s="26" t="s">
        <v>933</v>
      </c>
      <c r="B26" s="17" t="s">
        <v>782</v>
      </c>
      <c r="C26" s="17" t="s">
        <v>783</v>
      </c>
      <c r="D26" s="17" t="s">
        <v>784</v>
      </c>
      <c r="E26" s="17" t="str">
        <f>"0,6234"</f>
        <v>0,6234</v>
      </c>
      <c r="F26" s="17" t="s">
        <v>1363</v>
      </c>
      <c r="G26" s="17" t="s">
        <v>1244</v>
      </c>
      <c r="H26" s="29" t="s">
        <v>135</v>
      </c>
      <c r="I26" s="29" t="s">
        <v>136</v>
      </c>
      <c r="J26" s="29" t="s">
        <v>156</v>
      </c>
      <c r="K26" s="27"/>
      <c r="L26" s="49">
        <v>85</v>
      </c>
      <c r="M26" s="26" t="str">
        <f>"52,9890"</f>
        <v>52,9890</v>
      </c>
      <c r="N26" s="17" t="s">
        <v>696</v>
      </c>
    </row>
    <row r="28" spans="1:13" ht="15.75">
      <c r="A28"/>
      <c r="B28" s="97" t="s">
        <v>87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</row>
    <row r="29" spans="1:14" ht="12.75">
      <c r="A29" s="26" t="s">
        <v>933</v>
      </c>
      <c r="B29" s="17" t="s">
        <v>785</v>
      </c>
      <c r="C29" s="17" t="s">
        <v>786</v>
      </c>
      <c r="D29" s="17" t="s">
        <v>787</v>
      </c>
      <c r="E29" s="17" t="str">
        <f>"0,6108"</f>
        <v>0,6108</v>
      </c>
      <c r="F29" s="17" t="s">
        <v>1363</v>
      </c>
      <c r="G29" s="17" t="s">
        <v>1244</v>
      </c>
      <c r="H29" s="29" t="s">
        <v>138</v>
      </c>
      <c r="I29" s="29" t="s">
        <v>147</v>
      </c>
      <c r="J29" s="29" t="s">
        <v>339</v>
      </c>
      <c r="K29" s="27"/>
      <c r="L29" s="49">
        <v>65</v>
      </c>
      <c r="M29" s="26" t="str">
        <f>"39,6988"</f>
        <v>39,6988</v>
      </c>
      <c r="N29" s="17" t="s">
        <v>696</v>
      </c>
    </row>
    <row r="30" spans="1:14" ht="12.75">
      <c r="A30" s="26" t="s">
        <v>933</v>
      </c>
      <c r="B30" s="17" t="s">
        <v>1360</v>
      </c>
      <c r="C30" s="17" t="s">
        <v>788</v>
      </c>
      <c r="D30" s="17" t="s">
        <v>789</v>
      </c>
      <c r="E30" s="17" t="str">
        <f>"0,5835"</f>
        <v>0,5835</v>
      </c>
      <c r="F30" s="17" t="s">
        <v>1363</v>
      </c>
      <c r="G30" s="17" t="s">
        <v>1244</v>
      </c>
      <c r="H30" s="29" t="s">
        <v>164</v>
      </c>
      <c r="I30" s="29" t="s">
        <v>22</v>
      </c>
      <c r="J30" s="29" t="s">
        <v>203</v>
      </c>
      <c r="K30" s="27"/>
      <c r="L30" s="49">
        <v>105</v>
      </c>
      <c r="M30" s="26" t="str">
        <f>"71,3828"</f>
        <v>71,3828</v>
      </c>
      <c r="N30" s="17" t="s">
        <v>696</v>
      </c>
    </row>
    <row r="32" spans="1:13" ht="15.75">
      <c r="A32"/>
      <c r="B32" s="97" t="s">
        <v>279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</row>
    <row r="33" spans="1:14" ht="12.75">
      <c r="A33" s="26" t="s">
        <v>933</v>
      </c>
      <c r="B33" s="17" t="s">
        <v>1361</v>
      </c>
      <c r="C33" s="17" t="s">
        <v>697</v>
      </c>
      <c r="D33" s="17" t="s">
        <v>698</v>
      </c>
      <c r="E33" s="17" t="str">
        <f>"0,5333"</f>
        <v>0,5333</v>
      </c>
      <c r="F33" s="17" t="s">
        <v>1363</v>
      </c>
      <c r="G33" s="17" t="s">
        <v>1244</v>
      </c>
      <c r="H33" s="29" t="s">
        <v>32</v>
      </c>
      <c r="I33" s="30" t="s">
        <v>47</v>
      </c>
      <c r="J33" s="27"/>
      <c r="K33" s="27"/>
      <c r="L33" s="49">
        <v>190</v>
      </c>
      <c r="M33" s="26" t="str">
        <f>"101,3260"</f>
        <v>101,3260</v>
      </c>
      <c r="N33" s="17" t="s">
        <v>1243</v>
      </c>
    </row>
    <row r="35" spans="2:3" ht="18">
      <c r="B35" s="19" t="s">
        <v>108</v>
      </c>
      <c r="C35" s="19"/>
    </row>
    <row r="36" spans="2:3" ht="15.75">
      <c r="B36" s="20" t="s">
        <v>117</v>
      </c>
      <c r="C36" s="20"/>
    </row>
    <row r="37" spans="2:3" ht="13.5">
      <c r="B37" s="22"/>
      <c r="C37" s="23" t="s">
        <v>110</v>
      </c>
    </row>
    <row r="38" spans="2:6" ht="13.5">
      <c r="B38" s="24" t="s">
        <v>111</v>
      </c>
      <c r="C38" s="24" t="s">
        <v>112</v>
      </c>
      <c r="D38" s="24" t="s">
        <v>113</v>
      </c>
      <c r="E38" s="24" t="s">
        <v>934</v>
      </c>
      <c r="F38" s="24" t="s">
        <v>115</v>
      </c>
    </row>
    <row r="39" spans="1:6" ht="12.75">
      <c r="A39" s="28" t="s">
        <v>933</v>
      </c>
      <c r="B39" s="21" t="s">
        <v>696</v>
      </c>
      <c r="C39" s="46" t="s">
        <v>110</v>
      </c>
      <c r="D39" s="46" t="s">
        <v>289</v>
      </c>
      <c r="E39" s="28" t="s">
        <v>32</v>
      </c>
      <c r="F39" s="28" t="s">
        <v>790</v>
      </c>
    </row>
    <row r="40" spans="1:6" ht="12.75">
      <c r="A40" s="28" t="s">
        <v>935</v>
      </c>
      <c r="B40" s="21" t="s">
        <v>766</v>
      </c>
      <c r="C40" s="46" t="s">
        <v>110</v>
      </c>
      <c r="D40" s="46" t="s">
        <v>703</v>
      </c>
      <c r="E40" s="28" t="s">
        <v>169</v>
      </c>
      <c r="F40" s="28" t="s">
        <v>791</v>
      </c>
    </row>
    <row r="41" spans="1:6" ht="12.75">
      <c r="A41" s="28" t="s">
        <v>936</v>
      </c>
      <c r="B41" s="21" t="s">
        <v>773</v>
      </c>
      <c r="C41" s="46" t="s">
        <v>110</v>
      </c>
      <c r="D41" s="46" t="s">
        <v>233</v>
      </c>
      <c r="E41" s="28" t="s">
        <v>164</v>
      </c>
      <c r="F41" s="28" t="s">
        <v>792</v>
      </c>
    </row>
  </sheetData>
  <sheetProtection/>
  <mergeCells count="21">
    <mergeCell ref="B15:M15"/>
    <mergeCell ref="B18:M18"/>
    <mergeCell ref="B21:M21"/>
    <mergeCell ref="B24:M24"/>
    <mergeCell ref="B28:M28"/>
    <mergeCell ref="B32:M32"/>
    <mergeCell ref="B8:M8"/>
    <mergeCell ref="B12:M12"/>
    <mergeCell ref="B3:B4"/>
    <mergeCell ref="C3:C4"/>
    <mergeCell ref="D3:D4"/>
    <mergeCell ref="E3:E4"/>
    <mergeCell ref="F3:F4"/>
    <mergeCell ref="G3:G4"/>
    <mergeCell ref="H3:K3"/>
    <mergeCell ref="B1:R2"/>
    <mergeCell ref="A3:A4"/>
    <mergeCell ref="L3:L4"/>
    <mergeCell ref="M3:M4"/>
    <mergeCell ref="N3:N4"/>
    <mergeCell ref="B5:M5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N17" sqref="N17"/>
    </sheetView>
  </sheetViews>
  <sheetFormatPr defaultColWidth="8.75390625" defaultRowHeight="12.75"/>
  <cols>
    <col min="1" max="1" width="7.875" style="28" bestFit="1" customWidth="1"/>
    <col min="2" max="2" width="23.25390625" style="16" customWidth="1"/>
    <col min="3" max="3" width="25.25390625" style="16" customWidth="1"/>
    <col min="4" max="4" width="10.625" style="16" bestFit="1" customWidth="1"/>
    <col min="5" max="5" width="8.375" style="16" bestFit="1" customWidth="1"/>
    <col min="6" max="6" width="14.625" style="16" customWidth="1"/>
    <col min="7" max="7" width="27.875" style="16" customWidth="1"/>
    <col min="8" max="10" width="5.625" style="28" bestFit="1" customWidth="1"/>
    <col min="11" max="11" width="5.125" style="28" bestFit="1" customWidth="1"/>
    <col min="12" max="12" width="11.125" style="28" customWidth="1"/>
    <col min="13" max="13" width="8.625" style="28" bestFit="1" customWidth="1"/>
    <col min="14" max="14" width="21.375" style="16" customWidth="1"/>
    <col min="15" max="15" width="0.37109375" style="0" customWidth="1"/>
    <col min="16" max="18" width="9.125" style="0" hidden="1" customWidth="1"/>
  </cols>
  <sheetData>
    <row r="1" spans="2:18" s="1" customFormat="1" ht="15" customHeight="1">
      <c r="B1" s="86" t="s">
        <v>1354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102"/>
    </row>
    <row r="2" spans="2:18" s="1" customFormat="1" ht="81" customHeight="1" thickBot="1">
      <c r="B2" s="88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103"/>
    </row>
    <row r="3" spans="1:14" s="4" customFormat="1" ht="12.75" customHeight="1">
      <c r="A3" s="98" t="s">
        <v>932</v>
      </c>
      <c r="B3" s="90" t="s">
        <v>0</v>
      </c>
      <c r="C3" s="92" t="s">
        <v>1</v>
      </c>
      <c r="D3" s="92" t="s">
        <v>1226</v>
      </c>
      <c r="E3" s="94" t="s">
        <v>11</v>
      </c>
      <c r="F3" s="94" t="s">
        <v>2</v>
      </c>
      <c r="G3" s="95" t="s">
        <v>1227</v>
      </c>
      <c r="H3" s="94" t="s">
        <v>5</v>
      </c>
      <c r="I3" s="94"/>
      <c r="J3" s="94"/>
      <c r="K3" s="94"/>
      <c r="L3" s="90" t="s">
        <v>934</v>
      </c>
      <c r="M3" s="94" t="s">
        <v>9</v>
      </c>
      <c r="N3" s="100" t="s">
        <v>10</v>
      </c>
    </row>
    <row r="4" spans="1:14" s="4" customFormat="1" ht="23.25" customHeight="1" thickBot="1">
      <c r="A4" s="99"/>
      <c r="B4" s="91"/>
      <c r="C4" s="93"/>
      <c r="D4" s="93"/>
      <c r="E4" s="93"/>
      <c r="F4" s="93"/>
      <c r="G4" s="96"/>
      <c r="H4" s="7">
        <v>1</v>
      </c>
      <c r="I4" s="7">
        <v>2</v>
      </c>
      <c r="J4" s="7">
        <v>3</v>
      </c>
      <c r="K4" s="7" t="s">
        <v>7</v>
      </c>
      <c r="L4" s="91"/>
      <c r="M4" s="93"/>
      <c r="N4" s="101"/>
    </row>
    <row r="5" spans="1:13" ht="15.75">
      <c r="A5"/>
      <c r="B5" s="104" t="s">
        <v>93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</row>
    <row r="6" spans="1:14" ht="12.75">
      <c r="A6" s="26"/>
      <c r="B6" s="17" t="s">
        <v>753</v>
      </c>
      <c r="C6" s="17" t="s">
        <v>754</v>
      </c>
      <c r="D6" s="17" t="s">
        <v>440</v>
      </c>
      <c r="E6" s="17" t="str">
        <f>"0,5753"</f>
        <v>0,5753</v>
      </c>
      <c r="F6" s="17" t="s">
        <v>15</v>
      </c>
      <c r="G6" s="17" t="s">
        <v>1244</v>
      </c>
      <c r="H6" s="30" t="s">
        <v>91</v>
      </c>
      <c r="I6" s="30" t="s">
        <v>91</v>
      </c>
      <c r="J6" s="30" t="s">
        <v>96</v>
      </c>
      <c r="K6" s="30"/>
      <c r="L6" s="49">
        <v>0</v>
      </c>
      <c r="M6" s="26" t="str">
        <f>"0,0000"</f>
        <v>0,0000</v>
      </c>
      <c r="N6" s="17" t="s">
        <v>55</v>
      </c>
    </row>
    <row r="8" spans="1:13" ht="15.75">
      <c r="A8"/>
      <c r="B8" s="97" t="s">
        <v>98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</row>
    <row r="9" spans="1:14" ht="12.75">
      <c r="A9" s="26" t="s">
        <v>933</v>
      </c>
      <c r="B9" s="17" t="s">
        <v>1352</v>
      </c>
      <c r="C9" s="17" t="s">
        <v>755</v>
      </c>
      <c r="D9" s="17" t="s">
        <v>756</v>
      </c>
      <c r="E9" s="17" t="str">
        <f>"0,5466"</f>
        <v>0,5466</v>
      </c>
      <c r="F9" s="17" t="s">
        <v>15</v>
      </c>
      <c r="G9" s="17" t="s">
        <v>581</v>
      </c>
      <c r="H9" s="30" t="s">
        <v>104</v>
      </c>
      <c r="I9" s="30" t="s">
        <v>104</v>
      </c>
      <c r="J9" s="29" t="s">
        <v>250</v>
      </c>
      <c r="K9" s="27"/>
      <c r="L9" s="49">
        <v>305</v>
      </c>
      <c r="M9" s="26" t="str">
        <f>"168,3801"</f>
        <v>168,3801</v>
      </c>
      <c r="N9" s="17" t="s">
        <v>55</v>
      </c>
    </row>
    <row r="11" spans="1:13" ht="15.75">
      <c r="A11"/>
      <c r="B11" s="97" t="s">
        <v>279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</row>
    <row r="12" spans="1:14" ht="12.75">
      <c r="A12" s="26" t="s">
        <v>933</v>
      </c>
      <c r="B12" s="17" t="s">
        <v>1353</v>
      </c>
      <c r="C12" s="17" t="s">
        <v>757</v>
      </c>
      <c r="D12" s="17" t="s">
        <v>758</v>
      </c>
      <c r="E12" s="17" t="str">
        <f>"0,5383"</f>
        <v>0,5383</v>
      </c>
      <c r="F12" s="17" t="s">
        <v>15</v>
      </c>
      <c r="G12" s="17" t="s">
        <v>1244</v>
      </c>
      <c r="H12" s="29" t="s">
        <v>759</v>
      </c>
      <c r="I12" s="29" t="s">
        <v>234</v>
      </c>
      <c r="J12" s="27"/>
      <c r="K12" s="27"/>
      <c r="L12" s="49">
        <v>415</v>
      </c>
      <c r="M12" s="26" t="str">
        <f>"223,3779"</f>
        <v>223,3779</v>
      </c>
      <c r="N12" s="17" t="s">
        <v>55</v>
      </c>
    </row>
  </sheetData>
  <sheetProtection/>
  <mergeCells count="15">
    <mergeCell ref="B8:M8"/>
    <mergeCell ref="B11:M11"/>
    <mergeCell ref="B3:B4"/>
    <mergeCell ref="C3:C4"/>
    <mergeCell ref="D3:D4"/>
    <mergeCell ref="E3:E4"/>
    <mergeCell ref="F3:F4"/>
    <mergeCell ref="G3:G4"/>
    <mergeCell ref="H3:K3"/>
    <mergeCell ref="B1:R2"/>
    <mergeCell ref="A3:A4"/>
    <mergeCell ref="L3:L4"/>
    <mergeCell ref="M3:M4"/>
    <mergeCell ref="N3:N4"/>
    <mergeCell ref="B5:M5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20"/>
  <sheetViews>
    <sheetView workbookViewId="0" topLeftCell="A3">
      <selection activeCell="D25" sqref="D25"/>
    </sheetView>
  </sheetViews>
  <sheetFormatPr defaultColWidth="8.75390625" defaultRowHeight="12.75"/>
  <cols>
    <col min="1" max="1" width="7.875" style="28" bestFit="1" customWidth="1"/>
    <col min="2" max="2" width="22.375" style="16" customWidth="1"/>
    <col min="3" max="3" width="26.875" style="16" bestFit="1" customWidth="1"/>
    <col min="4" max="4" width="10.625" style="16" bestFit="1" customWidth="1"/>
    <col min="5" max="5" width="8.375" style="16" bestFit="1" customWidth="1"/>
    <col min="6" max="6" width="18.375" style="16" customWidth="1"/>
    <col min="7" max="7" width="31.25390625" style="16" bestFit="1" customWidth="1"/>
    <col min="8" max="10" width="5.625" style="28" bestFit="1" customWidth="1"/>
    <col min="11" max="11" width="5.125" style="28" bestFit="1" customWidth="1"/>
    <col min="12" max="12" width="11.25390625" style="28" customWidth="1"/>
    <col min="13" max="13" width="8.625" style="28" bestFit="1" customWidth="1"/>
    <col min="14" max="14" width="17.625" style="16" bestFit="1" customWidth="1"/>
    <col min="15" max="15" width="0.2421875" style="0" customWidth="1"/>
    <col min="16" max="18" width="9.125" style="0" hidden="1" customWidth="1"/>
  </cols>
  <sheetData>
    <row r="1" spans="2:18" s="1" customFormat="1" ht="15" customHeight="1">
      <c r="B1" s="86" t="s">
        <v>1351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102"/>
    </row>
    <row r="2" spans="2:18" s="1" customFormat="1" ht="87.75" customHeight="1" thickBot="1">
      <c r="B2" s="88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103"/>
    </row>
    <row r="3" spans="1:14" s="4" customFormat="1" ht="12.75" customHeight="1">
      <c r="A3" s="98" t="s">
        <v>932</v>
      </c>
      <c r="B3" s="90" t="s">
        <v>0</v>
      </c>
      <c r="C3" s="92" t="s">
        <v>1</v>
      </c>
      <c r="D3" s="92" t="s">
        <v>1226</v>
      </c>
      <c r="E3" s="94" t="s">
        <v>11</v>
      </c>
      <c r="F3" s="94" t="s">
        <v>2</v>
      </c>
      <c r="G3" s="95" t="s">
        <v>1227</v>
      </c>
      <c r="H3" s="94" t="s">
        <v>5</v>
      </c>
      <c r="I3" s="94"/>
      <c r="J3" s="94"/>
      <c r="K3" s="94"/>
      <c r="L3" s="90" t="s">
        <v>934</v>
      </c>
      <c r="M3" s="94" t="s">
        <v>9</v>
      </c>
      <c r="N3" s="100" t="s">
        <v>10</v>
      </c>
    </row>
    <row r="4" spans="1:14" s="4" customFormat="1" ht="23.25" customHeight="1" thickBot="1">
      <c r="A4" s="99"/>
      <c r="B4" s="91"/>
      <c r="C4" s="93"/>
      <c r="D4" s="93"/>
      <c r="E4" s="93"/>
      <c r="F4" s="93"/>
      <c r="G4" s="96"/>
      <c r="H4" s="7">
        <v>1</v>
      </c>
      <c r="I4" s="7">
        <v>2</v>
      </c>
      <c r="J4" s="7">
        <v>3</v>
      </c>
      <c r="K4" s="7" t="s">
        <v>7</v>
      </c>
      <c r="L4" s="91"/>
      <c r="M4" s="93"/>
      <c r="N4" s="101"/>
    </row>
    <row r="5" spans="1:13" ht="15.75">
      <c r="A5"/>
      <c r="B5" s="104" t="s">
        <v>27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</row>
    <row r="6" spans="1:14" ht="12.75">
      <c r="A6" s="26" t="s">
        <v>933</v>
      </c>
      <c r="B6" s="17" t="s">
        <v>744</v>
      </c>
      <c r="C6" s="17" t="s">
        <v>745</v>
      </c>
      <c r="D6" s="17" t="s">
        <v>746</v>
      </c>
      <c r="E6" s="17" t="str">
        <f>"0,8468"</f>
        <v>0,8468</v>
      </c>
      <c r="F6" s="52" t="s">
        <v>178</v>
      </c>
      <c r="G6" s="17" t="s">
        <v>1244</v>
      </c>
      <c r="H6" s="29" t="s">
        <v>156</v>
      </c>
      <c r="I6" s="29" t="s">
        <v>169</v>
      </c>
      <c r="J6" s="30" t="s">
        <v>164</v>
      </c>
      <c r="K6" s="27"/>
      <c r="L6" s="49">
        <v>90</v>
      </c>
      <c r="M6" s="26" t="str">
        <f>"76,2120"</f>
        <v>76,2120</v>
      </c>
      <c r="N6" s="17" t="s">
        <v>55</v>
      </c>
    </row>
    <row r="8" spans="1:13" ht="15.75">
      <c r="A8"/>
      <c r="B8" s="97" t="s">
        <v>61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</row>
    <row r="9" spans="1:14" ht="12.75">
      <c r="A9" s="26" t="s">
        <v>933</v>
      </c>
      <c r="B9" s="17" t="s">
        <v>62</v>
      </c>
      <c r="C9" s="17" t="s">
        <v>63</v>
      </c>
      <c r="D9" s="17" t="s">
        <v>64</v>
      </c>
      <c r="E9" s="17" t="str">
        <f>"0,6133"</f>
        <v>0,6133</v>
      </c>
      <c r="F9" s="17" t="s">
        <v>15</v>
      </c>
      <c r="G9" s="17" t="s">
        <v>1245</v>
      </c>
      <c r="H9" s="29" t="s">
        <v>19</v>
      </c>
      <c r="I9" s="29" t="s">
        <v>90</v>
      </c>
      <c r="J9" s="29" t="s">
        <v>37</v>
      </c>
      <c r="K9" s="27"/>
      <c r="L9" s="49">
        <v>200</v>
      </c>
      <c r="M9" s="26" t="str">
        <f>"122,6700"</f>
        <v>122,6700</v>
      </c>
      <c r="N9" s="17" t="s">
        <v>69</v>
      </c>
    </row>
    <row r="11" spans="1:13" ht="15.75">
      <c r="A11"/>
      <c r="B11" s="97" t="s">
        <v>87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</row>
    <row r="12" spans="1:14" ht="12.75">
      <c r="A12" s="26" t="s">
        <v>933</v>
      </c>
      <c r="B12" s="17" t="s">
        <v>747</v>
      </c>
      <c r="C12" s="17" t="s">
        <v>193</v>
      </c>
      <c r="D12" s="17" t="s">
        <v>748</v>
      </c>
      <c r="E12" s="17" t="str">
        <f>"0,5864"</f>
        <v>0,5864</v>
      </c>
      <c r="F12" s="17" t="s">
        <v>15</v>
      </c>
      <c r="G12" s="17" t="s">
        <v>621</v>
      </c>
      <c r="H12" s="29" t="s">
        <v>43</v>
      </c>
      <c r="I12" s="30" t="s">
        <v>37</v>
      </c>
      <c r="J12" s="30" t="s">
        <v>75</v>
      </c>
      <c r="K12" s="27"/>
      <c r="L12" s="49">
        <v>187.5</v>
      </c>
      <c r="M12" s="26" t="str">
        <f>"109,9406"</f>
        <v>109,9406</v>
      </c>
      <c r="N12" s="17" t="s">
        <v>55</v>
      </c>
    </row>
    <row r="14" spans="1:13" ht="15.75">
      <c r="A14"/>
      <c r="B14" s="97" t="s">
        <v>93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</row>
    <row r="15" spans="1:14" ht="12.75">
      <c r="A15" s="26" t="s">
        <v>933</v>
      </c>
      <c r="B15" s="17" t="s">
        <v>317</v>
      </c>
      <c r="C15" s="17" t="s">
        <v>318</v>
      </c>
      <c r="D15" s="17" t="s">
        <v>319</v>
      </c>
      <c r="E15" s="17" t="str">
        <f>"0,5659"</f>
        <v>0,5659</v>
      </c>
      <c r="F15" s="17" t="s">
        <v>15</v>
      </c>
      <c r="G15" s="17" t="s">
        <v>320</v>
      </c>
      <c r="H15" s="29" t="s">
        <v>77</v>
      </c>
      <c r="I15" s="27"/>
      <c r="J15" s="27"/>
      <c r="K15" s="27"/>
      <c r="L15" s="49">
        <v>230</v>
      </c>
      <c r="M15" s="26" t="str">
        <f>"130,1685"</f>
        <v>130,1685</v>
      </c>
      <c r="N15" s="17" t="s">
        <v>55</v>
      </c>
    </row>
    <row r="16" spans="1:14" ht="12.75">
      <c r="A16" s="26" t="s">
        <v>933</v>
      </c>
      <c r="B16" s="17" t="s">
        <v>1313</v>
      </c>
      <c r="C16" s="17" t="s">
        <v>322</v>
      </c>
      <c r="D16" s="17" t="s">
        <v>323</v>
      </c>
      <c r="E16" s="17" t="str">
        <f>"0,5710"</f>
        <v>0,5710</v>
      </c>
      <c r="F16" s="52" t="s">
        <v>178</v>
      </c>
      <c r="G16" s="17" t="s">
        <v>324</v>
      </c>
      <c r="H16" s="29" t="s">
        <v>23</v>
      </c>
      <c r="I16" s="27"/>
      <c r="J16" s="27"/>
      <c r="K16" s="27"/>
      <c r="L16" s="49">
        <v>172.5</v>
      </c>
      <c r="M16" s="26" t="str">
        <f>"111,3119"</f>
        <v>111,3119</v>
      </c>
      <c r="N16" s="17" t="s">
        <v>325</v>
      </c>
    </row>
    <row r="18" spans="1:13" ht="15.75">
      <c r="A18"/>
      <c r="B18" s="97" t="s">
        <v>98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</row>
    <row r="19" spans="1:14" ht="12.75">
      <c r="A19" s="26" t="s">
        <v>933</v>
      </c>
      <c r="B19" s="17" t="s">
        <v>1441</v>
      </c>
      <c r="C19" s="17" t="s">
        <v>749</v>
      </c>
      <c r="D19" s="17" t="s">
        <v>750</v>
      </c>
      <c r="E19" s="17" t="str">
        <f>"0,5580"</f>
        <v>0,5580</v>
      </c>
      <c r="F19" s="17" t="s">
        <v>15</v>
      </c>
      <c r="G19" s="17" t="s">
        <v>59</v>
      </c>
      <c r="H19" s="29" t="s">
        <v>38</v>
      </c>
      <c r="I19" s="29" t="s">
        <v>77</v>
      </c>
      <c r="J19" s="30" t="s">
        <v>321</v>
      </c>
      <c r="K19" s="27"/>
      <c r="L19" s="49">
        <v>230</v>
      </c>
      <c r="M19" s="26" t="str">
        <f>"128,3285"</f>
        <v>128,3285</v>
      </c>
      <c r="N19" s="17" t="s">
        <v>56</v>
      </c>
    </row>
    <row r="20" spans="1:14" ht="12.75">
      <c r="A20" s="26" t="s">
        <v>933</v>
      </c>
      <c r="B20" s="17" t="s">
        <v>1441</v>
      </c>
      <c r="C20" s="17" t="s">
        <v>751</v>
      </c>
      <c r="D20" s="17" t="s">
        <v>752</v>
      </c>
      <c r="E20" s="17" t="str">
        <f>"0,5580"</f>
        <v>0,5580</v>
      </c>
      <c r="F20" s="17" t="s">
        <v>15</v>
      </c>
      <c r="G20" s="17" t="s">
        <v>59</v>
      </c>
      <c r="H20" s="29" t="s">
        <v>38</v>
      </c>
      <c r="I20" s="29" t="s">
        <v>77</v>
      </c>
      <c r="J20" s="30" t="s">
        <v>321</v>
      </c>
      <c r="K20" s="27"/>
      <c r="L20" s="49">
        <v>230</v>
      </c>
      <c r="M20" s="26" t="str">
        <f>"128,3515"</f>
        <v>128,3515</v>
      </c>
      <c r="N20" s="17" t="s">
        <v>56</v>
      </c>
    </row>
  </sheetData>
  <sheetProtection/>
  <mergeCells count="17">
    <mergeCell ref="B14:M14"/>
    <mergeCell ref="B18:M18"/>
    <mergeCell ref="B1:R2"/>
    <mergeCell ref="A3:A4"/>
    <mergeCell ref="L3:L4"/>
    <mergeCell ref="M3:M4"/>
    <mergeCell ref="N3:N4"/>
    <mergeCell ref="B5:M5"/>
    <mergeCell ref="B8:M8"/>
    <mergeCell ref="B11:M11"/>
    <mergeCell ref="H3:K3"/>
    <mergeCell ref="B3:B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36"/>
  <sheetViews>
    <sheetView workbookViewId="0" topLeftCell="A9">
      <selection activeCell="E28" sqref="E28"/>
    </sheetView>
  </sheetViews>
  <sheetFormatPr defaultColWidth="8.75390625" defaultRowHeight="12.75"/>
  <cols>
    <col min="1" max="1" width="7.875" style="28" bestFit="1" customWidth="1"/>
    <col min="2" max="2" width="24.625" style="16" customWidth="1"/>
    <col min="3" max="3" width="27.375" style="16" customWidth="1"/>
    <col min="4" max="4" width="10.625" style="16" bestFit="1" customWidth="1"/>
    <col min="5" max="5" width="12.125" style="16" customWidth="1"/>
    <col min="6" max="6" width="16.125" style="16" customWidth="1"/>
    <col min="7" max="7" width="33.625" style="16" bestFit="1" customWidth="1"/>
    <col min="8" max="10" width="5.625" style="28" bestFit="1" customWidth="1"/>
    <col min="11" max="11" width="5.125" style="28" bestFit="1" customWidth="1"/>
    <col min="12" max="12" width="12.125" style="28" customWidth="1"/>
    <col min="13" max="13" width="8.625" style="28" bestFit="1" customWidth="1"/>
    <col min="14" max="14" width="22.125" style="16" bestFit="1" customWidth="1"/>
    <col min="15" max="15" width="0.2421875" style="0" customWidth="1"/>
    <col min="16" max="18" width="9.125" style="0" hidden="1" customWidth="1"/>
  </cols>
  <sheetData>
    <row r="1" spans="2:18" s="1" customFormat="1" ht="15" customHeight="1">
      <c r="B1" s="86" t="s">
        <v>1350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102"/>
    </row>
    <row r="2" spans="2:18" s="1" customFormat="1" ht="84" customHeight="1" thickBot="1">
      <c r="B2" s="88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103"/>
    </row>
    <row r="3" spans="1:14" s="4" customFormat="1" ht="12.75" customHeight="1">
      <c r="A3" s="98" t="s">
        <v>932</v>
      </c>
      <c r="B3" s="90" t="s">
        <v>0</v>
      </c>
      <c r="C3" s="92" t="s">
        <v>1</v>
      </c>
      <c r="D3" s="92" t="s">
        <v>1226</v>
      </c>
      <c r="E3" s="94" t="s">
        <v>11</v>
      </c>
      <c r="F3" s="94" t="s">
        <v>2</v>
      </c>
      <c r="G3" s="95" t="s">
        <v>1227</v>
      </c>
      <c r="H3" s="94" t="s">
        <v>5</v>
      </c>
      <c r="I3" s="94"/>
      <c r="J3" s="94"/>
      <c r="K3" s="94"/>
      <c r="L3" s="90" t="s">
        <v>934</v>
      </c>
      <c r="M3" s="94" t="s">
        <v>9</v>
      </c>
      <c r="N3" s="100" t="s">
        <v>10</v>
      </c>
    </row>
    <row r="4" spans="1:14" s="4" customFormat="1" ht="23.25" customHeight="1" thickBot="1">
      <c r="A4" s="99"/>
      <c r="B4" s="91"/>
      <c r="C4" s="93"/>
      <c r="D4" s="93"/>
      <c r="E4" s="93"/>
      <c r="F4" s="93"/>
      <c r="G4" s="96"/>
      <c r="H4" s="7">
        <v>1</v>
      </c>
      <c r="I4" s="7">
        <v>2</v>
      </c>
      <c r="J4" s="7">
        <v>3</v>
      </c>
      <c r="K4" s="7" t="s">
        <v>7</v>
      </c>
      <c r="L4" s="91"/>
      <c r="M4" s="93"/>
      <c r="N4" s="101"/>
    </row>
    <row r="5" spans="1:13" ht="15.75">
      <c r="A5"/>
      <c r="B5" s="104" t="s">
        <v>12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</row>
    <row r="6" spans="1:14" ht="12.75">
      <c r="A6" s="26" t="s">
        <v>933</v>
      </c>
      <c r="B6" s="17" t="s">
        <v>1343</v>
      </c>
      <c r="C6" s="17" t="s">
        <v>714</v>
      </c>
      <c r="D6" s="17" t="s">
        <v>587</v>
      </c>
      <c r="E6" s="17" t="str">
        <f>"0,7919"</f>
        <v>0,7919</v>
      </c>
      <c r="F6" s="17" t="s">
        <v>15</v>
      </c>
      <c r="G6" s="17" t="s">
        <v>1244</v>
      </c>
      <c r="H6" s="29" t="s">
        <v>149</v>
      </c>
      <c r="I6" s="29" t="s">
        <v>150</v>
      </c>
      <c r="J6" s="30" t="s">
        <v>36</v>
      </c>
      <c r="K6" s="27"/>
      <c r="L6" s="49">
        <v>142.5</v>
      </c>
      <c r="M6" s="26" t="str">
        <f>"112,8457"</f>
        <v>112,8457</v>
      </c>
      <c r="N6" s="17" t="s">
        <v>1342</v>
      </c>
    </row>
    <row r="8" spans="1:13" ht="15.75">
      <c r="A8"/>
      <c r="B8" s="97" t="s">
        <v>27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</row>
    <row r="9" spans="1:14" ht="12.75">
      <c r="A9" s="26"/>
      <c r="B9" s="17" t="s">
        <v>715</v>
      </c>
      <c r="C9" s="17" t="s">
        <v>716</v>
      </c>
      <c r="D9" s="17" t="s">
        <v>29</v>
      </c>
      <c r="E9" s="17" t="str">
        <f>"0,6940"</f>
        <v>0,6940</v>
      </c>
      <c r="F9" s="17" t="s">
        <v>15</v>
      </c>
      <c r="G9" s="17" t="s">
        <v>717</v>
      </c>
      <c r="H9" s="30" t="s">
        <v>42</v>
      </c>
      <c r="I9" s="30" t="s">
        <v>42</v>
      </c>
      <c r="J9" s="30" t="s">
        <v>31</v>
      </c>
      <c r="K9" s="30"/>
      <c r="L9" s="49">
        <v>0</v>
      </c>
      <c r="M9" s="26" t="str">
        <f>"0,0000"</f>
        <v>0,0000</v>
      </c>
      <c r="N9" s="17" t="s">
        <v>718</v>
      </c>
    </row>
    <row r="11" spans="1:13" ht="15.75">
      <c r="A11"/>
      <c r="B11" s="97" t="s">
        <v>12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</row>
    <row r="12" spans="1:14" ht="12.75">
      <c r="A12" s="26" t="s">
        <v>933</v>
      </c>
      <c r="B12" s="17" t="s">
        <v>1344</v>
      </c>
      <c r="C12" s="17" t="s">
        <v>719</v>
      </c>
      <c r="D12" s="17" t="s">
        <v>720</v>
      </c>
      <c r="E12" s="17" t="str">
        <f>"0,6561"</f>
        <v>0,6561</v>
      </c>
      <c r="F12" s="52" t="s">
        <v>51</v>
      </c>
      <c r="G12" s="17" t="s">
        <v>73</v>
      </c>
      <c r="H12" s="29" t="s">
        <v>19</v>
      </c>
      <c r="I12" s="29" t="s">
        <v>42</v>
      </c>
      <c r="J12" s="30" t="s">
        <v>43</v>
      </c>
      <c r="K12" s="27"/>
      <c r="L12" s="49">
        <v>175</v>
      </c>
      <c r="M12" s="26" t="str">
        <f>"114,8262"</f>
        <v>114,8262</v>
      </c>
      <c r="N12" s="17" t="s">
        <v>297</v>
      </c>
    </row>
    <row r="14" spans="1:13" ht="15.75">
      <c r="A14"/>
      <c r="B14" s="97" t="s">
        <v>61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</row>
    <row r="15" spans="1:14" ht="12.75">
      <c r="A15" s="26" t="s">
        <v>933</v>
      </c>
      <c r="B15" s="17" t="s">
        <v>1260</v>
      </c>
      <c r="C15" s="17" t="s">
        <v>63</v>
      </c>
      <c r="D15" s="17" t="s">
        <v>64</v>
      </c>
      <c r="E15" s="17" t="str">
        <f>"0,6133"</f>
        <v>0,6133</v>
      </c>
      <c r="F15" s="17" t="s">
        <v>15</v>
      </c>
      <c r="G15" s="17" t="s">
        <v>1245</v>
      </c>
      <c r="H15" s="29" t="s">
        <v>37</v>
      </c>
      <c r="I15" s="27"/>
      <c r="J15" s="27"/>
      <c r="K15" s="27"/>
      <c r="L15" s="49">
        <v>200</v>
      </c>
      <c r="M15" s="26" t="str">
        <f>"122,6700"</f>
        <v>122,6700</v>
      </c>
      <c r="N15" s="17" t="s">
        <v>69</v>
      </c>
    </row>
    <row r="17" spans="1:13" ht="15.75">
      <c r="A17"/>
      <c r="B17" s="97" t="s">
        <v>87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</row>
    <row r="18" spans="1:14" ht="12.75">
      <c r="A18" s="26"/>
      <c r="B18" s="17" t="s">
        <v>721</v>
      </c>
      <c r="C18" s="17" t="s">
        <v>722</v>
      </c>
      <c r="D18" s="17" t="s">
        <v>218</v>
      </c>
      <c r="E18" s="17" t="str">
        <f>"0,5813"</f>
        <v>0,5813</v>
      </c>
      <c r="F18" s="52" t="s">
        <v>51</v>
      </c>
      <c r="G18" s="17" t="s">
        <v>73</v>
      </c>
      <c r="H18" s="30" t="s">
        <v>31</v>
      </c>
      <c r="I18" s="30" t="s">
        <v>43</v>
      </c>
      <c r="J18" s="30" t="s">
        <v>33</v>
      </c>
      <c r="K18" s="30"/>
      <c r="L18" s="49">
        <v>0</v>
      </c>
      <c r="M18" s="26" t="str">
        <f>"0,0000"</f>
        <v>0,0000</v>
      </c>
      <c r="N18" s="17" t="s">
        <v>297</v>
      </c>
    </row>
    <row r="19" spans="1:14" ht="12.75">
      <c r="A19" s="26" t="s">
        <v>933</v>
      </c>
      <c r="B19" s="17" t="s">
        <v>1345</v>
      </c>
      <c r="C19" s="17" t="s">
        <v>724</v>
      </c>
      <c r="D19" s="17" t="s">
        <v>725</v>
      </c>
      <c r="E19" s="17" t="str">
        <f>"0,5818"</f>
        <v>0,5818</v>
      </c>
      <c r="F19" s="17" t="s">
        <v>15</v>
      </c>
      <c r="G19" s="17" t="s">
        <v>349</v>
      </c>
      <c r="H19" s="29" t="s">
        <v>66</v>
      </c>
      <c r="I19" s="29" t="s">
        <v>305</v>
      </c>
      <c r="J19" s="29" t="s">
        <v>321</v>
      </c>
      <c r="K19" s="27"/>
      <c r="L19" s="49">
        <v>237.5</v>
      </c>
      <c r="M19" s="26" t="str">
        <f>"138,1775"</f>
        <v>138,1775</v>
      </c>
      <c r="N19" s="17" t="s">
        <v>55</v>
      </c>
    </row>
    <row r="20" spans="1:14" ht="12.75">
      <c r="A20" s="26" t="s">
        <v>935</v>
      </c>
      <c r="B20" s="17" t="s">
        <v>726</v>
      </c>
      <c r="C20" s="17" t="s">
        <v>727</v>
      </c>
      <c r="D20" s="17" t="s">
        <v>728</v>
      </c>
      <c r="E20" s="17" t="str">
        <f>"0,5823"</f>
        <v>0,5823</v>
      </c>
      <c r="F20" s="52" t="s">
        <v>162</v>
      </c>
      <c r="G20" s="17" t="s">
        <v>532</v>
      </c>
      <c r="H20" s="29" t="s">
        <v>37</v>
      </c>
      <c r="I20" s="30" t="s">
        <v>82</v>
      </c>
      <c r="J20" s="30" t="s">
        <v>82</v>
      </c>
      <c r="K20" s="27"/>
      <c r="L20" s="49">
        <v>200</v>
      </c>
      <c r="M20" s="26" t="str">
        <f>"116,4600"</f>
        <v>116,4600</v>
      </c>
      <c r="N20" s="17" t="s">
        <v>729</v>
      </c>
    </row>
    <row r="22" spans="1:13" ht="15.75">
      <c r="A22"/>
      <c r="B22" s="97" t="s">
        <v>93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</row>
    <row r="23" spans="1:14" ht="12.75">
      <c r="A23" s="26" t="s">
        <v>933</v>
      </c>
      <c r="B23" s="17" t="s">
        <v>729</v>
      </c>
      <c r="C23" s="17" t="s">
        <v>731</v>
      </c>
      <c r="D23" s="17" t="s">
        <v>732</v>
      </c>
      <c r="E23" s="17" t="str">
        <f>"0,5650"</f>
        <v>0,5650</v>
      </c>
      <c r="F23" s="52" t="s">
        <v>162</v>
      </c>
      <c r="G23" s="17" t="s">
        <v>532</v>
      </c>
      <c r="H23" s="30" t="s">
        <v>96</v>
      </c>
      <c r="I23" s="29" t="s">
        <v>96</v>
      </c>
      <c r="J23" s="30" t="s">
        <v>83</v>
      </c>
      <c r="K23" s="27"/>
      <c r="L23" s="49">
        <v>250</v>
      </c>
      <c r="M23" s="26" t="str">
        <f>"141,2500"</f>
        <v>141,2500</v>
      </c>
      <c r="N23" s="17" t="s">
        <v>55</v>
      </c>
    </row>
    <row r="24" spans="1:14" ht="12.75">
      <c r="A24" s="26" t="s">
        <v>935</v>
      </c>
      <c r="B24" s="17" t="s">
        <v>1346</v>
      </c>
      <c r="C24" s="17" t="s">
        <v>426</v>
      </c>
      <c r="D24" s="17" t="s">
        <v>427</v>
      </c>
      <c r="E24" s="17" t="str">
        <f>"0,5724"</f>
        <v>0,5724</v>
      </c>
      <c r="F24" s="17" t="s">
        <v>15</v>
      </c>
      <c r="G24" s="17" t="s">
        <v>1319</v>
      </c>
      <c r="H24" s="29" t="s">
        <v>32</v>
      </c>
      <c r="I24" s="30" t="s">
        <v>37</v>
      </c>
      <c r="J24" s="29" t="s">
        <v>74</v>
      </c>
      <c r="K24" s="27"/>
      <c r="L24" s="49">
        <v>207.5</v>
      </c>
      <c r="M24" s="26" t="str">
        <f>"118,7730"</f>
        <v>118,7730</v>
      </c>
      <c r="N24" s="17" t="s">
        <v>428</v>
      </c>
    </row>
    <row r="25" spans="1:14" ht="12.75">
      <c r="A25" s="26" t="s">
        <v>936</v>
      </c>
      <c r="B25" s="17" t="s">
        <v>1347</v>
      </c>
      <c r="C25" s="17" t="s">
        <v>733</v>
      </c>
      <c r="D25" s="17" t="s">
        <v>225</v>
      </c>
      <c r="E25" s="17" t="str">
        <f>"0,5663"</f>
        <v>0,5663</v>
      </c>
      <c r="F25" s="17" t="s">
        <v>15</v>
      </c>
      <c r="G25" s="17" t="s">
        <v>1244</v>
      </c>
      <c r="H25" s="29" t="s">
        <v>32</v>
      </c>
      <c r="I25" s="29" t="s">
        <v>446</v>
      </c>
      <c r="J25" s="29" t="s">
        <v>74</v>
      </c>
      <c r="K25" s="27"/>
      <c r="L25" s="49">
        <v>207.5</v>
      </c>
      <c r="M25" s="26" t="str">
        <f>"117,5072"</f>
        <v>117,5072</v>
      </c>
      <c r="N25" s="17" t="s">
        <v>734</v>
      </c>
    </row>
    <row r="27" spans="1:13" ht="15.75">
      <c r="A27"/>
      <c r="B27" s="97" t="s">
        <v>279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</row>
    <row r="28" spans="1:14" ht="12.75">
      <c r="A28" s="26" t="s">
        <v>933</v>
      </c>
      <c r="B28" s="17" t="s">
        <v>1348</v>
      </c>
      <c r="C28" s="17" t="s">
        <v>736</v>
      </c>
      <c r="D28" s="17" t="s">
        <v>737</v>
      </c>
      <c r="E28" s="17" t="str">
        <f>"0,5324"</f>
        <v>0,5324</v>
      </c>
      <c r="F28" s="17" t="s">
        <v>15</v>
      </c>
      <c r="G28" s="17" t="s">
        <v>1349</v>
      </c>
      <c r="H28" s="29" t="s">
        <v>739</v>
      </c>
      <c r="I28" s="29" t="s">
        <v>307</v>
      </c>
      <c r="J28" s="29" t="s">
        <v>260</v>
      </c>
      <c r="K28" s="27"/>
      <c r="L28" s="49">
        <v>302.5</v>
      </c>
      <c r="M28" s="26" t="str">
        <f>"161,0646"</f>
        <v>161,0646</v>
      </c>
      <c r="N28" s="17" t="s">
        <v>740</v>
      </c>
    </row>
    <row r="30" spans="2:3" ht="18">
      <c r="B30" s="19" t="s">
        <v>108</v>
      </c>
      <c r="C30" s="19"/>
    </row>
    <row r="31" spans="2:3" ht="15.75">
      <c r="B31" s="20" t="s">
        <v>117</v>
      </c>
      <c r="C31" s="20"/>
    </row>
    <row r="32" spans="2:3" ht="13.5">
      <c r="B32" s="22"/>
      <c r="C32" s="23" t="s">
        <v>209</v>
      </c>
    </row>
    <row r="33" spans="2:6" ht="13.5">
      <c r="B33" s="24" t="s">
        <v>111</v>
      </c>
      <c r="C33" s="24" t="s">
        <v>112</v>
      </c>
      <c r="D33" s="24" t="s">
        <v>113</v>
      </c>
      <c r="E33" s="24" t="s">
        <v>934</v>
      </c>
      <c r="F33" s="24" t="s">
        <v>115</v>
      </c>
    </row>
    <row r="34" spans="1:6" ht="12.75">
      <c r="A34" s="28" t="s">
        <v>933</v>
      </c>
      <c r="B34" s="21" t="s">
        <v>735</v>
      </c>
      <c r="C34" s="46" t="s">
        <v>110</v>
      </c>
      <c r="D34" s="46" t="s">
        <v>289</v>
      </c>
      <c r="E34" s="28" t="s">
        <v>260</v>
      </c>
      <c r="F34" s="28" t="s">
        <v>741</v>
      </c>
    </row>
    <row r="35" spans="1:6" ht="12.75">
      <c r="A35" s="28" t="s">
        <v>935</v>
      </c>
      <c r="B35" s="21" t="s">
        <v>730</v>
      </c>
      <c r="C35" s="46" t="s">
        <v>110</v>
      </c>
      <c r="D35" s="46" t="s">
        <v>118</v>
      </c>
      <c r="E35" s="28" t="s">
        <v>96</v>
      </c>
      <c r="F35" s="28" t="s">
        <v>742</v>
      </c>
    </row>
    <row r="36" spans="1:6" ht="12.75">
      <c r="A36" s="28" t="s">
        <v>936</v>
      </c>
      <c r="B36" s="21" t="s">
        <v>723</v>
      </c>
      <c r="C36" s="46" t="s">
        <v>110</v>
      </c>
      <c r="D36" s="46" t="s">
        <v>129</v>
      </c>
      <c r="E36" s="28" t="s">
        <v>321</v>
      </c>
      <c r="F36" s="28" t="s">
        <v>743</v>
      </c>
    </row>
  </sheetData>
  <sheetProtection/>
  <mergeCells count="19">
    <mergeCell ref="B14:M14"/>
    <mergeCell ref="B17:M17"/>
    <mergeCell ref="B22:M22"/>
    <mergeCell ref="B27:M27"/>
    <mergeCell ref="B1:R2"/>
    <mergeCell ref="A3:A4"/>
    <mergeCell ref="L3:L4"/>
    <mergeCell ref="M3:M4"/>
    <mergeCell ref="N3:N4"/>
    <mergeCell ref="B5:M5"/>
    <mergeCell ref="B8:M8"/>
    <mergeCell ref="B11:M11"/>
    <mergeCell ref="B3:B4"/>
    <mergeCell ref="C3:C4"/>
    <mergeCell ref="D3:D4"/>
    <mergeCell ref="E3:E4"/>
    <mergeCell ref="F3:F4"/>
    <mergeCell ref="G3:G4"/>
    <mergeCell ref="H3:K3"/>
  </mergeCells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B39" sqref="B39"/>
    </sheetView>
  </sheetViews>
  <sheetFormatPr defaultColWidth="8.75390625" defaultRowHeight="12.75"/>
  <cols>
    <col min="1" max="1" width="6.125" style="28" customWidth="1"/>
    <col min="2" max="2" width="22.375" style="16" customWidth="1"/>
    <col min="3" max="3" width="24.625" style="16" customWidth="1"/>
    <col min="4" max="4" width="10.625" style="16" bestFit="1" customWidth="1"/>
    <col min="5" max="5" width="17.125" style="16" customWidth="1"/>
    <col min="6" max="6" width="28.375" style="16" customWidth="1"/>
    <col min="7" max="7" width="12.00390625" style="28" customWidth="1"/>
    <col min="8" max="8" width="26.125" style="16" bestFit="1" customWidth="1"/>
  </cols>
  <sheetData>
    <row r="1" spans="2:8" s="1" customFormat="1" ht="15" customHeight="1">
      <c r="B1" s="86" t="s">
        <v>1225</v>
      </c>
      <c r="C1" s="87"/>
      <c r="D1" s="87"/>
      <c r="E1" s="87"/>
      <c r="F1" s="87"/>
      <c r="G1" s="87"/>
      <c r="H1" s="102"/>
    </row>
    <row r="2" spans="2:8" s="1" customFormat="1" ht="105.75" customHeight="1" thickBot="1">
      <c r="B2" s="88"/>
      <c r="C2" s="89"/>
      <c r="D2" s="89"/>
      <c r="E2" s="89"/>
      <c r="F2" s="89"/>
      <c r="G2" s="89"/>
      <c r="H2" s="103"/>
    </row>
    <row r="3" spans="1:8" s="4" customFormat="1" ht="12.75" customHeight="1">
      <c r="A3" s="98" t="s">
        <v>932</v>
      </c>
      <c r="B3" s="90" t="s">
        <v>0</v>
      </c>
      <c r="C3" s="92" t="s">
        <v>1</v>
      </c>
      <c r="D3" s="92" t="s">
        <v>1226</v>
      </c>
      <c r="E3" s="94" t="s">
        <v>2</v>
      </c>
      <c r="F3" s="95" t="s">
        <v>1227</v>
      </c>
      <c r="G3" s="94" t="s">
        <v>934</v>
      </c>
      <c r="H3" s="100" t="s">
        <v>10</v>
      </c>
    </row>
    <row r="4" spans="1:8" s="4" customFormat="1" ht="23.25" customHeight="1" thickBot="1">
      <c r="A4" s="99"/>
      <c r="B4" s="91"/>
      <c r="C4" s="93"/>
      <c r="D4" s="93"/>
      <c r="E4" s="93"/>
      <c r="F4" s="96"/>
      <c r="G4" s="93"/>
      <c r="H4" s="101"/>
    </row>
    <row r="5" spans="1:7" ht="15.75">
      <c r="A5"/>
      <c r="B5" s="104" t="s">
        <v>1520</v>
      </c>
      <c r="C5" s="104"/>
      <c r="D5" s="104"/>
      <c r="E5" s="104"/>
      <c r="F5" s="104"/>
      <c r="G5" s="104"/>
    </row>
    <row r="6" spans="1:8" ht="12.75">
      <c r="A6" s="31" t="s">
        <v>933</v>
      </c>
      <c r="B6" s="18" t="s">
        <v>1215</v>
      </c>
      <c r="C6" s="18" t="s">
        <v>1216</v>
      </c>
      <c r="D6" s="18" t="s">
        <v>1217</v>
      </c>
      <c r="E6" s="51" t="s">
        <v>1231</v>
      </c>
      <c r="F6" s="18" t="s">
        <v>1229</v>
      </c>
      <c r="G6" s="50">
        <v>72.5</v>
      </c>
      <c r="H6" s="18" t="s">
        <v>1235</v>
      </c>
    </row>
    <row r="7" spans="1:8" ht="12.75">
      <c r="A7" s="26" t="s">
        <v>935</v>
      </c>
      <c r="B7" s="17" t="s">
        <v>1218</v>
      </c>
      <c r="C7" s="17" t="s">
        <v>1219</v>
      </c>
      <c r="D7" s="17" t="s">
        <v>1220</v>
      </c>
      <c r="E7" s="17" t="s">
        <v>15</v>
      </c>
      <c r="F7" s="17" t="s">
        <v>1230</v>
      </c>
      <c r="G7" s="49">
        <v>67.5</v>
      </c>
      <c r="H7" s="17" t="s">
        <v>1228</v>
      </c>
    </row>
    <row r="8" spans="1:8" ht="12.75">
      <c r="A8" s="40" t="s">
        <v>936</v>
      </c>
      <c r="B8" s="34" t="s">
        <v>983</v>
      </c>
      <c r="C8" s="10" t="s">
        <v>967</v>
      </c>
      <c r="D8" s="10" t="s">
        <v>548</v>
      </c>
      <c r="E8" s="52" t="s">
        <v>1231</v>
      </c>
      <c r="F8" s="10" t="s">
        <v>1244</v>
      </c>
      <c r="G8" s="54">
        <v>65</v>
      </c>
      <c r="H8" s="10" t="s">
        <v>1243</v>
      </c>
    </row>
    <row r="10" spans="1:7" ht="15.75">
      <c r="A10"/>
      <c r="B10" s="97" t="s">
        <v>1521</v>
      </c>
      <c r="C10" s="97"/>
      <c r="D10" s="97"/>
      <c r="E10" s="97"/>
      <c r="F10" s="97"/>
      <c r="G10" s="97"/>
    </row>
    <row r="11" spans="1:8" ht="12.75">
      <c r="A11" s="26" t="s">
        <v>933</v>
      </c>
      <c r="B11" s="17" t="s">
        <v>1162</v>
      </c>
      <c r="C11" s="17" t="s">
        <v>1163</v>
      </c>
      <c r="D11" s="17" t="s">
        <v>1164</v>
      </c>
      <c r="E11" s="17" t="s">
        <v>15</v>
      </c>
      <c r="F11" s="17" t="s">
        <v>1156</v>
      </c>
      <c r="G11" s="49">
        <v>115</v>
      </c>
      <c r="H11" s="17" t="s">
        <v>55</v>
      </c>
    </row>
    <row r="12" spans="1:8" ht="12.75">
      <c r="A12" s="26" t="s">
        <v>935</v>
      </c>
      <c r="B12" s="17" t="s">
        <v>1176</v>
      </c>
      <c r="C12" s="17" t="s">
        <v>1177</v>
      </c>
      <c r="D12" s="17" t="s">
        <v>1178</v>
      </c>
      <c r="E12" s="10" t="s">
        <v>1241</v>
      </c>
      <c r="F12" s="17" t="s">
        <v>275</v>
      </c>
      <c r="G12" s="49">
        <v>112.5</v>
      </c>
      <c r="H12" s="17" t="s">
        <v>55</v>
      </c>
    </row>
    <row r="13" spans="1:8" ht="12.75">
      <c r="A13" s="26" t="s">
        <v>936</v>
      </c>
      <c r="B13" s="17" t="s">
        <v>988</v>
      </c>
      <c r="C13" s="17" t="s">
        <v>973</v>
      </c>
      <c r="D13" s="17" t="s">
        <v>974</v>
      </c>
      <c r="E13" s="52" t="s">
        <v>975</v>
      </c>
      <c r="F13" s="17" t="s">
        <v>976</v>
      </c>
      <c r="G13" s="49">
        <v>107.5</v>
      </c>
      <c r="H13" s="17" t="s">
        <v>55</v>
      </c>
    </row>
    <row r="14" spans="1:8" ht="12.75">
      <c r="A14" s="26" t="s">
        <v>938</v>
      </c>
      <c r="B14" s="17" t="s">
        <v>1154</v>
      </c>
      <c r="C14" s="17" t="s">
        <v>1155</v>
      </c>
      <c r="D14" s="17" t="s">
        <v>249</v>
      </c>
      <c r="E14" s="17" t="s">
        <v>15</v>
      </c>
      <c r="F14" s="17" t="s">
        <v>1156</v>
      </c>
      <c r="G14" s="49">
        <v>102.5</v>
      </c>
      <c r="H14" s="17" t="s">
        <v>55</v>
      </c>
    </row>
    <row r="15" spans="1:8" ht="12.75">
      <c r="A15" s="26" t="s">
        <v>939</v>
      </c>
      <c r="B15" s="17" t="s">
        <v>1221</v>
      </c>
      <c r="C15" s="17" t="s">
        <v>1222</v>
      </c>
      <c r="D15" s="17" t="s">
        <v>89</v>
      </c>
      <c r="E15" s="17" t="s">
        <v>15</v>
      </c>
      <c r="F15" s="17" t="s">
        <v>468</v>
      </c>
      <c r="G15" s="49">
        <v>97.5</v>
      </c>
      <c r="H15" s="17" t="s">
        <v>1223</v>
      </c>
    </row>
    <row r="16" spans="1:8" ht="12.75">
      <c r="A16" s="26" t="s">
        <v>940</v>
      </c>
      <c r="B16" s="17" t="s">
        <v>1170</v>
      </c>
      <c r="C16" s="17" t="s">
        <v>1171</v>
      </c>
      <c r="D16" s="17" t="s">
        <v>1172</v>
      </c>
      <c r="E16" s="17" t="s">
        <v>15</v>
      </c>
      <c r="F16" s="17" t="s">
        <v>1173</v>
      </c>
      <c r="G16" s="49">
        <v>97.5</v>
      </c>
      <c r="H16" s="17" t="s">
        <v>1174</v>
      </c>
    </row>
    <row r="17" spans="1:8" ht="12.75">
      <c r="A17" s="26" t="s">
        <v>1224</v>
      </c>
      <c r="B17" s="17" t="s">
        <v>1142</v>
      </c>
      <c r="C17" s="17" t="s">
        <v>1143</v>
      </c>
      <c r="D17" s="17" t="s">
        <v>14</v>
      </c>
      <c r="E17" s="17" t="s">
        <v>15</v>
      </c>
      <c r="F17" s="17" t="s">
        <v>1144</v>
      </c>
      <c r="G17" s="49">
        <v>92.5</v>
      </c>
      <c r="H17" s="17" t="s">
        <v>55</v>
      </c>
    </row>
  </sheetData>
  <sheetProtection/>
  <mergeCells count="11">
    <mergeCell ref="A3:A4"/>
    <mergeCell ref="G3:G4"/>
    <mergeCell ref="H3:H4"/>
    <mergeCell ref="B5:G5"/>
    <mergeCell ref="B10:G10"/>
    <mergeCell ref="B1:H2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118"/>
  <sheetViews>
    <sheetView workbookViewId="0" topLeftCell="A74">
      <selection activeCell="F24" sqref="F24"/>
    </sheetView>
  </sheetViews>
  <sheetFormatPr defaultColWidth="8.75390625" defaultRowHeight="12.75"/>
  <cols>
    <col min="1" max="1" width="7.875" style="28" bestFit="1" customWidth="1"/>
    <col min="2" max="2" width="23.125" style="16" customWidth="1"/>
    <col min="3" max="3" width="26.875" style="16" bestFit="1" customWidth="1"/>
    <col min="4" max="4" width="10.625" style="16" bestFit="1" customWidth="1"/>
    <col min="5" max="5" width="9.875" style="16" customWidth="1"/>
    <col min="6" max="6" width="27.75390625" style="16" customWidth="1"/>
    <col min="7" max="7" width="33.00390625" style="16" customWidth="1"/>
    <col min="8" max="10" width="5.625" style="28" bestFit="1" customWidth="1"/>
    <col min="11" max="11" width="5.125" style="28" bestFit="1" customWidth="1"/>
    <col min="12" max="12" width="11.875" style="28" customWidth="1"/>
    <col min="13" max="13" width="8.625" style="28" bestFit="1" customWidth="1"/>
    <col min="14" max="14" width="26.375" style="16" customWidth="1"/>
    <col min="15" max="18" width="9.125" style="0" hidden="1" customWidth="1"/>
  </cols>
  <sheetData>
    <row r="1" spans="2:18" s="1" customFormat="1" ht="15" customHeight="1">
      <c r="B1" s="86" t="s">
        <v>1324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102"/>
    </row>
    <row r="2" spans="2:18" s="1" customFormat="1" ht="78.75" customHeight="1" thickBot="1">
      <c r="B2" s="88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103"/>
    </row>
    <row r="3" spans="1:14" s="4" customFormat="1" ht="12.75" customHeight="1">
      <c r="A3" s="98" t="s">
        <v>8</v>
      </c>
      <c r="B3" s="90" t="s">
        <v>0</v>
      </c>
      <c r="C3" s="92" t="s">
        <v>1</v>
      </c>
      <c r="D3" s="92" t="s">
        <v>1226</v>
      </c>
      <c r="E3" s="94" t="s">
        <v>11</v>
      </c>
      <c r="F3" s="94" t="s">
        <v>2</v>
      </c>
      <c r="G3" s="95" t="s">
        <v>1227</v>
      </c>
      <c r="H3" s="94" t="s">
        <v>5</v>
      </c>
      <c r="I3" s="94"/>
      <c r="J3" s="94"/>
      <c r="K3" s="94"/>
      <c r="L3" s="90" t="s">
        <v>934</v>
      </c>
      <c r="M3" s="94" t="s">
        <v>9</v>
      </c>
      <c r="N3" s="100" t="s">
        <v>10</v>
      </c>
    </row>
    <row r="4" spans="1:14" s="4" customFormat="1" ht="23.25" customHeight="1" thickBot="1">
      <c r="A4" s="99"/>
      <c r="B4" s="91"/>
      <c r="C4" s="93"/>
      <c r="D4" s="93"/>
      <c r="E4" s="93"/>
      <c r="F4" s="93"/>
      <c r="G4" s="96"/>
      <c r="H4" s="7">
        <v>1</v>
      </c>
      <c r="I4" s="7">
        <v>2</v>
      </c>
      <c r="J4" s="7">
        <v>3</v>
      </c>
      <c r="K4" s="7" t="s">
        <v>7</v>
      </c>
      <c r="L4" s="91"/>
      <c r="M4" s="93"/>
      <c r="N4" s="101"/>
    </row>
    <row r="5" spans="1:13" ht="15.75">
      <c r="A5"/>
      <c r="B5" s="104" t="s">
        <v>481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</row>
    <row r="6" spans="1:14" ht="12.75">
      <c r="A6" s="26" t="s">
        <v>933</v>
      </c>
      <c r="B6" s="17" t="s">
        <v>482</v>
      </c>
      <c r="C6" s="17" t="s">
        <v>1437</v>
      </c>
      <c r="D6" s="17" t="s">
        <v>484</v>
      </c>
      <c r="E6" s="17" t="str">
        <f>"1,2788"</f>
        <v>1,2788</v>
      </c>
      <c r="F6" s="52" t="s">
        <v>400</v>
      </c>
      <c r="G6" s="17" t="s">
        <v>485</v>
      </c>
      <c r="H6" s="29" t="s">
        <v>486</v>
      </c>
      <c r="I6" s="29" t="s">
        <v>487</v>
      </c>
      <c r="J6" s="30" t="s">
        <v>138</v>
      </c>
      <c r="K6" s="27"/>
      <c r="L6" s="49">
        <v>53</v>
      </c>
      <c r="M6" s="26" t="str">
        <f>"67,7764"</f>
        <v>67,7764</v>
      </c>
      <c r="N6" s="17" t="s">
        <v>488</v>
      </c>
    </row>
    <row r="7" spans="1:14" ht="12.75">
      <c r="A7" s="26" t="s">
        <v>933</v>
      </c>
      <c r="B7" s="17" t="s">
        <v>482</v>
      </c>
      <c r="C7" s="17" t="s">
        <v>483</v>
      </c>
      <c r="D7" s="17" t="s">
        <v>484</v>
      </c>
      <c r="E7" s="17" t="str">
        <f>"1,2788"</f>
        <v>1,2788</v>
      </c>
      <c r="F7" s="52" t="s">
        <v>400</v>
      </c>
      <c r="G7" s="17" t="s">
        <v>485</v>
      </c>
      <c r="H7" s="29" t="s">
        <v>486</v>
      </c>
      <c r="I7" s="29" t="s">
        <v>487</v>
      </c>
      <c r="J7" s="30" t="s">
        <v>138</v>
      </c>
      <c r="K7" s="27"/>
      <c r="L7" s="49">
        <v>53</v>
      </c>
      <c r="M7" s="26" t="str">
        <f>"67,7764"</f>
        <v>67,7764</v>
      </c>
      <c r="N7" s="17" t="s">
        <v>488</v>
      </c>
    </row>
    <row r="9" spans="1:13" ht="15.75">
      <c r="A9"/>
      <c r="B9" s="97" t="s">
        <v>130</v>
      </c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</row>
    <row r="10" spans="1:14" ht="12.75">
      <c r="A10" s="26" t="s">
        <v>933</v>
      </c>
      <c r="B10" s="17" t="s">
        <v>489</v>
      </c>
      <c r="C10" s="17" t="s">
        <v>490</v>
      </c>
      <c r="D10" s="17" t="s">
        <v>328</v>
      </c>
      <c r="E10" s="17" t="str">
        <f>"1,1942"</f>
        <v>1,1942</v>
      </c>
      <c r="F10" s="52" t="s">
        <v>491</v>
      </c>
      <c r="G10" s="17" t="s">
        <v>1244</v>
      </c>
      <c r="H10" s="29" t="s">
        <v>170</v>
      </c>
      <c r="I10" s="30" t="s">
        <v>171</v>
      </c>
      <c r="J10" s="30" t="s">
        <v>171</v>
      </c>
      <c r="K10" s="27"/>
      <c r="L10" s="49">
        <v>45</v>
      </c>
      <c r="M10" s="26" t="str">
        <f>"54,2764"</f>
        <v>54,2764</v>
      </c>
      <c r="N10" s="17" t="s">
        <v>492</v>
      </c>
    </row>
    <row r="12" spans="1:13" ht="15.75">
      <c r="A12"/>
      <c r="B12" s="97" t="s">
        <v>140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</row>
    <row r="13" spans="1:14" ht="12.75">
      <c r="A13" s="26" t="s">
        <v>933</v>
      </c>
      <c r="B13" s="17" t="s">
        <v>493</v>
      </c>
      <c r="C13" s="17" t="s">
        <v>494</v>
      </c>
      <c r="D13" s="17" t="s">
        <v>495</v>
      </c>
      <c r="E13" s="17" t="str">
        <f>"1,1195"</f>
        <v>1,1195</v>
      </c>
      <c r="F13" s="52" t="s">
        <v>496</v>
      </c>
      <c r="G13" s="17" t="s">
        <v>1244</v>
      </c>
      <c r="H13" s="29" t="s">
        <v>137</v>
      </c>
      <c r="I13" s="30" t="s">
        <v>138</v>
      </c>
      <c r="J13" s="30" t="s">
        <v>138</v>
      </c>
      <c r="K13" s="27"/>
      <c r="L13" s="49">
        <v>50</v>
      </c>
      <c r="M13" s="26" t="str">
        <f>"55,9750"</f>
        <v>55,9750</v>
      </c>
      <c r="N13" s="17" t="s">
        <v>497</v>
      </c>
    </row>
    <row r="14" spans="1:14" ht="12.75">
      <c r="A14" s="26"/>
      <c r="B14" s="17" t="s">
        <v>498</v>
      </c>
      <c r="C14" s="17" t="s">
        <v>499</v>
      </c>
      <c r="D14" s="17" t="s">
        <v>500</v>
      </c>
      <c r="E14" s="17" t="str">
        <f>"1,1212"</f>
        <v>1,1212</v>
      </c>
      <c r="F14" s="17" t="s">
        <v>15</v>
      </c>
      <c r="G14" s="17" t="s">
        <v>501</v>
      </c>
      <c r="H14" s="30" t="s">
        <v>171</v>
      </c>
      <c r="I14" s="30" t="s">
        <v>146</v>
      </c>
      <c r="J14" s="30" t="s">
        <v>146</v>
      </c>
      <c r="K14" s="27"/>
      <c r="L14" s="49">
        <v>0</v>
      </c>
      <c r="M14" s="26" t="str">
        <f>"0,0000"</f>
        <v>0,0000</v>
      </c>
      <c r="N14" s="17" t="s">
        <v>55</v>
      </c>
    </row>
    <row r="16" spans="1:13" ht="15.75">
      <c r="A16"/>
      <c r="B16" s="97" t="s">
        <v>502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</row>
    <row r="17" spans="1:14" ht="12.75">
      <c r="A17" s="26" t="s">
        <v>933</v>
      </c>
      <c r="B17" s="17" t="s">
        <v>503</v>
      </c>
      <c r="C17" s="17" t="s">
        <v>504</v>
      </c>
      <c r="D17" s="17" t="s">
        <v>505</v>
      </c>
      <c r="E17" s="17" t="str">
        <f>"1,0716"</f>
        <v>1,0716</v>
      </c>
      <c r="F17" s="52" t="s">
        <v>178</v>
      </c>
      <c r="G17" s="17" t="s">
        <v>1244</v>
      </c>
      <c r="H17" s="30" t="s">
        <v>506</v>
      </c>
      <c r="I17" s="30" t="s">
        <v>506</v>
      </c>
      <c r="J17" s="29" t="s">
        <v>506</v>
      </c>
      <c r="K17" s="27"/>
      <c r="L17" s="49">
        <v>40</v>
      </c>
      <c r="M17" s="26" t="str">
        <f>"42,8640"</f>
        <v>42,8640</v>
      </c>
      <c r="N17" s="17" t="s">
        <v>325</v>
      </c>
    </row>
    <row r="18" spans="1:14" ht="12.75">
      <c r="A18" s="26" t="s">
        <v>933</v>
      </c>
      <c r="B18" s="17" t="s">
        <v>507</v>
      </c>
      <c r="C18" s="17" t="s">
        <v>508</v>
      </c>
      <c r="D18" s="17" t="s">
        <v>509</v>
      </c>
      <c r="E18" s="17" t="str">
        <f>"1,0561"</f>
        <v>1,0561</v>
      </c>
      <c r="F18" s="52" t="s">
        <v>162</v>
      </c>
      <c r="G18" s="17" t="s">
        <v>1244</v>
      </c>
      <c r="H18" s="29" t="s">
        <v>170</v>
      </c>
      <c r="I18" s="30" t="s">
        <v>510</v>
      </c>
      <c r="J18" s="30" t="s">
        <v>510</v>
      </c>
      <c r="K18" s="27"/>
      <c r="L18" s="49">
        <v>45</v>
      </c>
      <c r="M18" s="26" t="str">
        <f>"47,5245"</f>
        <v>47,5245</v>
      </c>
      <c r="N18" s="17" t="s">
        <v>396</v>
      </c>
    </row>
    <row r="19" spans="1:14" ht="12.75">
      <c r="A19" s="26" t="s">
        <v>933</v>
      </c>
      <c r="B19" s="17" t="s">
        <v>511</v>
      </c>
      <c r="C19" s="17" t="s">
        <v>512</v>
      </c>
      <c r="D19" s="17" t="s">
        <v>513</v>
      </c>
      <c r="E19" s="17" t="str">
        <f>"1,0575"</f>
        <v>1,0575</v>
      </c>
      <c r="F19" s="17" t="s">
        <v>15</v>
      </c>
      <c r="G19" s="17" t="s">
        <v>1244</v>
      </c>
      <c r="H19" s="29" t="s">
        <v>138</v>
      </c>
      <c r="I19" s="30" t="s">
        <v>148</v>
      </c>
      <c r="J19" s="29" t="s">
        <v>148</v>
      </c>
      <c r="K19" s="27"/>
      <c r="L19" s="49">
        <v>62.5</v>
      </c>
      <c r="M19" s="26" t="str">
        <f>"66,0938"</f>
        <v>66,0938</v>
      </c>
      <c r="N19" s="17" t="s">
        <v>514</v>
      </c>
    </row>
    <row r="20" spans="1:14" ht="12.75">
      <c r="A20" s="26" t="s">
        <v>935</v>
      </c>
      <c r="B20" s="17" t="s">
        <v>515</v>
      </c>
      <c r="C20" s="17" t="s">
        <v>516</v>
      </c>
      <c r="D20" s="17" t="s">
        <v>517</v>
      </c>
      <c r="E20" s="17" t="str">
        <f>"1,0484"</f>
        <v>1,0484</v>
      </c>
      <c r="F20" s="17" t="s">
        <v>15</v>
      </c>
      <c r="G20" s="17" t="s">
        <v>1244</v>
      </c>
      <c r="H20" s="29" t="s">
        <v>518</v>
      </c>
      <c r="I20" s="30" t="s">
        <v>170</v>
      </c>
      <c r="J20" s="30" t="s">
        <v>170</v>
      </c>
      <c r="K20" s="27"/>
      <c r="L20" s="49">
        <v>37.5</v>
      </c>
      <c r="M20" s="26" t="str">
        <f>"39,3150"</f>
        <v>39,3150</v>
      </c>
      <c r="N20" s="17" t="s">
        <v>55</v>
      </c>
    </row>
    <row r="21" ht="12.75">
      <c r="J21" s="33"/>
    </row>
    <row r="22" spans="1:13" ht="15.75">
      <c r="A22"/>
      <c r="B22" s="97" t="s">
        <v>331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</row>
    <row r="23" spans="1:14" ht="12.75">
      <c r="A23" s="26" t="s">
        <v>933</v>
      </c>
      <c r="B23" s="17" t="s">
        <v>519</v>
      </c>
      <c r="C23" s="17" t="s">
        <v>520</v>
      </c>
      <c r="D23" s="17" t="s">
        <v>521</v>
      </c>
      <c r="E23" s="17" t="str">
        <f>"1,0107"</f>
        <v>1,0107</v>
      </c>
      <c r="F23" s="17" t="s">
        <v>15</v>
      </c>
      <c r="G23" s="17" t="s">
        <v>1332</v>
      </c>
      <c r="H23" s="29" t="s">
        <v>148</v>
      </c>
      <c r="I23" s="30" t="s">
        <v>339</v>
      </c>
      <c r="J23" s="30" t="s">
        <v>339</v>
      </c>
      <c r="K23" s="27"/>
      <c r="L23" s="49">
        <v>62.5</v>
      </c>
      <c r="M23" s="26" t="str">
        <f>"63,1687"</f>
        <v>63,1687</v>
      </c>
      <c r="N23" s="17" t="s">
        <v>522</v>
      </c>
    </row>
    <row r="24" spans="1:14" ht="12.75">
      <c r="A24" s="26" t="s">
        <v>933</v>
      </c>
      <c r="B24" s="17" t="s">
        <v>523</v>
      </c>
      <c r="C24" s="17" t="s">
        <v>524</v>
      </c>
      <c r="D24" s="17" t="s">
        <v>525</v>
      </c>
      <c r="E24" s="17" t="str">
        <f>"0,9956"</f>
        <v>0,9956</v>
      </c>
      <c r="F24" s="52" t="s">
        <v>178</v>
      </c>
      <c r="G24" s="17" t="s">
        <v>526</v>
      </c>
      <c r="H24" s="29" t="s">
        <v>148</v>
      </c>
      <c r="I24" s="30" t="s">
        <v>527</v>
      </c>
      <c r="J24" s="30" t="s">
        <v>527</v>
      </c>
      <c r="K24" s="27"/>
      <c r="L24" s="49">
        <v>62.5</v>
      </c>
      <c r="M24" s="26" t="str">
        <f>"62,2250"</f>
        <v>62,2250</v>
      </c>
      <c r="N24" s="17" t="s">
        <v>528</v>
      </c>
    </row>
    <row r="26" spans="1:13" ht="15.75">
      <c r="A26"/>
      <c r="B26" s="97" t="s">
        <v>27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</row>
    <row r="27" spans="1:14" ht="12.75">
      <c r="A27" s="26" t="s">
        <v>933</v>
      </c>
      <c r="B27" s="17" t="s">
        <v>529</v>
      </c>
      <c r="C27" s="17" t="s">
        <v>530</v>
      </c>
      <c r="D27" s="17" t="s">
        <v>531</v>
      </c>
      <c r="E27" s="17" t="str">
        <f>"0,8653"</f>
        <v>0,8653</v>
      </c>
      <c r="F27" s="52" t="s">
        <v>168</v>
      </c>
      <c r="G27" s="17" t="s">
        <v>532</v>
      </c>
      <c r="H27" s="29" t="s">
        <v>339</v>
      </c>
      <c r="I27" s="29" t="s">
        <v>134</v>
      </c>
      <c r="J27" s="30" t="s">
        <v>135</v>
      </c>
      <c r="K27" s="27"/>
      <c r="L27" s="49">
        <v>70</v>
      </c>
      <c r="M27" s="26" t="str">
        <f>"60,5710"</f>
        <v>60,5710</v>
      </c>
      <c r="N27" s="17" t="s">
        <v>533</v>
      </c>
    </row>
    <row r="29" spans="1:13" ht="15.75">
      <c r="A29"/>
      <c r="B29" s="97" t="s">
        <v>158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</row>
    <row r="30" spans="1:14" ht="12.75">
      <c r="A30" s="26" t="s">
        <v>933</v>
      </c>
      <c r="B30" s="17" t="s">
        <v>534</v>
      </c>
      <c r="C30" s="17" t="s">
        <v>535</v>
      </c>
      <c r="D30" s="17" t="s">
        <v>536</v>
      </c>
      <c r="E30" s="17" t="str">
        <f>"0,7764"</f>
        <v>0,7764</v>
      </c>
      <c r="F30" s="17" t="s">
        <v>15</v>
      </c>
      <c r="G30" s="17" t="s">
        <v>1244</v>
      </c>
      <c r="H30" s="29" t="s">
        <v>169</v>
      </c>
      <c r="I30" s="29" t="s">
        <v>164</v>
      </c>
      <c r="J30" s="29" t="s">
        <v>22</v>
      </c>
      <c r="K30" s="27"/>
      <c r="L30" s="49">
        <v>100</v>
      </c>
      <c r="M30" s="26" t="str">
        <f>"77,6450"</f>
        <v>77,6450</v>
      </c>
      <c r="N30" s="17" t="s">
        <v>537</v>
      </c>
    </row>
    <row r="31" spans="1:14" ht="12.75">
      <c r="A31" s="26" t="s">
        <v>933</v>
      </c>
      <c r="B31" s="17" t="s">
        <v>538</v>
      </c>
      <c r="C31" s="17" t="s">
        <v>539</v>
      </c>
      <c r="D31" s="17" t="s">
        <v>540</v>
      </c>
      <c r="E31" s="17" t="str">
        <f>"0,7640"</f>
        <v>0,7640</v>
      </c>
      <c r="F31" s="52" t="s">
        <v>178</v>
      </c>
      <c r="G31" s="17" t="s">
        <v>1333</v>
      </c>
      <c r="H31" s="30" t="s">
        <v>183</v>
      </c>
      <c r="I31" s="29" t="s">
        <v>183</v>
      </c>
      <c r="J31" s="30" t="s">
        <v>169</v>
      </c>
      <c r="K31" s="27"/>
      <c r="L31" s="49">
        <v>87.5</v>
      </c>
      <c r="M31" s="26" t="str">
        <f>"66,8500"</f>
        <v>66,8500</v>
      </c>
      <c r="N31" s="17" t="s">
        <v>325</v>
      </c>
    </row>
    <row r="32" spans="1:14" ht="12.75">
      <c r="A32" s="26" t="s">
        <v>933</v>
      </c>
      <c r="B32" s="17" t="s">
        <v>541</v>
      </c>
      <c r="C32" s="17" t="s">
        <v>542</v>
      </c>
      <c r="D32" s="17" t="s">
        <v>543</v>
      </c>
      <c r="E32" s="17" t="str">
        <f>"0,7581"</f>
        <v>0,7581</v>
      </c>
      <c r="F32" s="52" t="s">
        <v>15</v>
      </c>
      <c r="G32" s="17" t="s">
        <v>422</v>
      </c>
      <c r="H32" s="29" t="s">
        <v>149</v>
      </c>
      <c r="I32" s="30" t="s">
        <v>150</v>
      </c>
      <c r="J32" s="30" t="s">
        <v>150</v>
      </c>
      <c r="K32" s="27"/>
      <c r="L32" s="49">
        <v>135</v>
      </c>
      <c r="M32" s="26" t="str">
        <f>"102,3368"</f>
        <v>102,3368</v>
      </c>
      <c r="N32" s="17" t="s">
        <v>55</v>
      </c>
    </row>
    <row r="33" spans="1:14" ht="12.75">
      <c r="A33" s="26" t="s">
        <v>933</v>
      </c>
      <c r="B33" s="17" t="s">
        <v>1325</v>
      </c>
      <c r="C33" s="17" t="s">
        <v>544</v>
      </c>
      <c r="D33" s="17" t="s">
        <v>545</v>
      </c>
      <c r="E33" s="17" t="str">
        <f>"0,7691"</f>
        <v>0,7691</v>
      </c>
      <c r="F33" s="52" t="s">
        <v>15</v>
      </c>
      <c r="G33" s="17" t="s">
        <v>1244</v>
      </c>
      <c r="H33" s="29" t="s">
        <v>208</v>
      </c>
      <c r="I33" s="29" t="s">
        <v>294</v>
      </c>
      <c r="J33" s="29" t="s">
        <v>150</v>
      </c>
      <c r="K33" s="27"/>
      <c r="L33" s="49">
        <v>142.5</v>
      </c>
      <c r="M33" s="26" t="str">
        <f>"109,5968"</f>
        <v>109,5968</v>
      </c>
      <c r="N33" s="17" t="s">
        <v>55</v>
      </c>
    </row>
    <row r="34" spans="1:14" ht="12.75">
      <c r="A34" s="26" t="s">
        <v>935</v>
      </c>
      <c r="B34" s="17" t="s">
        <v>546</v>
      </c>
      <c r="C34" s="17" t="s">
        <v>547</v>
      </c>
      <c r="D34" s="17" t="s">
        <v>548</v>
      </c>
      <c r="E34" s="17" t="str">
        <f>"0,7919"</f>
        <v>0,7919</v>
      </c>
      <c r="F34" s="52" t="s">
        <v>178</v>
      </c>
      <c r="G34" s="17" t="s">
        <v>1334</v>
      </c>
      <c r="H34" s="29" t="s">
        <v>182</v>
      </c>
      <c r="I34" s="29" t="s">
        <v>294</v>
      </c>
      <c r="J34" s="29" t="s">
        <v>34</v>
      </c>
      <c r="K34" s="27"/>
      <c r="L34" s="49">
        <v>140</v>
      </c>
      <c r="M34" s="26" t="str">
        <f>"110,8730"</f>
        <v>110,8730</v>
      </c>
      <c r="N34" s="17" t="s">
        <v>55</v>
      </c>
    </row>
    <row r="35" spans="1:14" ht="12.75">
      <c r="A35" s="26" t="s">
        <v>936</v>
      </c>
      <c r="B35" s="17" t="s">
        <v>549</v>
      </c>
      <c r="C35" s="17" t="s">
        <v>550</v>
      </c>
      <c r="D35" s="17" t="s">
        <v>551</v>
      </c>
      <c r="E35" s="17" t="str">
        <f>"0,7660"</f>
        <v>0,7660</v>
      </c>
      <c r="F35" s="52" t="s">
        <v>15</v>
      </c>
      <c r="G35" s="17" t="s">
        <v>913</v>
      </c>
      <c r="H35" s="29" t="s">
        <v>172</v>
      </c>
      <c r="I35" s="29" t="s">
        <v>187</v>
      </c>
      <c r="J35" s="29" t="s">
        <v>196</v>
      </c>
      <c r="K35" s="27"/>
      <c r="L35" s="49">
        <v>127.5</v>
      </c>
      <c r="M35" s="26" t="str">
        <f>"97,6650"</f>
        <v>97,6650</v>
      </c>
      <c r="N35" s="17" t="s">
        <v>55</v>
      </c>
    </row>
    <row r="36" spans="1:14" ht="12.75">
      <c r="A36" s="26" t="s">
        <v>938</v>
      </c>
      <c r="B36" s="17" t="s">
        <v>552</v>
      </c>
      <c r="C36" s="17" t="s">
        <v>553</v>
      </c>
      <c r="D36" s="17" t="s">
        <v>554</v>
      </c>
      <c r="E36" s="17" t="str">
        <f>"0,7650"</f>
        <v>0,7650</v>
      </c>
      <c r="F36" s="52" t="s">
        <v>168</v>
      </c>
      <c r="G36" s="17" t="s">
        <v>1244</v>
      </c>
      <c r="H36" s="29" t="s">
        <v>172</v>
      </c>
      <c r="I36" s="30" t="s">
        <v>187</v>
      </c>
      <c r="J36" s="30" t="s">
        <v>196</v>
      </c>
      <c r="K36" s="27"/>
      <c r="L36" s="49">
        <v>120</v>
      </c>
      <c r="M36" s="26" t="str">
        <f>"91,8060"</f>
        <v>91,8060</v>
      </c>
      <c r="N36" s="17" t="s">
        <v>555</v>
      </c>
    </row>
    <row r="37" spans="1:14" ht="12.75">
      <c r="A37" s="26" t="s">
        <v>933</v>
      </c>
      <c r="B37" s="17" t="s">
        <v>556</v>
      </c>
      <c r="C37" s="17" t="s">
        <v>557</v>
      </c>
      <c r="D37" s="17" t="s">
        <v>558</v>
      </c>
      <c r="E37" s="17" t="str">
        <f>"0,7531"</f>
        <v>0,7531</v>
      </c>
      <c r="F37" s="52" t="s">
        <v>1330</v>
      </c>
      <c r="G37" s="17" t="s">
        <v>1244</v>
      </c>
      <c r="H37" s="29" t="s">
        <v>20</v>
      </c>
      <c r="I37" s="29" t="s">
        <v>164</v>
      </c>
      <c r="J37" s="30" t="s">
        <v>21</v>
      </c>
      <c r="K37" s="27"/>
      <c r="L37" s="49">
        <v>95</v>
      </c>
      <c r="M37" s="26" t="str">
        <f>"99,6681"</f>
        <v>99,6681</v>
      </c>
      <c r="N37" s="17" t="s">
        <v>559</v>
      </c>
    </row>
    <row r="39" spans="1:13" ht="15.75">
      <c r="A39"/>
      <c r="B39" s="97" t="s">
        <v>27</v>
      </c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</row>
    <row r="40" spans="1:14" ht="12.75">
      <c r="A40" s="26" t="s">
        <v>933</v>
      </c>
      <c r="B40" s="17" t="s">
        <v>560</v>
      </c>
      <c r="C40" s="17" t="s">
        <v>561</v>
      </c>
      <c r="D40" s="17" t="s">
        <v>562</v>
      </c>
      <c r="E40" s="17" t="str">
        <f>"0,6998"</f>
        <v>0,6998</v>
      </c>
      <c r="F40" s="52" t="s">
        <v>491</v>
      </c>
      <c r="G40" s="17" t="s">
        <v>1244</v>
      </c>
      <c r="H40" s="29" t="s">
        <v>144</v>
      </c>
      <c r="I40" s="29" t="s">
        <v>44</v>
      </c>
      <c r="J40" s="30" t="s">
        <v>45</v>
      </c>
      <c r="K40" s="27"/>
      <c r="L40" s="49">
        <v>112.5</v>
      </c>
      <c r="M40" s="26" t="str">
        <f>"78,7219"</f>
        <v>78,7219</v>
      </c>
      <c r="N40" s="17" t="s">
        <v>55</v>
      </c>
    </row>
    <row r="41" spans="1:14" ht="12.75">
      <c r="A41" s="26" t="s">
        <v>935</v>
      </c>
      <c r="B41" s="17" t="s">
        <v>563</v>
      </c>
      <c r="C41" s="17" t="s">
        <v>564</v>
      </c>
      <c r="D41" s="17" t="s">
        <v>565</v>
      </c>
      <c r="E41" s="17" t="str">
        <f>"0,7279"</f>
        <v>0,7279</v>
      </c>
      <c r="F41" s="52" t="s">
        <v>178</v>
      </c>
      <c r="G41" s="17" t="s">
        <v>1335</v>
      </c>
      <c r="H41" s="29" t="s">
        <v>22</v>
      </c>
      <c r="I41" s="29" t="s">
        <v>203</v>
      </c>
      <c r="J41" s="30" t="s">
        <v>144</v>
      </c>
      <c r="K41" s="27"/>
      <c r="L41" s="49">
        <v>105</v>
      </c>
      <c r="M41" s="26" t="str">
        <f>"76,4295"</f>
        <v>76,4295</v>
      </c>
      <c r="N41" s="17" t="s">
        <v>325</v>
      </c>
    </row>
    <row r="42" spans="1:14" ht="12.75">
      <c r="A42" s="26"/>
      <c r="B42" s="17" t="s">
        <v>566</v>
      </c>
      <c r="C42" s="17" t="s">
        <v>567</v>
      </c>
      <c r="D42" s="17" t="s">
        <v>568</v>
      </c>
      <c r="E42" s="17" t="str">
        <f>"0,7262"</f>
        <v>0,7262</v>
      </c>
      <c r="F42" s="52" t="s">
        <v>15</v>
      </c>
      <c r="G42" s="17" t="s">
        <v>569</v>
      </c>
      <c r="H42" s="30" t="s">
        <v>145</v>
      </c>
      <c r="I42" s="30" t="s">
        <v>45</v>
      </c>
      <c r="J42" s="30" t="s">
        <v>45</v>
      </c>
      <c r="K42" s="27"/>
      <c r="L42" s="49">
        <v>0</v>
      </c>
      <c r="M42" s="26" t="str">
        <f>"0,0000"</f>
        <v>0,0000</v>
      </c>
      <c r="N42" s="17" t="s">
        <v>570</v>
      </c>
    </row>
    <row r="43" spans="1:14" ht="12.75">
      <c r="A43" s="26" t="s">
        <v>933</v>
      </c>
      <c r="B43" s="17" t="s">
        <v>571</v>
      </c>
      <c r="C43" s="17" t="s">
        <v>572</v>
      </c>
      <c r="D43" s="17" t="s">
        <v>573</v>
      </c>
      <c r="E43" s="17" t="str">
        <f>"0,7331"</f>
        <v>0,7331</v>
      </c>
      <c r="F43" s="52" t="s">
        <v>178</v>
      </c>
      <c r="G43" s="17" t="s">
        <v>574</v>
      </c>
      <c r="H43" s="29" t="s">
        <v>169</v>
      </c>
      <c r="I43" s="29" t="s">
        <v>164</v>
      </c>
      <c r="J43" s="30" t="s">
        <v>22</v>
      </c>
      <c r="K43" s="27"/>
      <c r="L43" s="49">
        <v>95</v>
      </c>
      <c r="M43" s="26" t="str">
        <f>"69,6445"</f>
        <v>69,6445</v>
      </c>
      <c r="N43" s="17" t="s">
        <v>55</v>
      </c>
    </row>
    <row r="44" spans="1:14" ht="12.75">
      <c r="A44" s="26" t="s">
        <v>935</v>
      </c>
      <c r="B44" s="17" t="s">
        <v>575</v>
      </c>
      <c r="C44" s="17" t="s">
        <v>576</v>
      </c>
      <c r="D44" s="17" t="s">
        <v>577</v>
      </c>
      <c r="E44" s="17" t="str">
        <f>"0,7012"</f>
        <v>0,7012</v>
      </c>
      <c r="F44" s="52" t="s">
        <v>178</v>
      </c>
      <c r="G44" s="17" t="s">
        <v>1244</v>
      </c>
      <c r="H44" s="30" t="s">
        <v>156</v>
      </c>
      <c r="I44" s="29" t="s">
        <v>156</v>
      </c>
      <c r="J44" s="30" t="s">
        <v>164</v>
      </c>
      <c r="K44" s="27"/>
      <c r="L44" s="49">
        <v>85</v>
      </c>
      <c r="M44" s="26" t="str">
        <f>"59,5978"</f>
        <v>59,5978</v>
      </c>
      <c r="N44" s="17" t="s">
        <v>325</v>
      </c>
    </row>
    <row r="45" spans="1:14" ht="12.75">
      <c r="A45" s="26"/>
      <c r="B45" s="17" t="s">
        <v>578</v>
      </c>
      <c r="C45" s="17" t="s">
        <v>579</v>
      </c>
      <c r="D45" s="17" t="s">
        <v>580</v>
      </c>
      <c r="E45" s="17" t="str">
        <f>"0,6955"</f>
        <v>0,6955</v>
      </c>
      <c r="F45" s="52" t="s">
        <v>178</v>
      </c>
      <c r="G45" s="17" t="s">
        <v>581</v>
      </c>
      <c r="H45" s="30" t="s">
        <v>22</v>
      </c>
      <c r="I45" s="30" t="s">
        <v>203</v>
      </c>
      <c r="J45" s="30" t="s">
        <v>203</v>
      </c>
      <c r="K45" s="27"/>
      <c r="L45" s="49">
        <v>0</v>
      </c>
      <c r="M45" s="26" t="str">
        <f>"0,0000"</f>
        <v>0,0000</v>
      </c>
      <c r="N45" s="17" t="s">
        <v>325</v>
      </c>
    </row>
    <row r="46" spans="1:14" ht="12.75">
      <c r="A46" s="26" t="s">
        <v>933</v>
      </c>
      <c r="B46" s="17" t="s">
        <v>582</v>
      </c>
      <c r="C46" s="17" t="s">
        <v>583</v>
      </c>
      <c r="D46" s="17" t="s">
        <v>29</v>
      </c>
      <c r="E46" s="17" t="str">
        <f>"0,6940"</f>
        <v>0,6940</v>
      </c>
      <c r="F46" s="52" t="s">
        <v>162</v>
      </c>
      <c r="G46" s="17" t="s">
        <v>163</v>
      </c>
      <c r="H46" s="29" t="s">
        <v>584</v>
      </c>
      <c r="I46" s="29" t="s">
        <v>46</v>
      </c>
      <c r="J46" s="29" t="s">
        <v>187</v>
      </c>
      <c r="K46" s="27"/>
      <c r="L46" s="49">
        <v>125</v>
      </c>
      <c r="M46" s="26" t="str">
        <f>"90,4803"</f>
        <v>90,4803</v>
      </c>
      <c r="N46" s="17" t="s">
        <v>396</v>
      </c>
    </row>
    <row r="48" spans="1:13" ht="15.75">
      <c r="A48"/>
      <c r="B48" s="97" t="s">
        <v>12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</row>
    <row r="49" spans="1:14" ht="12.75">
      <c r="A49" s="26" t="s">
        <v>933</v>
      </c>
      <c r="B49" s="17" t="s">
        <v>585</v>
      </c>
      <c r="C49" s="17" t="s">
        <v>586</v>
      </c>
      <c r="D49" s="17" t="s">
        <v>587</v>
      </c>
      <c r="E49" s="17" t="str">
        <f>"0,6492"</f>
        <v>0,6492</v>
      </c>
      <c r="F49" s="52" t="s">
        <v>15</v>
      </c>
      <c r="G49" s="17" t="s">
        <v>526</v>
      </c>
      <c r="H49" s="29" t="s">
        <v>148</v>
      </c>
      <c r="I49" s="29" t="s">
        <v>527</v>
      </c>
      <c r="J49" s="29" t="s">
        <v>588</v>
      </c>
      <c r="K49" s="27"/>
      <c r="L49" s="49">
        <v>72.5</v>
      </c>
      <c r="M49" s="26" t="str">
        <f>"47,0706"</f>
        <v>47,0706</v>
      </c>
      <c r="N49" s="17" t="s">
        <v>589</v>
      </c>
    </row>
    <row r="50" spans="1:14" ht="12.75">
      <c r="A50" s="26" t="s">
        <v>933</v>
      </c>
      <c r="B50" s="17" t="s">
        <v>590</v>
      </c>
      <c r="C50" s="17" t="s">
        <v>591</v>
      </c>
      <c r="D50" s="17" t="s">
        <v>592</v>
      </c>
      <c r="E50" s="17" t="str">
        <f>"0,6471"</f>
        <v>0,6471</v>
      </c>
      <c r="F50" s="52" t="s">
        <v>168</v>
      </c>
      <c r="G50" s="17" t="s">
        <v>1244</v>
      </c>
      <c r="H50" s="29" t="s">
        <v>22</v>
      </c>
      <c r="I50" s="29" t="s">
        <v>53</v>
      </c>
      <c r="J50" s="30" t="s">
        <v>145</v>
      </c>
      <c r="K50" s="27"/>
      <c r="L50" s="49">
        <v>110</v>
      </c>
      <c r="M50" s="26" t="str">
        <f>"71,1865"</f>
        <v>71,1865</v>
      </c>
      <c r="N50" s="17" t="s">
        <v>1338</v>
      </c>
    </row>
    <row r="51" spans="1:14" ht="12.75">
      <c r="A51" s="26" t="s">
        <v>933</v>
      </c>
      <c r="B51" s="17" t="s">
        <v>1326</v>
      </c>
      <c r="C51" s="17" t="s">
        <v>594</v>
      </c>
      <c r="D51" s="17" t="s">
        <v>595</v>
      </c>
      <c r="E51" s="17" t="str">
        <f>"0,6557"</f>
        <v>0,6557</v>
      </c>
      <c r="F51" s="52" t="s">
        <v>15</v>
      </c>
      <c r="G51" s="17" t="s">
        <v>1244</v>
      </c>
      <c r="H51" s="30" t="s">
        <v>90</v>
      </c>
      <c r="I51" s="29" t="s">
        <v>90</v>
      </c>
      <c r="J51" s="30" t="s">
        <v>259</v>
      </c>
      <c r="K51" s="27"/>
      <c r="L51" s="49">
        <v>185</v>
      </c>
      <c r="M51" s="26" t="str">
        <f>"121,2953"</f>
        <v>121,2953</v>
      </c>
      <c r="N51" s="17" t="s">
        <v>55</v>
      </c>
    </row>
    <row r="52" spans="1:14" ht="12.75">
      <c r="A52" s="26" t="s">
        <v>935</v>
      </c>
      <c r="B52" s="17" t="s">
        <v>596</v>
      </c>
      <c r="C52" s="17" t="s">
        <v>597</v>
      </c>
      <c r="D52" s="17" t="s">
        <v>598</v>
      </c>
      <c r="E52" s="17" t="str">
        <f>"0,6606"</f>
        <v>0,6606</v>
      </c>
      <c r="F52" s="52" t="s">
        <v>15</v>
      </c>
      <c r="G52" s="17" t="s">
        <v>441</v>
      </c>
      <c r="H52" s="30" t="s">
        <v>36</v>
      </c>
      <c r="I52" s="30" t="s">
        <v>36</v>
      </c>
      <c r="J52" s="29" t="s">
        <v>36</v>
      </c>
      <c r="K52" s="27"/>
      <c r="L52" s="49">
        <v>150</v>
      </c>
      <c r="M52" s="26" t="str">
        <f>"99,0900"</f>
        <v>99,0900</v>
      </c>
      <c r="N52" s="17" t="s">
        <v>55</v>
      </c>
    </row>
    <row r="53" spans="1:14" ht="12.75">
      <c r="A53" s="26" t="s">
        <v>936</v>
      </c>
      <c r="B53" s="17" t="s">
        <v>599</v>
      </c>
      <c r="C53" s="17" t="s">
        <v>600</v>
      </c>
      <c r="D53" s="17" t="s">
        <v>14</v>
      </c>
      <c r="E53" s="17" t="str">
        <f>"0,6641"</f>
        <v>0,6641</v>
      </c>
      <c r="F53" s="52" t="s">
        <v>15</v>
      </c>
      <c r="G53" s="17" t="s">
        <v>1244</v>
      </c>
      <c r="H53" s="30" t="s">
        <v>294</v>
      </c>
      <c r="I53" s="29" t="s">
        <v>294</v>
      </c>
      <c r="J53" s="29" t="s">
        <v>35</v>
      </c>
      <c r="K53" s="27"/>
      <c r="L53" s="49">
        <v>145</v>
      </c>
      <c r="M53" s="26" t="str">
        <f>"96,2945"</f>
        <v>96,2945</v>
      </c>
      <c r="N53" s="17" t="s">
        <v>55</v>
      </c>
    </row>
    <row r="54" spans="1:14" ht="12.75">
      <c r="A54" s="26" t="s">
        <v>938</v>
      </c>
      <c r="B54" s="17" t="s">
        <v>601</v>
      </c>
      <c r="C54" s="17" t="s">
        <v>602</v>
      </c>
      <c r="D54" s="17" t="s">
        <v>603</v>
      </c>
      <c r="E54" s="17" t="str">
        <f>"0,6578"</f>
        <v>0,6578</v>
      </c>
      <c r="F54" s="52" t="s">
        <v>178</v>
      </c>
      <c r="G54" s="17" t="s">
        <v>604</v>
      </c>
      <c r="H54" s="30" t="s">
        <v>208</v>
      </c>
      <c r="I54" s="29" t="s">
        <v>208</v>
      </c>
      <c r="J54" s="30" t="s">
        <v>34</v>
      </c>
      <c r="K54" s="27"/>
      <c r="L54" s="49">
        <v>130</v>
      </c>
      <c r="M54" s="26" t="str">
        <f>"85,5140"</f>
        <v>85,5140</v>
      </c>
      <c r="N54" s="17" t="s">
        <v>325</v>
      </c>
    </row>
    <row r="55" spans="1:14" ht="12.75">
      <c r="A55" s="26" t="s">
        <v>939</v>
      </c>
      <c r="B55" s="17" t="s">
        <v>605</v>
      </c>
      <c r="C55" s="17" t="s">
        <v>606</v>
      </c>
      <c r="D55" s="17" t="s">
        <v>607</v>
      </c>
      <c r="E55" s="17" t="str">
        <f>"0,6503"</f>
        <v>0,6503</v>
      </c>
      <c r="F55" s="52" t="s">
        <v>15</v>
      </c>
      <c r="G55" s="17" t="s">
        <v>1244</v>
      </c>
      <c r="H55" s="29" t="s">
        <v>145</v>
      </c>
      <c r="I55" s="29" t="s">
        <v>46</v>
      </c>
      <c r="J55" s="29" t="s">
        <v>196</v>
      </c>
      <c r="K55" s="27"/>
      <c r="L55" s="49">
        <v>127.5</v>
      </c>
      <c r="M55" s="26" t="str">
        <f>"82,9069"</f>
        <v>82,9069</v>
      </c>
      <c r="N55" s="17" t="s">
        <v>608</v>
      </c>
    </row>
    <row r="57" spans="1:13" ht="15.75">
      <c r="A57"/>
      <c r="B57" s="97" t="s">
        <v>61</v>
      </c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</row>
    <row r="58" spans="1:14" ht="12.75">
      <c r="A58" s="26" t="s">
        <v>933</v>
      </c>
      <c r="B58" s="17" t="s">
        <v>1327</v>
      </c>
      <c r="C58" s="17" t="s">
        <v>609</v>
      </c>
      <c r="D58" s="17" t="s">
        <v>610</v>
      </c>
      <c r="E58" s="17" t="str">
        <f>"0,6157"</f>
        <v>0,6157</v>
      </c>
      <c r="F58" s="52" t="s">
        <v>491</v>
      </c>
      <c r="G58" s="17" t="s">
        <v>1244</v>
      </c>
      <c r="H58" s="29" t="s">
        <v>42</v>
      </c>
      <c r="I58" s="29" t="s">
        <v>31</v>
      </c>
      <c r="J58" s="30" t="s">
        <v>90</v>
      </c>
      <c r="K58" s="27"/>
      <c r="L58" s="49">
        <v>180</v>
      </c>
      <c r="M58" s="26" t="str">
        <f>"110,8260"</f>
        <v>110,8260</v>
      </c>
      <c r="N58" s="17" t="s">
        <v>611</v>
      </c>
    </row>
    <row r="59" spans="1:14" ht="12.75">
      <c r="A59" s="26"/>
      <c r="B59" s="17" t="s">
        <v>612</v>
      </c>
      <c r="C59" s="17" t="s">
        <v>613</v>
      </c>
      <c r="D59" s="17" t="s">
        <v>614</v>
      </c>
      <c r="E59" s="17" t="str">
        <f>"0,6197"</f>
        <v>0,6197</v>
      </c>
      <c r="F59" s="52" t="s">
        <v>15</v>
      </c>
      <c r="G59" s="17" t="s">
        <v>1244</v>
      </c>
      <c r="H59" s="30" t="s">
        <v>150</v>
      </c>
      <c r="I59" s="30" t="s">
        <v>271</v>
      </c>
      <c r="J59" s="30"/>
      <c r="K59" s="30"/>
      <c r="L59" s="49">
        <v>0</v>
      </c>
      <c r="M59" s="26" t="str">
        <f>"0,0000"</f>
        <v>0,0000</v>
      </c>
      <c r="N59" s="17" t="s">
        <v>55</v>
      </c>
    </row>
    <row r="60" spans="1:14" ht="12.75">
      <c r="A60" s="26" t="s">
        <v>933</v>
      </c>
      <c r="B60" s="17" t="s">
        <v>1260</v>
      </c>
      <c r="C60" s="17" t="s">
        <v>63</v>
      </c>
      <c r="D60" s="17" t="s">
        <v>64</v>
      </c>
      <c r="E60" s="17" t="str">
        <f>"0,6133"</f>
        <v>0,6133</v>
      </c>
      <c r="F60" s="52" t="s">
        <v>15</v>
      </c>
      <c r="G60" s="17" t="s">
        <v>1245</v>
      </c>
      <c r="H60" s="29" t="s">
        <v>19</v>
      </c>
      <c r="I60" s="29" t="s">
        <v>67</v>
      </c>
      <c r="J60" s="30"/>
      <c r="K60" s="27"/>
      <c r="L60" s="49">
        <v>170</v>
      </c>
      <c r="M60" s="26" t="str">
        <f>"104,2695"</f>
        <v>104,2695</v>
      </c>
      <c r="N60" s="17" t="s">
        <v>69</v>
      </c>
    </row>
    <row r="61" spans="1:14" ht="12.75">
      <c r="A61" s="26" t="s">
        <v>935</v>
      </c>
      <c r="B61" s="17" t="s">
        <v>615</v>
      </c>
      <c r="C61" s="17" t="s">
        <v>616</v>
      </c>
      <c r="D61" s="17" t="s">
        <v>617</v>
      </c>
      <c r="E61" s="17" t="str">
        <f>"0,6188"</f>
        <v>0,6188</v>
      </c>
      <c r="F61" s="52" t="s">
        <v>15</v>
      </c>
      <c r="G61" s="17" t="s">
        <v>1244</v>
      </c>
      <c r="H61" s="29" t="s">
        <v>17</v>
      </c>
      <c r="I61" s="27" t="s">
        <v>18</v>
      </c>
      <c r="J61" s="30" t="s">
        <v>18</v>
      </c>
      <c r="K61" s="27"/>
      <c r="L61" s="49">
        <v>155</v>
      </c>
      <c r="M61" s="26" t="str">
        <f>"95,9217"</f>
        <v>95,9217</v>
      </c>
      <c r="N61" s="17" t="s">
        <v>55</v>
      </c>
    </row>
    <row r="62" spans="1:14" ht="12.75">
      <c r="A62" s="26" t="s">
        <v>936</v>
      </c>
      <c r="B62" s="17" t="s">
        <v>618</v>
      </c>
      <c r="C62" s="17" t="s">
        <v>619</v>
      </c>
      <c r="D62" s="17" t="s">
        <v>620</v>
      </c>
      <c r="E62" s="17" t="str">
        <f>"0,6192"</f>
        <v>0,6192</v>
      </c>
      <c r="F62" s="52" t="s">
        <v>15</v>
      </c>
      <c r="G62" s="17" t="s">
        <v>621</v>
      </c>
      <c r="H62" s="30" t="s">
        <v>271</v>
      </c>
      <c r="I62" s="29" t="s">
        <v>271</v>
      </c>
      <c r="J62" s="30" t="s">
        <v>17</v>
      </c>
      <c r="K62" s="27"/>
      <c r="L62" s="49">
        <v>147.5</v>
      </c>
      <c r="M62" s="26" t="str">
        <f>"91,3394"</f>
        <v>91,3394</v>
      </c>
      <c r="N62" s="17" t="s">
        <v>622</v>
      </c>
    </row>
    <row r="63" spans="1:14" ht="12.75">
      <c r="A63" s="26"/>
      <c r="B63" s="17" t="s">
        <v>623</v>
      </c>
      <c r="C63" s="17" t="s">
        <v>624</v>
      </c>
      <c r="D63" s="17" t="s">
        <v>625</v>
      </c>
      <c r="E63" s="17" t="str">
        <f>"0,6238"</f>
        <v>0,6238</v>
      </c>
      <c r="F63" s="52" t="s">
        <v>15</v>
      </c>
      <c r="G63" s="17" t="s">
        <v>1336</v>
      </c>
      <c r="H63" s="30" t="s">
        <v>202</v>
      </c>
      <c r="I63" s="30" t="s">
        <v>202</v>
      </c>
      <c r="J63" s="30" t="s">
        <v>202</v>
      </c>
      <c r="K63" s="27"/>
      <c r="L63" s="49">
        <v>0</v>
      </c>
      <c r="M63" s="26" t="str">
        <f>"0,0000"</f>
        <v>0,0000</v>
      </c>
      <c r="N63" s="17" t="s">
        <v>55</v>
      </c>
    </row>
    <row r="64" spans="1:14" ht="12.75">
      <c r="A64" s="26"/>
      <c r="B64" s="17" t="s">
        <v>1513</v>
      </c>
      <c r="C64" s="17" t="s">
        <v>627</v>
      </c>
      <c r="D64" s="17" t="s">
        <v>614</v>
      </c>
      <c r="E64" s="17" t="str">
        <f>"0,6197"</f>
        <v>0,6197</v>
      </c>
      <c r="F64" s="52" t="s">
        <v>168</v>
      </c>
      <c r="G64" s="17" t="s">
        <v>1244</v>
      </c>
      <c r="H64" s="30" t="s">
        <v>67</v>
      </c>
      <c r="I64" s="30" t="s">
        <v>67</v>
      </c>
      <c r="J64" s="30" t="s">
        <v>67</v>
      </c>
      <c r="K64" s="27"/>
      <c r="L64" s="49">
        <v>0</v>
      </c>
      <c r="M64" s="26" t="str">
        <f>"0,0000"</f>
        <v>0,0000</v>
      </c>
      <c r="N64" s="17" t="s">
        <v>555</v>
      </c>
    </row>
    <row r="65" spans="1:14" ht="12.75">
      <c r="A65" s="26" t="s">
        <v>933</v>
      </c>
      <c r="B65" s="17" t="s">
        <v>628</v>
      </c>
      <c r="C65" s="17" t="s">
        <v>629</v>
      </c>
      <c r="D65" s="17" t="s">
        <v>630</v>
      </c>
      <c r="E65" s="17" t="str">
        <f>"0,6130"</f>
        <v>0,6130</v>
      </c>
      <c r="F65" s="52" t="s">
        <v>631</v>
      </c>
      <c r="G65" s="17" t="s">
        <v>60</v>
      </c>
      <c r="H65" s="29" t="s">
        <v>150</v>
      </c>
      <c r="I65" s="29" t="s">
        <v>202</v>
      </c>
      <c r="J65" s="29" t="s">
        <v>632</v>
      </c>
      <c r="K65" s="27"/>
      <c r="L65" s="49">
        <v>157.5</v>
      </c>
      <c r="M65" s="26" t="str">
        <f>"103,1127"</f>
        <v>103,1127</v>
      </c>
      <c r="N65" s="17" t="s">
        <v>633</v>
      </c>
    </row>
    <row r="66" spans="1:14" ht="12.75">
      <c r="A66" s="26" t="s">
        <v>935</v>
      </c>
      <c r="B66" s="17" t="s">
        <v>634</v>
      </c>
      <c r="C66" s="17" t="s">
        <v>635</v>
      </c>
      <c r="D66" s="17" t="s">
        <v>368</v>
      </c>
      <c r="E66" s="17" t="str">
        <f>"0,6373"</f>
        <v>0,6373</v>
      </c>
      <c r="F66" s="52" t="s">
        <v>15</v>
      </c>
      <c r="G66" s="17" t="s">
        <v>324</v>
      </c>
      <c r="H66" s="30" t="s">
        <v>36</v>
      </c>
      <c r="I66" s="29" t="s">
        <v>17</v>
      </c>
      <c r="J66" s="30" t="s">
        <v>632</v>
      </c>
      <c r="K66" s="27"/>
      <c r="L66" s="49">
        <v>155</v>
      </c>
      <c r="M66" s="26" t="str">
        <f>"108,3548"</f>
        <v>108,3548</v>
      </c>
      <c r="N66" s="17" t="s">
        <v>363</v>
      </c>
    </row>
    <row r="68" spans="1:13" ht="15.75">
      <c r="A68"/>
      <c r="B68" s="97" t="s">
        <v>87</v>
      </c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</row>
    <row r="69" spans="1:14" ht="12.75">
      <c r="A69" s="26" t="s">
        <v>933</v>
      </c>
      <c r="B69" s="17" t="s">
        <v>636</v>
      </c>
      <c r="C69" s="17" t="s">
        <v>637</v>
      </c>
      <c r="D69" s="17" t="s">
        <v>638</v>
      </c>
      <c r="E69" s="17" t="str">
        <f>"0,5867"</f>
        <v>0,5867</v>
      </c>
      <c r="F69" s="52" t="s">
        <v>15</v>
      </c>
      <c r="G69" s="17" t="s">
        <v>639</v>
      </c>
      <c r="H69" s="29" t="s">
        <v>52</v>
      </c>
      <c r="I69" s="29" t="s">
        <v>42</v>
      </c>
      <c r="J69" s="29" t="s">
        <v>31</v>
      </c>
      <c r="K69" s="27"/>
      <c r="L69" s="49">
        <v>180</v>
      </c>
      <c r="M69" s="26" t="str">
        <f>"105,5970"</f>
        <v>105,5970</v>
      </c>
      <c r="N69" s="17" t="s">
        <v>55</v>
      </c>
    </row>
    <row r="70" spans="1:14" ht="12.75">
      <c r="A70" s="26" t="s">
        <v>935</v>
      </c>
      <c r="B70" s="17" t="s">
        <v>640</v>
      </c>
      <c r="C70" s="17" t="s">
        <v>641</v>
      </c>
      <c r="D70" s="17" t="s">
        <v>218</v>
      </c>
      <c r="E70" s="17" t="str">
        <f>"0,5813"</f>
        <v>0,5813</v>
      </c>
      <c r="F70" s="52" t="s">
        <v>15</v>
      </c>
      <c r="G70" s="17" t="s">
        <v>642</v>
      </c>
      <c r="H70" s="29" t="s">
        <v>67</v>
      </c>
      <c r="I70" s="29" t="s">
        <v>42</v>
      </c>
      <c r="J70" s="29" t="s">
        <v>31</v>
      </c>
      <c r="K70" s="27"/>
      <c r="L70" s="49">
        <v>180</v>
      </c>
      <c r="M70" s="26" t="str">
        <f>"104,6340"</f>
        <v>104,6340</v>
      </c>
      <c r="N70" s="17" t="s">
        <v>643</v>
      </c>
    </row>
    <row r="71" spans="1:14" ht="12.75">
      <c r="A71" s="26" t="s">
        <v>936</v>
      </c>
      <c r="B71" s="17" t="s">
        <v>644</v>
      </c>
      <c r="C71" s="17" t="s">
        <v>645</v>
      </c>
      <c r="D71" s="17" t="s">
        <v>646</v>
      </c>
      <c r="E71" s="17" t="str">
        <f>"0,5908"</f>
        <v>0,5908</v>
      </c>
      <c r="F71" s="52" t="s">
        <v>15</v>
      </c>
      <c r="G71" s="17" t="s">
        <v>445</v>
      </c>
      <c r="H71" s="30" t="s">
        <v>17</v>
      </c>
      <c r="I71" s="30" t="s">
        <v>17</v>
      </c>
      <c r="J71" s="29" t="s">
        <v>17</v>
      </c>
      <c r="K71" s="27"/>
      <c r="L71" s="49">
        <v>155</v>
      </c>
      <c r="M71" s="26" t="str">
        <f>"91,5740"</f>
        <v>91,5740</v>
      </c>
      <c r="N71" s="17" t="s">
        <v>647</v>
      </c>
    </row>
    <row r="72" spans="1:14" ht="12.75">
      <c r="A72" s="26" t="s">
        <v>938</v>
      </c>
      <c r="B72" s="17" t="s">
        <v>648</v>
      </c>
      <c r="C72" s="17" t="s">
        <v>649</v>
      </c>
      <c r="D72" s="17" t="s">
        <v>650</v>
      </c>
      <c r="E72" s="17" t="str">
        <f>"0,5816"</f>
        <v>0,5816</v>
      </c>
      <c r="F72" s="52" t="s">
        <v>491</v>
      </c>
      <c r="G72" s="17" t="s">
        <v>1244</v>
      </c>
      <c r="H72" s="29" t="s">
        <v>35</v>
      </c>
      <c r="I72" s="30" t="s">
        <v>36</v>
      </c>
      <c r="J72" s="29" t="s">
        <v>36</v>
      </c>
      <c r="K72" s="27"/>
      <c r="L72" s="49">
        <v>150</v>
      </c>
      <c r="M72" s="26" t="str">
        <f>"87,2325"</f>
        <v>87,2325</v>
      </c>
      <c r="N72" s="17" t="s">
        <v>55</v>
      </c>
    </row>
    <row r="73" spans="1:14" ht="12.75">
      <c r="A73" s="26" t="s">
        <v>939</v>
      </c>
      <c r="B73" s="17" t="s">
        <v>397</v>
      </c>
      <c r="C73" s="17" t="s">
        <v>398</v>
      </c>
      <c r="D73" s="17" t="s">
        <v>399</v>
      </c>
      <c r="E73" s="17" t="str">
        <f>"0,5850"</f>
        <v>0,5850</v>
      </c>
      <c r="F73" s="52" t="s">
        <v>400</v>
      </c>
      <c r="G73" s="17" t="s">
        <v>401</v>
      </c>
      <c r="H73" s="30" t="s">
        <v>35</v>
      </c>
      <c r="I73" s="29" t="s">
        <v>35</v>
      </c>
      <c r="J73" s="30" t="s">
        <v>18</v>
      </c>
      <c r="K73" s="27"/>
      <c r="L73" s="49">
        <v>145</v>
      </c>
      <c r="M73" s="26" t="str">
        <f>"84,8322"</f>
        <v>84,8322</v>
      </c>
      <c r="N73" s="17" t="s">
        <v>55</v>
      </c>
    </row>
    <row r="74" spans="1:14" ht="12.75">
      <c r="A74" s="26" t="s">
        <v>940</v>
      </c>
      <c r="B74" s="17" t="s">
        <v>651</v>
      </c>
      <c r="C74" s="17" t="s">
        <v>652</v>
      </c>
      <c r="D74" s="17" t="s">
        <v>207</v>
      </c>
      <c r="E74" s="17" t="str">
        <f>"0,5905"</f>
        <v>0,5905</v>
      </c>
      <c r="F74" s="52" t="s">
        <v>15</v>
      </c>
      <c r="G74" s="17" t="s">
        <v>1337</v>
      </c>
      <c r="H74" s="30" t="s">
        <v>34</v>
      </c>
      <c r="I74" s="29" t="s">
        <v>34</v>
      </c>
      <c r="J74" s="30" t="s">
        <v>35</v>
      </c>
      <c r="K74" s="27"/>
      <c r="L74" s="49">
        <v>140</v>
      </c>
      <c r="M74" s="26" t="str">
        <f>"82,6700"</f>
        <v>82,6700</v>
      </c>
      <c r="N74" s="17" t="s">
        <v>653</v>
      </c>
    </row>
    <row r="75" spans="1:14" ht="12.75">
      <c r="A75" s="26"/>
      <c r="B75" s="17" t="s">
        <v>654</v>
      </c>
      <c r="C75" s="17" t="s">
        <v>655</v>
      </c>
      <c r="D75" s="17" t="s">
        <v>302</v>
      </c>
      <c r="E75" s="17" t="str">
        <f>"0,5891"</f>
        <v>0,5891</v>
      </c>
      <c r="F75" s="52" t="s">
        <v>15</v>
      </c>
      <c r="G75" s="17" t="s">
        <v>1244</v>
      </c>
      <c r="H75" s="30" t="s">
        <v>34</v>
      </c>
      <c r="I75" s="30" t="s">
        <v>34</v>
      </c>
      <c r="J75" s="30" t="s">
        <v>34</v>
      </c>
      <c r="K75" s="27"/>
      <c r="L75" s="49">
        <v>0</v>
      </c>
      <c r="M75" s="26" t="str">
        <f>"0,0000"</f>
        <v>0,0000</v>
      </c>
      <c r="N75" s="17" t="s">
        <v>1339</v>
      </c>
    </row>
    <row r="76" spans="1:14" ht="12.75">
      <c r="A76" s="26" t="s">
        <v>933</v>
      </c>
      <c r="B76" s="17" t="s">
        <v>656</v>
      </c>
      <c r="C76" s="17" t="s">
        <v>657</v>
      </c>
      <c r="D76" s="17" t="s">
        <v>658</v>
      </c>
      <c r="E76" s="17" t="str">
        <f>"0,5853"</f>
        <v>0,5853</v>
      </c>
      <c r="F76" s="52" t="s">
        <v>15</v>
      </c>
      <c r="G76" s="17" t="s">
        <v>1244</v>
      </c>
      <c r="H76" s="30" t="s">
        <v>632</v>
      </c>
      <c r="I76" s="29" t="s">
        <v>18</v>
      </c>
      <c r="J76" s="29" t="s">
        <v>191</v>
      </c>
      <c r="K76" s="27"/>
      <c r="L76" s="49">
        <v>162.5</v>
      </c>
      <c r="M76" s="26" t="str">
        <f>"104,3460"</f>
        <v>104,3460</v>
      </c>
      <c r="N76" s="17" t="s">
        <v>659</v>
      </c>
    </row>
    <row r="77" spans="1:14" ht="12.75">
      <c r="A77" s="26" t="s">
        <v>933</v>
      </c>
      <c r="B77" s="17" t="s">
        <v>660</v>
      </c>
      <c r="C77" s="17" t="s">
        <v>661</v>
      </c>
      <c r="D77" s="17" t="s">
        <v>662</v>
      </c>
      <c r="E77" s="17" t="str">
        <f>"0,5932"</f>
        <v>0,5932</v>
      </c>
      <c r="F77" s="52" t="s">
        <v>15</v>
      </c>
      <c r="G77" s="17" t="s">
        <v>1244</v>
      </c>
      <c r="H77" s="29" t="s">
        <v>164</v>
      </c>
      <c r="I77" s="29" t="s">
        <v>22</v>
      </c>
      <c r="J77" s="29" t="s">
        <v>157</v>
      </c>
      <c r="K77" s="27"/>
      <c r="L77" s="49">
        <v>102.5</v>
      </c>
      <c r="M77" s="26" t="str">
        <f>"69,7352"</f>
        <v>69,7352</v>
      </c>
      <c r="N77" s="17" t="s">
        <v>55</v>
      </c>
    </row>
    <row r="78" spans="1:14" ht="12.75">
      <c r="A78" s="26" t="s">
        <v>933</v>
      </c>
      <c r="B78" s="17" t="s">
        <v>663</v>
      </c>
      <c r="C78" s="17" t="s">
        <v>664</v>
      </c>
      <c r="D78" s="17" t="s">
        <v>665</v>
      </c>
      <c r="E78" s="17" t="str">
        <f>"0,5943"</f>
        <v>0,5943</v>
      </c>
      <c r="F78" s="52" t="s">
        <v>15</v>
      </c>
      <c r="G78" s="17" t="s">
        <v>1244</v>
      </c>
      <c r="H78" s="29" t="s">
        <v>135</v>
      </c>
      <c r="I78" s="29" t="s">
        <v>136</v>
      </c>
      <c r="J78" s="30" t="s">
        <v>156</v>
      </c>
      <c r="K78" s="27"/>
      <c r="L78" s="49">
        <v>80</v>
      </c>
      <c r="M78" s="26" t="str">
        <f>"58,2414"</f>
        <v>58,2414</v>
      </c>
      <c r="N78" s="17" t="s">
        <v>55</v>
      </c>
    </row>
    <row r="80" spans="1:13" ht="15.75">
      <c r="A80"/>
      <c r="B80" s="97" t="s">
        <v>93</v>
      </c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</row>
    <row r="81" spans="1:14" ht="12.75">
      <c r="A81" s="26" t="s">
        <v>933</v>
      </c>
      <c r="B81" s="17" t="s">
        <v>666</v>
      </c>
      <c r="C81" s="17" t="s">
        <v>667</v>
      </c>
      <c r="D81" s="17" t="s">
        <v>668</v>
      </c>
      <c r="E81" s="17" t="str">
        <f>"0,5661"</f>
        <v>0,5661</v>
      </c>
      <c r="F81" s="17" t="s">
        <v>15</v>
      </c>
      <c r="G81" s="17" t="s">
        <v>1244</v>
      </c>
      <c r="H81" s="29" t="s">
        <v>67</v>
      </c>
      <c r="I81" s="30" t="s">
        <v>42</v>
      </c>
      <c r="J81" s="30" t="s">
        <v>24</v>
      </c>
      <c r="K81" s="27"/>
      <c r="L81" s="49">
        <v>170</v>
      </c>
      <c r="M81" s="26" t="str">
        <f>"96,2370"</f>
        <v>96,2370</v>
      </c>
      <c r="N81" s="17" t="s">
        <v>659</v>
      </c>
    </row>
    <row r="82" spans="1:14" ht="12.75">
      <c r="A82" s="26" t="s">
        <v>935</v>
      </c>
      <c r="B82" s="17" t="s">
        <v>669</v>
      </c>
      <c r="C82" s="17" t="s">
        <v>670</v>
      </c>
      <c r="D82" s="17" t="s">
        <v>310</v>
      </c>
      <c r="E82" s="17" t="str">
        <f>"0,5647"</f>
        <v>0,5647</v>
      </c>
      <c r="F82" s="52" t="s">
        <v>1331</v>
      </c>
      <c r="G82" s="17" t="s">
        <v>1244</v>
      </c>
      <c r="H82" s="30" t="s">
        <v>191</v>
      </c>
      <c r="I82" s="29" t="s">
        <v>67</v>
      </c>
      <c r="J82" s="30" t="s">
        <v>31</v>
      </c>
      <c r="K82" s="27"/>
      <c r="L82" s="49">
        <v>170</v>
      </c>
      <c r="M82" s="26" t="str">
        <f>"95,9990"</f>
        <v>95,9990</v>
      </c>
      <c r="N82" s="17" t="s">
        <v>671</v>
      </c>
    </row>
    <row r="83" spans="1:14" ht="12.75">
      <c r="A83" s="26"/>
      <c r="B83" s="17" t="s">
        <v>672</v>
      </c>
      <c r="C83" s="17" t="s">
        <v>673</v>
      </c>
      <c r="D83" s="17" t="s">
        <v>674</v>
      </c>
      <c r="E83" s="17" t="str">
        <f>"0,5631"</f>
        <v>0,5631</v>
      </c>
      <c r="F83" s="17" t="s">
        <v>15</v>
      </c>
      <c r="G83" s="17" t="s">
        <v>1244</v>
      </c>
      <c r="H83" s="30" t="s">
        <v>259</v>
      </c>
      <c r="I83" s="30" t="s">
        <v>259</v>
      </c>
      <c r="J83" s="27"/>
      <c r="K83" s="27"/>
      <c r="L83" s="49">
        <v>0</v>
      </c>
      <c r="M83" s="26" t="str">
        <f>"0,0000"</f>
        <v>0,0000</v>
      </c>
      <c r="N83" s="17" t="s">
        <v>675</v>
      </c>
    </row>
    <row r="85" spans="1:13" ht="15.75">
      <c r="A85"/>
      <c r="B85" s="97" t="s">
        <v>98</v>
      </c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</row>
    <row r="86" spans="1:14" ht="12.75">
      <c r="A86" s="26" t="s">
        <v>933</v>
      </c>
      <c r="B86" s="17" t="s">
        <v>676</v>
      </c>
      <c r="C86" s="17" t="s">
        <v>677</v>
      </c>
      <c r="D86" s="17" t="s">
        <v>678</v>
      </c>
      <c r="E86" s="17" t="str">
        <f>"0,5507"</f>
        <v>0,5507</v>
      </c>
      <c r="F86" s="52" t="s">
        <v>15</v>
      </c>
      <c r="G86" s="17" t="s">
        <v>679</v>
      </c>
      <c r="H86" s="30" t="s">
        <v>67</v>
      </c>
      <c r="I86" s="29" t="s">
        <v>67</v>
      </c>
      <c r="J86" s="29" t="s">
        <v>24</v>
      </c>
      <c r="K86" s="27"/>
      <c r="L86" s="49">
        <v>177.5</v>
      </c>
      <c r="M86" s="26" t="str">
        <f>"97,7404"</f>
        <v>97,7404</v>
      </c>
      <c r="N86" s="17" t="s">
        <v>55</v>
      </c>
    </row>
    <row r="87" spans="1:14" ht="12.75">
      <c r="A87" s="26" t="s">
        <v>933</v>
      </c>
      <c r="B87" s="17" t="s">
        <v>1328</v>
      </c>
      <c r="C87" s="17" t="s">
        <v>681</v>
      </c>
      <c r="D87" s="17" t="s">
        <v>682</v>
      </c>
      <c r="E87" s="17" t="str">
        <f>"0,5480"</f>
        <v>0,5480</v>
      </c>
      <c r="F87" s="52" t="s">
        <v>15</v>
      </c>
      <c r="G87" s="17" t="s">
        <v>1244</v>
      </c>
      <c r="H87" s="29" t="s">
        <v>37</v>
      </c>
      <c r="I87" s="29" t="s">
        <v>82</v>
      </c>
      <c r="J87" s="30" t="s">
        <v>75</v>
      </c>
      <c r="K87" s="27"/>
      <c r="L87" s="49">
        <v>210</v>
      </c>
      <c r="M87" s="26" t="str">
        <f>"115,0800"</f>
        <v>115,0800</v>
      </c>
      <c r="N87" s="17" t="s">
        <v>55</v>
      </c>
    </row>
    <row r="88" spans="1:14" ht="12.75">
      <c r="A88" s="26" t="s">
        <v>935</v>
      </c>
      <c r="B88" s="17" t="s">
        <v>1329</v>
      </c>
      <c r="C88" s="17" t="s">
        <v>683</v>
      </c>
      <c r="D88" s="17" t="s">
        <v>684</v>
      </c>
      <c r="E88" s="17" t="str">
        <f>"0,5469"</f>
        <v>0,5469</v>
      </c>
      <c r="F88" s="52" t="s">
        <v>491</v>
      </c>
      <c r="G88" s="17" t="s">
        <v>1244</v>
      </c>
      <c r="H88" s="29" t="s">
        <v>32</v>
      </c>
      <c r="I88" s="30" t="s">
        <v>446</v>
      </c>
      <c r="J88" s="29" t="s">
        <v>446</v>
      </c>
      <c r="K88" s="27"/>
      <c r="L88" s="49">
        <v>202.5</v>
      </c>
      <c r="M88" s="26" t="str">
        <f>"110,7371"</f>
        <v>110,7371</v>
      </c>
      <c r="N88" s="17" t="s">
        <v>492</v>
      </c>
    </row>
    <row r="89" spans="1:14" ht="12.75">
      <c r="A89" s="26" t="s">
        <v>936</v>
      </c>
      <c r="B89" s="17" t="s">
        <v>685</v>
      </c>
      <c r="C89" s="17" t="s">
        <v>686</v>
      </c>
      <c r="D89" s="17" t="s">
        <v>687</v>
      </c>
      <c r="E89" s="17" t="str">
        <f>"0,5498"</f>
        <v>0,5498</v>
      </c>
      <c r="F89" s="52" t="s">
        <v>15</v>
      </c>
      <c r="G89" s="17" t="s">
        <v>1244</v>
      </c>
      <c r="H89" s="29" t="s">
        <v>33</v>
      </c>
      <c r="I89" s="30" t="s">
        <v>47</v>
      </c>
      <c r="J89" s="29" t="s">
        <v>47</v>
      </c>
      <c r="K89" s="27"/>
      <c r="L89" s="49">
        <v>197.5</v>
      </c>
      <c r="M89" s="26" t="str">
        <f>"108,5855"</f>
        <v>108,5855</v>
      </c>
      <c r="N89" s="17" t="s">
        <v>1340</v>
      </c>
    </row>
    <row r="90" spans="1:14" ht="12.75">
      <c r="A90" s="26" t="s">
        <v>938</v>
      </c>
      <c r="B90" s="17" t="s">
        <v>688</v>
      </c>
      <c r="C90" s="17" t="s">
        <v>689</v>
      </c>
      <c r="D90" s="17" t="s">
        <v>690</v>
      </c>
      <c r="E90" s="17" t="str">
        <f>"0,5525"</f>
        <v>0,5525</v>
      </c>
      <c r="F90" s="52" t="s">
        <v>15</v>
      </c>
      <c r="G90" s="17" t="s">
        <v>526</v>
      </c>
      <c r="H90" s="29" t="s">
        <v>35</v>
      </c>
      <c r="I90" s="30" t="s">
        <v>202</v>
      </c>
      <c r="J90" s="29" t="s">
        <v>202</v>
      </c>
      <c r="K90" s="27"/>
      <c r="L90" s="49">
        <v>152.5</v>
      </c>
      <c r="M90" s="26" t="str">
        <f>"84,2486"</f>
        <v>84,2486</v>
      </c>
      <c r="N90" s="17" t="s">
        <v>589</v>
      </c>
    </row>
    <row r="91" spans="1:14" ht="12.75">
      <c r="A91" s="26" t="s">
        <v>939</v>
      </c>
      <c r="B91" s="17" t="s">
        <v>691</v>
      </c>
      <c r="C91" s="17" t="s">
        <v>692</v>
      </c>
      <c r="D91" s="17" t="s">
        <v>693</v>
      </c>
      <c r="E91" s="17" t="str">
        <f>"0,5523"</f>
        <v>0,5523</v>
      </c>
      <c r="F91" s="52" t="s">
        <v>178</v>
      </c>
      <c r="G91" s="17" t="s">
        <v>349</v>
      </c>
      <c r="H91" s="30" t="s">
        <v>156</v>
      </c>
      <c r="I91" s="29" t="s">
        <v>156</v>
      </c>
      <c r="J91" s="30" t="s">
        <v>169</v>
      </c>
      <c r="K91" s="27"/>
      <c r="L91" s="49">
        <v>85</v>
      </c>
      <c r="M91" s="26" t="str">
        <f>"46,9455"</f>
        <v>46,9455</v>
      </c>
      <c r="N91" s="17" t="s">
        <v>325</v>
      </c>
    </row>
    <row r="92" spans="1:14" ht="12.75">
      <c r="A92" s="26" t="s">
        <v>933</v>
      </c>
      <c r="B92" s="17" t="s">
        <v>450</v>
      </c>
      <c r="C92" s="17" t="s">
        <v>694</v>
      </c>
      <c r="D92" s="17" t="s">
        <v>452</v>
      </c>
      <c r="E92" s="17" t="str">
        <f>"0,5592"</f>
        <v>0,5592</v>
      </c>
      <c r="F92" s="52" t="s">
        <v>168</v>
      </c>
      <c r="G92" s="17" t="s">
        <v>1244</v>
      </c>
      <c r="H92" s="29" t="s">
        <v>35</v>
      </c>
      <c r="I92" s="30" t="s">
        <v>17</v>
      </c>
      <c r="J92" s="27"/>
      <c r="K92" s="27"/>
      <c r="L92" s="49">
        <v>145</v>
      </c>
      <c r="M92" s="26" t="str">
        <f>"84,5782"</f>
        <v>84,5782</v>
      </c>
      <c r="N92" s="17" t="s">
        <v>55</v>
      </c>
    </row>
    <row r="93" spans="1:14" ht="12.75">
      <c r="A93" s="26" t="s">
        <v>933</v>
      </c>
      <c r="B93" s="17" t="s">
        <v>685</v>
      </c>
      <c r="C93" s="17" t="s">
        <v>695</v>
      </c>
      <c r="D93" s="17" t="s">
        <v>687</v>
      </c>
      <c r="E93" s="17" t="str">
        <f>"0,5498"</f>
        <v>0,5498</v>
      </c>
      <c r="F93" s="52" t="s">
        <v>15</v>
      </c>
      <c r="G93" s="17" t="s">
        <v>1244</v>
      </c>
      <c r="H93" s="29" t="s">
        <v>33</v>
      </c>
      <c r="I93" s="30" t="s">
        <v>47</v>
      </c>
      <c r="J93" s="29" t="s">
        <v>47</v>
      </c>
      <c r="K93" s="27"/>
      <c r="L93" s="49">
        <v>197.5</v>
      </c>
      <c r="M93" s="26" t="str">
        <f>"119,1183"</f>
        <v>119,1183</v>
      </c>
      <c r="N93" s="17" t="s">
        <v>1341</v>
      </c>
    </row>
    <row r="95" spans="1:13" ht="15.75">
      <c r="A95"/>
      <c r="B95" s="97" t="s">
        <v>279</v>
      </c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</row>
    <row r="96" spans="1:14" ht="12.75">
      <c r="A96" s="26" t="s">
        <v>933</v>
      </c>
      <c r="B96" s="17" t="s">
        <v>696</v>
      </c>
      <c r="C96" s="17" t="s">
        <v>697</v>
      </c>
      <c r="D96" s="17" t="s">
        <v>698</v>
      </c>
      <c r="E96" s="17" t="str">
        <f>"0,5333"</f>
        <v>0,5333</v>
      </c>
      <c r="F96" s="17" t="s">
        <v>1363</v>
      </c>
      <c r="G96" s="17" t="s">
        <v>1244</v>
      </c>
      <c r="H96" s="29" t="s">
        <v>32</v>
      </c>
      <c r="I96" s="29" t="s">
        <v>259</v>
      </c>
      <c r="J96" s="30" t="s">
        <v>37</v>
      </c>
      <c r="K96" s="27"/>
      <c r="L96" s="49">
        <v>195</v>
      </c>
      <c r="M96" s="26" t="str">
        <f>"103,9925"</f>
        <v>103,9925</v>
      </c>
      <c r="N96" s="17" t="s">
        <v>696</v>
      </c>
    </row>
    <row r="97" spans="1:14" ht="12.75">
      <c r="A97" s="26" t="s">
        <v>933</v>
      </c>
      <c r="B97" s="17" t="s">
        <v>699</v>
      </c>
      <c r="C97" s="17" t="s">
        <v>700</v>
      </c>
      <c r="D97" s="17" t="s">
        <v>701</v>
      </c>
      <c r="E97" s="17" t="str">
        <f>"0,5404"</f>
        <v>0,5404</v>
      </c>
      <c r="F97" s="52" t="s">
        <v>1331</v>
      </c>
      <c r="G97" s="17" t="s">
        <v>702</v>
      </c>
      <c r="H97" s="29" t="s">
        <v>19</v>
      </c>
      <c r="I97" s="29" t="s">
        <v>42</v>
      </c>
      <c r="J97" s="30" t="s">
        <v>25</v>
      </c>
      <c r="K97" s="27"/>
      <c r="L97" s="49">
        <v>175</v>
      </c>
      <c r="M97" s="26" t="str">
        <f>"99,7769"</f>
        <v>99,7769</v>
      </c>
      <c r="N97" s="17" t="s">
        <v>55</v>
      </c>
    </row>
    <row r="99" spans="2:3" ht="18">
      <c r="B99" s="19" t="s">
        <v>108</v>
      </c>
      <c r="C99" s="19"/>
    </row>
    <row r="100" spans="2:3" ht="15.75">
      <c r="B100" s="20" t="s">
        <v>109</v>
      </c>
      <c r="C100" s="20"/>
    </row>
    <row r="101" spans="2:3" ht="13.5">
      <c r="B101" s="22"/>
      <c r="C101" s="23" t="s">
        <v>209</v>
      </c>
    </row>
    <row r="102" spans="2:6" ht="13.5">
      <c r="B102" s="24" t="s">
        <v>111</v>
      </c>
      <c r="C102" s="24" t="s">
        <v>112</v>
      </c>
      <c r="D102" s="24" t="s">
        <v>113</v>
      </c>
      <c r="E102" s="24" t="s">
        <v>934</v>
      </c>
      <c r="F102" s="24" t="s">
        <v>115</v>
      </c>
    </row>
    <row r="103" spans="1:6" ht="12.75">
      <c r="A103" s="28" t="s">
        <v>933</v>
      </c>
      <c r="B103" s="53" t="s">
        <v>482</v>
      </c>
      <c r="C103" s="46" t="s">
        <v>110</v>
      </c>
      <c r="D103" s="46" t="s">
        <v>704</v>
      </c>
      <c r="E103" s="28" t="s">
        <v>487</v>
      </c>
      <c r="F103" s="28" t="s">
        <v>705</v>
      </c>
    </row>
    <row r="104" spans="1:6" ht="12.75">
      <c r="A104" s="28" t="s">
        <v>935</v>
      </c>
      <c r="B104" s="53" t="s">
        <v>511</v>
      </c>
      <c r="C104" s="46" t="s">
        <v>110</v>
      </c>
      <c r="D104" s="46" t="s">
        <v>703</v>
      </c>
      <c r="E104" s="28" t="s">
        <v>148</v>
      </c>
      <c r="F104" s="28" t="s">
        <v>706</v>
      </c>
    </row>
    <row r="105" spans="1:6" ht="12.75">
      <c r="A105" s="28" t="s">
        <v>936</v>
      </c>
      <c r="B105" s="53" t="s">
        <v>523</v>
      </c>
      <c r="C105" s="46" t="s">
        <v>110</v>
      </c>
      <c r="D105" s="46" t="s">
        <v>474</v>
      </c>
      <c r="E105" s="28" t="s">
        <v>148</v>
      </c>
      <c r="F105" s="28" t="s">
        <v>707</v>
      </c>
    </row>
    <row r="106" ht="12.75">
      <c r="B106" s="53"/>
    </row>
    <row r="107" spans="2:3" ht="15.75">
      <c r="B107" s="20" t="s">
        <v>117</v>
      </c>
      <c r="C107" s="20"/>
    </row>
    <row r="108" spans="2:3" ht="13.5">
      <c r="B108" s="22"/>
      <c r="C108" s="23" t="s">
        <v>209</v>
      </c>
    </row>
    <row r="109" spans="2:6" ht="13.5">
      <c r="B109" s="24" t="s">
        <v>111</v>
      </c>
      <c r="C109" s="24" t="s">
        <v>112</v>
      </c>
      <c r="D109" s="24" t="s">
        <v>113</v>
      </c>
      <c r="E109" s="24" t="s">
        <v>934</v>
      </c>
      <c r="F109" s="24" t="s">
        <v>115</v>
      </c>
    </row>
    <row r="110" spans="1:6" ht="12.75">
      <c r="A110" s="28" t="s">
        <v>933</v>
      </c>
      <c r="B110" s="21" t="s">
        <v>593</v>
      </c>
      <c r="C110" s="46" t="s">
        <v>110</v>
      </c>
      <c r="D110" s="46" t="s">
        <v>116</v>
      </c>
      <c r="E110" s="28" t="s">
        <v>90</v>
      </c>
      <c r="F110" s="28" t="s">
        <v>708</v>
      </c>
    </row>
    <row r="111" spans="1:6" ht="12.75">
      <c r="A111" s="28" t="s">
        <v>935</v>
      </c>
      <c r="B111" s="21" t="s">
        <v>680</v>
      </c>
      <c r="C111" s="46" t="s">
        <v>110</v>
      </c>
      <c r="D111" s="46" t="s">
        <v>122</v>
      </c>
      <c r="E111" s="28" t="s">
        <v>82</v>
      </c>
      <c r="F111" s="28" t="s">
        <v>709</v>
      </c>
    </row>
    <row r="112" spans="1:6" ht="12.75">
      <c r="A112" s="28" t="s">
        <v>936</v>
      </c>
      <c r="B112" s="21" t="s">
        <v>546</v>
      </c>
      <c r="C112" s="46" t="s">
        <v>110</v>
      </c>
      <c r="D112" s="46" t="s">
        <v>233</v>
      </c>
      <c r="E112" s="28" t="s">
        <v>34</v>
      </c>
      <c r="F112" s="28" t="s">
        <v>710</v>
      </c>
    </row>
    <row r="114" spans="2:3" ht="13.5">
      <c r="B114" s="22"/>
      <c r="C114" s="23" t="s">
        <v>209</v>
      </c>
    </row>
    <row r="115" spans="2:6" ht="13.5">
      <c r="B115" s="24" t="s">
        <v>111</v>
      </c>
      <c r="C115" s="24" t="s">
        <v>112</v>
      </c>
      <c r="D115" s="24" t="s">
        <v>113</v>
      </c>
      <c r="E115" s="24" t="s">
        <v>934</v>
      </c>
      <c r="F115" s="24" t="s">
        <v>115</v>
      </c>
    </row>
    <row r="116" spans="1:6" ht="12.75">
      <c r="A116" s="28" t="s">
        <v>933</v>
      </c>
      <c r="B116" s="21" t="s">
        <v>685</v>
      </c>
      <c r="C116" s="46" t="s">
        <v>290</v>
      </c>
      <c r="D116" s="46" t="s">
        <v>122</v>
      </c>
      <c r="E116" s="28" t="s">
        <v>47</v>
      </c>
      <c r="F116" s="28" t="s">
        <v>711</v>
      </c>
    </row>
    <row r="117" spans="1:6" ht="12.75">
      <c r="A117" s="28" t="s">
        <v>935</v>
      </c>
      <c r="B117" s="21" t="s">
        <v>634</v>
      </c>
      <c r="C117" s="46" t="s">
        <v>290</v>
      </c>
      <c r="D117" s="46" t="s">
        <v>119</v>
      </c>
      <c r="E117" s="28" t="s">
        <v>17</v>
      </c>
      <c r="F117" s="28" t="s">
        <v>712</v>
      </c>
    </row>
    <row r="118" spans="1:6" ht="12.75">
      <c r="A118" s="28" t="s">
        <v>936</v>
      </c>
      <c r="B118" s="21" t="s">
        <v>656</v>
      </c>
      <c r="C118" s="46" t="s">
        <v>290</v>
      </c>
      <c r="D118" s="46" t="s">
        <v>129</v>
      </c>
      <c r="E118" s="28" t="s">
        <v>191</v>
      </c>
      <c r="F118" s="28" t="s">
        <v>713</v>
      </c>
    </row>
  </sheetData>
  <sheetProtection/>
  <mergeCells count="26">
    <mergeCell ref="B57:M57"/>
    <mergeCell ref="B68:M68"/>
    <mergeCell ref="B80:M80"/>
    <mergeCell ref="B85:M85"/>
    <mergeCell ref="B95:M95"/>
    <mergeCell ref="B1:R2"/>
    <mergeCell ref="B16:M16"/>
    <mergeCell ref="B22:M22"/>
    <mergeCell ref="B26:M26"/>
    <mergeCell ref="B29:M29"/>
    <mergeCell ref="B39:M39"/>
    <mergeCell ref="B48:M48"/>
    <mergeCell ref="L3:L4"/>
    <mergeCell ref="M3:M4"/>
    <mergeCell ref="N3:N4"/>
    <mergeCell ref="B5:M5"/>
    <mergeCell ref="B9:M9"/>
    <mergeCell ref="B12:M12"/>
    <mergeCell ref="B3:B4"/>
    <mergeCell ref="C3:C4"/>
    <mergeCell ref="D3:D4"/>
    <mergeCell ref="E3:E4"/>
    <mergeCell ref="F3:F4"/>
    <mergeCell ref="G3:G4"/>
    <mergeCell ref="H3:K3"/>
    <mergeCell ref="A3:A4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87"/>
  <sheetViews>
    <sheetView workbookViewId="0" topLeftCell="A52">
      <selection activeCell="C29" sqref="C29"/>
    </sheetView>
  </sheetViews>
  <sheetFormatPr defaultColWidth="8.75390625" defaultRowHeight="12.75"/>
  <cols>
    <col min="1" max="1" width="7.875" style="28" bestFit="1" customWidth="1"/>
    <col min="2" max="2" width="26.00390625" style="16" bestFit="1" customWidth="1"/>
    <col min="3" max="3" width="26.875" style="16" bestFit="1" customWidth="1"/>
    <col min="4" max="4" width="10.625" style="16" bestFit="1" customWidth="1"/>
    <col min="5" max="5" width="13.875" style="16" customWidth="1"/>
    <col min="6" max="6" width="17.00390625" style="16" customWidth="1"/>
    <col min="7" max="7" width="31.625" style="16" customWidth="1"/>
    <col min="8" max="10" width="5.625" style="28" bestFit="1" customWidth="1"/>
    <col min="11" max="11" width="5.125" style="28" bestFit="1" customWidth="1"/>
    <col min="12" max="12" width="12.00390625" style="28" customWidth="1"/>
    <col min="13" max="13" width="8.625" style="28" bestFit="1" customWidth="1"/>
    <col min="14" max="14" width="22.25390625" style="16" customWidth="1"/>
    <col min="15" max="18" width="9.125" style="0" hidden="1" customWidth="1"/>
  </cols>
  <sheetData>
    <row r="1" spans="2:18" s="1" customFormat="1" ht="15" customHeight="1">
      <c r="B1" s="86" t="s">
        <v>1314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102"/>
    </row>
    <row r="2" spans="2:18" s="1" customFormat="1" ht="98.25" customHeight="1" thickBot="1">
      <c r="B2" s="88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103"/>
    </row>
    <row r="3" spans="1:14" s="4" customFormat="1" ht="12.75" customHeight="1">
      <c r="A3" s="98" t="s">
        <v>932</v>
      </c>
      <c r="B3" s="90" t="s">
        <v>0</v>
      </c>
      <c r="C3" s="92" t="s">
        <v>1</v>
      </c>
      <c r="D3" s="92" t="s">
        <v>1226</v>
      </c>
      <c r="E3" s="94" t="s">
        <v>11</v>
      </c>
      <c r="F3" s="94" t="s">
        <v>2</v>
      </c>
      <c r="G3" s="95" t="s">
        <v>1227</v>
      </c>
      <c r="H3" s="94" t="s">
        <v>5</v>
      </c>
      <c r="I3" s="94"/>
      <c r="J3" s="94"/>
      <c r="K3" s="94"/>
      <c r="L3" s="90" t="s">
        <v>934</v>
      </c>
      <c r="M3" s="94" t="s">
        <v>9</v>
      </c>
      <c r="N3" s="100" t="s">
        <v>10</v>
      </c>
    </row>
    <row r="4" spans="1:14" s="4" customFormat="1" ht="23.25" customHeight="1" thickBot="1">
      <c r="A4" s="99"/>
      <c r="B4" s="91"/>
      <c r="C4" s="93"/>
      <c r="D4" s="93"/>
      <c r="E4" s="93"/>
      <c r="F4" s="93"/>
      <c r="G4" s="96"/>
      <c r="H4" s="7">
        <v>1</v>
      </c>
      <c r="I4" s="7">
        <v>2</v>
      </c>
      <c r="J4" s="7">
        <v>3</v>
      </c>
      <c r="K4" s="7" t="s">
        <v>7</v>
      </c>
      <c r="L4" s="91"/>
      <c r="M4" s="93"/>
      <c r="N4" s="101"/>
    </row>
    <row r="5" spans="1:13" ht="15.75">
      <c r="A5"/>
      <c r="B5" s="104" t="s">
        <v>130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</row>
    <row r="6" spans="1:14" ht="12.75">
      <c r="A6" s="26" t="s">
        <v>933</v>
      </c>
      <c r="B6" s="17" t="s">
        <v>326</v>
      </c>
      <c r="C6" s="17" t="s">
        <v>327</v>
      </c>
      <c r="D6" s="17" t="s">
        <v>328</v>
      </c>
      <c r="E6" s="17" t="str">
        <f>"1,1942"</f>
        <v>1,1942</v>
      </c>
      <c r="F6" s="17" t="s">
        <v>15</v>
      </c>
      <c r="G6" s="17" t="s">
        <v>329</v>
      </c>
      <c r="H6" s="30" t="s">
        <v>330</v>
      </c>
      <c r="I6" s="29" t="s">
        <v>330</v>
      </c>
      <c r="J6" s="30" t="s">
        <v>170</v>
      </c>
      <c r="K6" s="27"/>
      <c r="L6" s="49">
        <v>42.5</v>
      </c>
      <c r="M6" s="26" t="str">
        <f>"50,7535"</f>
        <v>50,7535</v>
      </c>
      <c r="N6" s="17" t="s">
        <v>55</v>
      </c>
    </row>
    <row r="8" spans="1:13" ht="15.75">
      <c r="A8"/>
      <c r="B8" s="97" t="s">
        <v>331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</row>
    <row r="9" spans="1:14" ht="12.75">
      <c r="A9" s="26" t="s">
        <v>933</v>
      </c>
      <c r="B9" s="17" t="s">
        <v>802</v>
      </c>
      <c r="C9" s="17" t="s">
        <v>333</v>
      </c>
      <c r="D9" s="17" t="s">
        <v>334</v>
      </c>
      <c r="E9" s="17" t="str">
        <f>"0,9876"</f>
        <v>0,9876</v>
      </c>
      <c r="F9" s="52" t="s">
        <v>1231</v>
      </c>
      <c r="G9" s="17" t="s">
        <v>1244</v>
      </c>
      <c r="H9" s="29" t="s">
        <v>134</v>
      </c>
      <c r="I9" s="27"/>
      <c r="J9" s="27"/>
      <c r="K9" s="27"/>
      <c r="L9" s="49">
        <v>70</v>
      </c>
      <c r="M9" s="26" t="str">
        <f>"69,1320"</f>
        <v>69,1320</v>
      </c>
      <c r="N9" s="17" t="s">
        <v>335</v>
      </c>
    </row>
    <row r="11" spans="1:13" ht="15.75">
      <c r="A11"/>
      <c r="B11" s="97" t="s">
        <v>158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</row>
    <row r="12" spans="1:14" ht="12.75">
      <c r="A12" s="26" t="s">
        <v>933</v>
      </c>
      <c r="B12" s="17" t="s">
        <v>336</v>
      </c>
      <c r="C12" s="17" t="s">
        <v>337</v>
      </c>
      <c r="D12" s="17" t="s">
        <v>338</v>
      </c>
      <c r="E12" s="17" t="str">
        <f>"0,9289"</f>
        <v>0,9289</v>
      </c>
      <c r="F12" s="17" t="s">
        <v>15</v>
      </c>
      <c r="G12" s="17" t="s">
        <v>1244</v>
      </c>
      <c r="H12" s="29" t="s">
        <v>147</v>
      </c>
      <c r="I12" s="29" t="s">
        <v>339</v>
      </c>
      <c r="J12" s="30" t="s">
        <v>134</v>
      </c>
      <c r="K12" s="27"/>
      <c r="L12" s="49">
        <v>65</v>
      </c>
      <c r="M12" s="26" t="str">
        <f>"60,3785"</f>
        <v>60,3785</v>
      </c>
      <c r="N12" s="17" t="s">
        <v>55</v>
      </c>
    </row>
    <row r="14" spans="1:13" ht="15.75">
      <c r="A14"/>
      <c r="B14" s="97" t="s">
        <v>12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</row>
    <row r="15" spans="1:14" ht="12.75">
      <c r="A15" s="26" t="s">
        <v>933</v>
      </c>
      <c r="B15" s="17" t="s">
        <v>340</v>
      </c>
      <c r="C15" s="17" t="s">
        <v>341</v>
      </c>
      <c r="D15" s="17" t="s">
        <v>342</v>
      </c>
      <c r="E15" s="17" t="str">
        <f>"0,8346"</f>
        <v>0,8346</v>
      </c>
      <c r="F15" s="17" t="s">
        <v>15</v>
      </c>
      <c r="G15" s="17" t="s">
        <v>1244</v>
      </c>
      <c r="H15" s="29" t="s">
        <v>137</v>
      </c>
      <c r="I15" s="29" t="s">
        <v>138</v>
      </c>
      <c r="J15" s="30" t="s">
        <v>148</v>
      </c>
      <c r="K15" s="27"/>
      <c r="L15" s="49">
        <v>55</v>
      </c>
      <c r="M15" s="26" t="str">
        <f>"45,9057"</f>
        <v>45,9057</v>
      </c>
      <c r="N15" s="17" t="s">
        <v>55</v>
      </c>
    </row>
    <row r="17" spans="1:13" ht="15.75">
      <c r="A17"/>
      <c r="B17" s="97" t="s">
        <v>61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</row>
    <row r="18" spans="1:14" ht="12.75">
      <c r="A18" s="26" t="s">
        <v>933</v>
      </c>
      <c r="B18" s="17" t="s">
        <v>343</v>
      </c>
      <c r="C18" s="17" t="s">
        <v>344</v>
      </c>
      <c r="D18" s="17" t="s">
        <v>345</v>
      </c>
      <c r="E18" s="17" t="str">
        <f>"0,7714"</f>
        <v>0,7714</v>
      </c>
      <c r="F18" s="17" t="s">
        <v>15</v>
      </c>
      <c r="G18" s="17" t="s">
        <v>1316</v>
      </c>
      <c r="H18" s="29" t="s">
        <v>35</v>
      </c>
      <c r="I18" s="29" t="s">
        <v>36</v>
      </c>
      <c r="J18" s="30" t="s">
        <v>191</v>
      </c>
      <c r="K18" s="27"/>
      <c r="L18" s="49">
        <v>150</v>
      </c>
      <c r="M18" s="26" t="str">
        <f>"115,7100"</f>
        <v>115,7100</v>
      </c>
      <c r="N18" s="17" t="s">
        <v>1250</v>
      </c>
    </row>
    <row r="20" spans="1:13" ht="15.75">
      <c r="A20"/>
      <c r="B20" s="132" t="s">
        <v>27</v>
      </c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</row>
    <row r="21" spans="1:14" ht="12.75">
      <c r="A21" s="26" t="s">
        <v>933</v>
      </c>
      <c r="B21" s="17" t="s">
        <v>346</v>
      </c>
      <c r="C21" s="17" t="s">
        <v>347</v>
      </c>
      <c r="D21" s="17" t="s">
        <v>348</v>
      </c>
      <c r="E21" s="17" t="str">
        <f>"0,6885"</f>
        <v>0,6885</v>
      </c>
      <c r="F21" s="17" t="s">
        <v>15</v>
      </c>
      <c r="G21" s="17" t="s">
        <v>349</v>
      </c>
      <c r="H21" s="29" t="s">
        <v>164</v>
      </c>
      <c r="I21" s="29" t="s">
        <v>21</v>
      </c>
      <c r="J21" s="30" t="s">
        <v>22</v>
      </c>
      <c r="K21" s="27"/>
      <c r="L21" s="49">
        <v>97.5</v>
      </c>
      <c r="M21" s="26" t="str">
        <f>"67,1336"</f>
        <v>67,1336</v>
      </c>
      <c r="N21" s="17" t="s">
        <v>350</v>
      </c>
    </row>
    <row r="22" spans="1:14" ht="12.75">
      <c r="A22" s="26" t="s">
        <v>933</v>
      </c>
      <c r="B22" s="17" t="s">
        <v>350</v>
      </c>
      <c r="C22" s="17" t="s">
        <v>351</v>
      </c>
      <c r="D22" s="17" t="s">
        <v>238</v>
      </c>
      <c r="E22" s="17" t="str">
        <f>"0,6906"</f>
        <v>0,6906</v>
      </c>
      <c r="F22" s="17" t="s">
        <v>15</v>
      </c>
      <c r="G22" s="17" t="s">
        <v>349</v>
      </c>
      <c r="H22" s="29" t="s">
        <v>17</v>
      </c>
      <c r="I22" s="30" t="s">
        <v>19</v>
      </c>
      <c r="J22" s="29" t="s">
        <v>19</v>
      </c>
      <c r="K22" s="27"/>
      <c r="L22" s="49">
        <v>165</v>
      </c>
      <c r="M22" s="26" t="str">
        <f>"113,9490"</f>
        <v>113,9490</v>
      </c>
      <c r="N22" s="17" t="s">
        <v>352</v>
      </c>
    </row>
    <row r="23" spans="1:14" ht="12.75">
      <c r="A23" s="26" t="s">
        <v>933</v>
      </c>
      <c r="B23" s="17" t="s">
        <v>353</v>
      </c>
      <c r="C23" s="17" t="s">
        <v>354</v>
      </c>
      <c r="D23" s="17" t="s">
        <v>355</v>
      </c>
      <c r="E23" s="17" t="str">
        <f>"0,7079"</f>
        <v>0,7079</v>
      </c>
      <c r="F23" s="52" t="s">
        <v>162</v>
      </c>
      <c r="G23" s="17" t="s">
        <v>73</v>
      </c>
      <c r="H23" s="29" t="s">
        <v>149</v>
      </c>
      <c r="I23" s="29" t="s">
        <v>34</v>
      </c>
      <c r="J23" s="29" t="s">
        <v>356</v>
      </c>
      <c r="K23" s="27"/>
      <c r="L23" s="49">
        <v>143</v>
      </c>
      <c r="M23" s="26" t="str">
        <f>"105,5826"</f>
        <v>105,5826</v>
      </c>
      <c r="N23" s="17" t="s">
        <v>357</v>
      </c>
    </row>
    <row r="24" spans="1:14" ht="12.75">
      <c r="A24" s="26" t="s">
        <v>935</v>
      </c>
      <c r="B24" s="17" t="s">
        <v>358</v>
      </c>
      <c r="C24" s="17" t="s">
        <v>359</v>
      </c>
      <c r="D24" s="17" t="s">
        <v>360</v>
      </c>
      <c r="E24" s="17" t="str">
        <f>"0,7110"</f>
        <v>0,7110</v>
      </c>
      <c r="F24" s="17" t="s">
        <v>15</v>
      </c>
      <c r="G24" s="17" t="s">
        <v>1318</v>
      </c>
      <c r="H24" s="29" t="s">
        <v>21</v>
      </c>
      <c r="I24" s="29" t="s">
        <v>157</v>
      </c>
      <c r="J24" s="29" t="s">
        <v>144</v>
      </c>
      <c r="K24" s="27"/>
      <c r="L24" s="49">
        <v>107.5</v>
      </c>
      <c r="M24" s="26" t="str">
        <f>"77,9557"</f>
        <v>77,9557</v>
      </c>
      <c r="N24" s="17" t="s">
        <v>55</v>
      </c>
    </row>
    <row r="26" spans="1:13" ht="15.75">
      <c r="A26"/>
      <c r="B26" s="97" t="s">
        <v>12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</row>
    <row r="27" spans="1:14" ht="12.75">
      <c r="A27" s="26" t="s">
        <v>933</v>
      </c>
      <c r="B27" s="17" t="s">
        <v>361</v>
      </c>
      <c r="C27" s="17" t="s">
        <v>362</v>
      </c>
      <c r="D27" s="17" t="s">
        <v>58</v>
      </c>
      <c r="E27" s="17" t="str">
        <f>"0,6589"</f>
        <v>0,6589</v>
      </c>
      <c r="F27" s="52" t="s">
        <v>1231</v>
      </c>
      <c r="G27" s="17" t="s">
        <v>1244</v>
      </c>
      <c r="H27" s="29" t="s">
        <v>53</v>
      </c>
      <c r="I27" s="29" t="s">
        <v>172</v>
      </c>
      <c r="J27" s="30" t="s">
        <v>149</v>
      </c>
      <c r="K27" s="27"/>
      <c r="L27" s="49">
        <v>120</v>
      </c>
      <c r="M27" s="26" t="str">
        <f>"79,0740"</f>
        <v>79,0740</v>
      </c>
      <c r="N27" s="17" t="s">
        <v>1320</v>
      </c>
    </row>
    <row r="28" spans="1:14" ht="12.75">
      <c r="A28" s="26" t="s">
        <v>933</v>
      </c>
      <c r="B28" s="17" t="s">
        <v>363</v>
      </c>
      <c r="C28" s="17" t="s">
        <v>364</v>
      </c>
      <c r="D28" s="17" t="s">
        <v>190</v>
      </c>
      <c r="E28" s="17" t="str">
        <f>"0,6535"</f>
        <v>0,6535</v>
      </c>
      <c r="F28" s="17" t="s">
        <v>15</v>
      </c>
      <c r="G28" s="17" t="s">
        <v>365</v>
      </c>
      <c r="H28" s="30" t="s">
        <v>78</v>
      </c>
      <c r="I28" s="29" t="s">
        <v>91</v>
      </c>
      <c r="J28" s="30" t="s">
        <v>92</v>
      </c>
      <c r="K28" s="27"/>
      <c r="L28" s="49">
        <v>240</v>
      </c>
      <c r="M28" s="26" t="str">
        <f>"156,8280"</f>
        <v>156,8280</v>
      </c>
      <c r="N28" s="17" t="s">
        <v>55</v>
      </c>
    </row>
    <row r="30" spans="1:13" ht="15.75">
      <c r="A30"/>
      <c r="B30" s="97" t="s">
        <v>61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</row>
    <row r="31" spans="1:14" ht="12.75">
      <c r="A31" s="26" t="s">
        <v>933</v>
      </c>
      <c r="B31" s="17" t="s">
        <v>366</v>
      </c>
      <c r="C31" s="17" t="s">
        <v>367</v>
      </c>
      <c r="D31" s="17" t="s">
        <v>368</v>
      </c>
      <c r="E31" s="17" t="str">
        <f>"0,6373"</f>
        <v>0,6373</v>
      </c>
      <c r="F31" s="17" t="s">
        <v>15</v>
      </c>
      <c r="G31" s="17" t="s">
        <v>1317</v>
      </c>
      <c r="H31" s="29" t="s">
        <v>22</v>
      </c>
      <c r="I31" s="30" t="s">
        <v>172</v>
      </c>
      <c r="J31" s="30" t="s">
        <v>208</v>
      </c>
      <c r="K31" s="27"/>
      <c r="L31" s="49">
        <v>100</v>
      </c>
      <c r="M31" s="26" t="str">
        <f>"63,7250"</f>
        <v>63,7250</v>
      </c>
      <c r="N31" s="17" t="s">
        <v>369</v>
      </c>
    </row>
    <row r="32" spans="1:14" ht="12.75">
      <c r="A32" s="26" t="s">
        <v>933</v>
      </c>
      <c r="B32" s="17" t="s">
        <v>370</v>
      </c>
      <c r="C32" s="17" t="s">
        <v>371</v>
      </c>
      <c r="D32" s="17" t="s">
        <v>372</v>
      </c>
      <c r="E32" s="17" t="str">
        <f>"0,6242"</f>
        <v>0,6242</v>
      </c>
      <c r="F32" s="52" t="s">
        <v>51</v>
      </c>
      <c r="G32" s="17" t="s">
        <v>73</v>
      </c>
      <c r="H32" s="29" t="s">
        <v>17</v>
      </c>
      <c r="I32" s="29" t="s">
        <v>19</v>
      </c>
      <c r="J32" s="29" t="s">
        <v>42</v>
      </c>
      <c r="K32" s="27"/>
      <c r="L32" s="49">
        <v>175</v>
      </c>
      <c r="M32" s="26" t="str">
        <f>"109,2437"</f>
        <v>109,2437</v>
      </c>
      <c r="N32" s="17" t="s">
        <v>373</v>
      </c>
    </row>
    <row r="33" spans="1:14" ht="12.75">
      <c r="A33" s="26" t="s">
        <v>935</v>
      </c>
      <c r="B33" s="17" t="s">
        <v>62</v>
      </c>
      <c r="C33" s="17" t="s">
        <v>63</v>
      </c>
      <c r="D33" s="17" t="s">
        <v>64</v>
      </c>
      <c r="E33" s="17" t="str">
        <f>"0,6133"</f>
        <v>0,6133</v>
      </c>
      <c r="F33" s="17" t="s">
        <v>15</v>
      </c>
      <c r="G33" s="17" t="s">
        <v>1245</v>
      </c>
      <c r="H33" s="29" t="s">
        <v>67</v>
      </c>
      <c r="I33" s="27"/>
      <c r="J33" s="27"/>
      <c r="K33" s="27"/>
      <c r="L33" s="49">
        <v>170</v>
      </c>
      <c r="M33" s="26" t="str">
        <f>"104,2695"</f>
        <v>104,2695</v>
      </c>
      <c r="N33" s="17" t="s">
        <v>69</v>
      </c>
    </row>
    <row r="34" spans="1:14" ht="12.75">
      <c r="A34" s="26" t="s">
        <v>936</v>
      </c>
      <c r="B34" s="17" t="s">
        <v>374</v>
      </c>
      <c r="C34" s="17" t="s">
        <v>375</v>
      </c>
      <c r="D34" s="17" t="s">
        <v>376</v>
      </c>
      <c r="E34" s="17" t="str">
        <f>"0,6354"</f>
        <v>0,6354</v>
      </c>
      <c r="F34" s="17" t="s">
        <v>15</v>
      </c>
      <c r="G34" s="17" t="s">
        <v>1244</v>
      </c>
      <c r="H34" s="29" t="s">
        <v>35</v>
      </c>
      <c r="I34" s="29" t="s">
        <v>202</v>
      </c>
      <c r="J34" s="29" t="s">
        <v>17</v>
      </c>
      <c r="K34" s="27"/>
      <c r="L34" s="49">
        <v>155</v>
      </c>
      <c r="M34" s="26" t="str">
        <f>"98,4870"</f>
        <v>98,4870</v>
      </c>
      <c r="N34" s="17" t="s">
        <v>55</v>
      </c>
    </row>
    <row r="35" spans="1:14" ht="12.75">
      <c r="A35" s="26" t="s">
        <v>938</v>
      </c>
      <c r="B35" s="17" t="s">
        <v>79</v>
      </c>
      <c r="C35" s="17" t="s">
        <v>80</v>
      </c>
      <c r="D35" s="17" t="s">
        <v>81</v>
      </c>
      <c r="E35" s="17" t="str">
        <f>"0,6201"</f>
        <v>0,6201</v>
      </c>
      <c r="F35" s="17" t="s">
        <v>15</v>
      </c>
      <c r="G35" s="17" t="s">
        <v>1244</v>
      </c>
      <c r="H35" s="29" t="s">
        <v>17</v>
      </c>
      <c r="I35" s="27"/>
      <c r="J35" s="27"/>
      <c r="K35" s="27"/>
      <c r="L35" s="49">
        <v>155</v>
      </c>
      <c r="M35" s="26" t="str">
        <f>"96,1155"</f>
        <v>96,1155</v>
      </c>
      <c r="N35" s="17" t="s">
        <v>377</v>
      </c>
    </row>
    <row r="36" spans="1:14" ht="12.75">
      <c r="A36" s="26" t="s">
        <v>933</v>
      </c>
      <c r="B36" s="17" t="s">
        <v>378</v>
      </c>
      <c r="C36" s="17" t="s">
        <v>379</v>
      </c>
      <c r="D36" s="17" t="s">
        <v>380</v>
      </c>
      <c r="E36" s="17" t="str">
        <f>"0,6169"</f>
        <v>0,6169</v>
      </c>
      <c r="F36" s="17" t="s">
        <v>15</v>
      </c>
      <c r="G36" s="17" t="s">
        <v>381</v>
      </c>
      <c r="H36" s="29" t="s">
        <v>90</v>
      </c>
      <c r="I36" s="29" t="s">
        <v>32</v>
      </c>
      <c r="J36" s="30" t="s">
        <v>33</v>
      </c>
      <c r="K36" s="27"/>
      <c r="L36" s="49">
        <v>190</v>
      </c>
      <c r="M36" s="26" t="str">
        <f>"118,3735"</f>
        <v>118,3735</v>
      </c>
      <c r="N36" s="17" t="s">
        <v>382</v>
      </c>
    </row>
    <row r="38" spans="1:13" ht="15.75">
      <c r="A38"/>
      <c r="B38" s="97" t="s">
        <v>87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</row>
    <row r="39" spans="1:14" ht="12.75">
      <c r="A39" s="26" t="s">
        <v>933</v>
      </c>
      <c r="B39" s="17" t="s">
        <v>383</v>
      </c>
      <c r="C39" s="17" t="s">
        <v>384</v>
      </c>
      <c r="D39" s="17" t="s">
        <v>385</v>
      </c>
      <c r="E39" s="17" t="str">
        <f>"0,6043"</f>
        <v>0,6043</v>
      </c>
      <c r="F39" s="17" t="s">
        <v>15</v>
      </c>
      <c r="G39" s="17" t="s">
        <v>195</v>
      </c>
      <c r="H39" s="30" t="s">
        <v>208</v>
      </c>
      <c r="I39" s="29" t="s">
        <v>149</v>
      </c>
      <c r="J39" s="30" t="s">
        <v>34</v>
      </c>
      <c r="K39" s="27"/>
      <c r="L39" s="49">
        <v>135</v>
      </c>
      <c r="M39" s="26" t="str">
        <f>"81,5805"</f>
        <v>81,5805</v>
      </c>
      <c r="N39" s="17" t="s">
        <v>55</v>
      </c>
    </row>
    <row r="40" spans="1:14" ht="12.75">
      <c r="A40" s="26" t="s">
        <v>933</v>
      </c>
      <c r="B40" s="17" t="s">
        <v>386</v>
      </c>
      <c r="C40" s="17" t="s">
        <v>387</v>
      </c>
      <c r="D40" s="17" t="s">
        <v>388</v>
      </c>
      <c r="E40" s="17" t="str">
        <f>"0,5831"</f>
        <v>0,5831</v>
      </c>
      <c r="F40" s="17" t="s">
        <v>15</v>
      </c>
      <c r="G40" s="17" t="s">
        <v>389</v>
      </c>
      <c r="H40" s="29" t="s">
        <v>37</v>
      </c>
      <c r="I40" s="29" t="s">
        <v>74</v>
      </c>
      <c r="J40" s="30" t="s">
        <v>75</v>
      </c>
      <c r="K40" s="27"/>
      <c r="L40" s="49">
        <v>207.5</v>
      </c>
      <c r="M40" s="26" t="str">
        <f>"120,9829"</f>
        <v>120,9829</v>
      </c>
      <c r="N40" s="17" t="s">
        <v>390</v>
      </c>
    </row>
    <row r="41" spans="1:14" ht="12.75">
      <c r="A41" s="26" t="s">
        <v>935</v>
      </c>
      <c r="B41" s="17" t="s">
        <v>1515</v>
      </c>
      <c r="C41" s="17" t="s">
        <v>391</v>
      </c>
      <c r="D41" s="17" t="s">
        <v>392</v>
      </c>
      <c r="E41" s="17" t="str">
        <f>"0,5870"</f>
        <v>0,5870</v>
      </c>
      <c r="F41" s="17" t="s">
        <v>162</v>
      </c>
      <c r="G41" s="17" t="s">
        <v>163</v>
      </c>
      <c r="H41" s="29" t="s">
        <v>31</v>
      </c>
      <c r="I41" s="29" t="s">
        <v>90</v>
      </c>
      <c r="J41" s="30" t="s">
        <v>32</v>
      </c>
      <c r="K41" s="27"/>
      <c r="L41" s="49">
        <v>185</v>
      </c>
      <c r="M41" s="26" t="str">
        <f>"108,5858"</f>
        <v>108,5858</v>
      </c>
      <c r="N41" s="17" t="s">
        <v>1052</v>
      </c>
    </row>
    <row r="42" spans="1:14" ht="12.75">
      <c r="A42" s="26" t="s">
        <v>936</v>
      </c>
      <c r="B42" s="17" t="s">
        <v>393</v>
      </c>
      <c r="C42" s="17" t="s">
        <v>394</v>
      </c>
      <c r="D42" s="17" t="s">
        <v>395</v>
      </c>
      <c r="E42" s="17" t="str">
        <f>"0,5977"</f>
        <v>0,5977</v>
      </c>
      <c r="F42" s="17" t="s">
        <v>162</v>
      </c>
      <c r="G42" s="17" t="s">
        <v>163</v>
      </c>
      <c r="H42" s="29" t="s">
        <v>36</v>
      </c>
      <c r="I42" s="29" t="s">
        <v>18</v>
      </c>
      <c r="J42" s="29" t="s">
        <v>19</v>
      </c>
      <c r="K42" s="27"/>
      <c r="L42" s="49">
        <v>165</v>
      </c>
      <c r="M42" s="26" t="str">
        <f>"98,6205"</f>
        <v>98,6205</v>
      </c>
      <c r="N42" s="17" t="s">
        <v>396</v>
      </c>
    </row>
    <row r="43" spans="1:14" ht="12.75">
      <c r="A43" s="26" t="s">
        <v>938</v>
      </c>
      <c r="B43" s="17" t="s">
        <v>397</v>
      </c>
      <c r="C43" s="17" t="s">
        <v>398</v>
      </c>
      <c r="D43" s="17" t="s">
        <v>399</v>
      </c>
      <c r="E43" s="17" t="str">
        <f>"0,5850"</f>
        <v>0,5850</v>
      </c>
      <c r="F43" s="52" t="s">
        <v>400</v>
      </c>
      <c r="G43" s="17" t="s">
        <v>401</v>
      </c>
      <c r="H43" s="29" t="s">
        <v>35</v>
      </c>
      <c r="I43" s="29" t="s">
        <v>17</v>
      </c>
      <c r="J43" s="30" t="s">
        <v>18</v>
      </c>
      <c r="K43" s="27"/>
      <c r="L43" s="49">
        <v>155</v>
      </c>
      <c r="M43" s="26" t="str">
        <f>"90,6827"</f>
        <v>90,6827</v>
      </c>
      <c r="N43" s="17" t="s">
        <v>55</v>
      </c>
    </row>
    <row r="44" spans="1:14" ht="12.75">
      <c r="A44" s="26"/>
      <c r="B44" s="17" t="s">
        <v>402</v>
      </c>
      <c r="C44" s="17" t="s">
        <v>403</v>
      </c>
      <c r="D44" s="17" t="s">
        <v>404</v>
      </c>
      <c r="E44" s="17" t="str">
        <f>"0,5902"</f>
        <v>0,5902</v>
      </c>
      <c r="F44" s="17" t="s">
        <v>162</v>
      </c>
      <c r="G44" s="17" t="s">
        <v>163</v>
      </c>
      <c r="H44" s="30" t="s">
        <v>202</v>
      </c>
      <c r="I44" s="30" t="s">
        <v>202</v>
      </c>
      <c r="J44" s="30" t="s">
        <v>202</v>
      </c>
      <c r="K44" s="27"/>
      <c r="L44" s="49">
        <v>0</v>
      </c>
      <c r="M44" s="26" t="str">
        <f>"0,0000"</f>
        <v>0,0000</v>
      </c>
      <c r="N44" s="17" t="s">
        <v>396</v>
      </c>
    </row>
    <row r="45" spans="1:14" ht="12.75">
      <c r="A45" s="26" t="s">
        <v>933</v>
      </c>
      <c r="B45" s="17" t="s">
        <v>386</v>
      </c>
      <c r="C45" s="17" t="s">
        <v>405</v>
      </c>
      <c r="D45" s="17" t="s">
        <v>388</v>
      </c>
      <c r="E45" s="17" t="str">
        <f>"0,5831"</f>
        <v>0,5831</v>
      </c>
      <c r="F45" s="17" t="s">
        <v>15</v>
      </c>
      <c r="G45" s="17" t="s">
        <v>389</v>
      </c>
      <c r="H45" s="29" t="s">
        <v>37</v>
      </c>
      <c r="I45" s="29" t="s">
        <v>74</v>
      </c>
      <c r="J45" s="30" t="s">
        <v>75</v>
      </c>
      <c r="K45" s="27"/>
      <c r="L45" s="49">
        <v>207.5</v>
      </c>
      <c r="M45" s="26" t="str">
        <f>"130,9035"</f>
        <v>130,9035</v>
      </c>
      <c r="N45" s="17" t="s">
        <v>390</v>
      </c>
    </row>
    <row r="47" spans="1:13" ht="15.75">
      <c r="A47"/>
      <c r="B47" s="97" t="s">
        <v>93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</row>
    <row r="48" spans="1:14" ht="12.75">
      <c r="A48" s="26" t="s">
        <v>933</v>
      </c>
      <c r="B48" s="17" t="s">
        <v>406</v>
      </c>
      <c r="C48" s="17" t="s">
        <v>407</v>
      </c>
      <c r="D48" s="17" t="s">
        <v>408</v>
      </c>
      <c r="E48" s="17" t="str">
        <f>"0,5680"</f>
        <v>0,5680</v>
      </c>
      <c r="F48" s="17" t="s">
        <v>15</v>
      </c>
      <c r="G48" s="17" t="s">
        <v>1244</v>
      </c>
      <c r="H48" s="29" t="s">
        <v>18</v>
      </c>
      <c r="I48" s="29" t="s">
        <v>19</v>
      </c>
      <c r="J48" s="30" t="s">
        <v>52</v>
      </c>
      <c r="K48" s="27"/>
      <c r="L48" s="49">
        <v>165</v>
      </c>
      <c r="M48" s="26" t="str">
        <f>"93,7118"</f>
        <v>93,7118</v>
      </c>
      <c r="N48" s="17" t="s">
        <v>1321</v>
      </c>
    </row>
    <row r="49" spans="1:14" ht="12.75">
      <c r="A49" s="26" t="s">
        <v>933</v>
      </c>
      <c r="B49" s="17" t="s">
        <v>409</v>
      </c>
      <c r="C49" s="17" t="s">
        <v>410</v>
      </c>
      <c r="D49" s="17" t="s">
        <v>225</v>
      </c>
      <c r="E49" s="17" t="str">
        <f>"0,5663"</f>
        <v>0,5663</v>
      </c>
      <c r="F49" s="17" t="s">
        <v>15</v>
      </c>
      <c r="G49" s="17" t="s">
        <v>1244</v>
      </c>
      <c r="H49" s="29" t="s">
        <v>411</v>
      </c>
      <c r="I49" s="29" t="s">
        <v>76</v>
      </c>
      <c r="J49" s="29" t="s">
        <v>66</v>
      </c>
      <c r="K49" s="27"/>
      <c r="L49" s="49">
        <v>225</v>
      </c>
      <c r="M49" s="26" t="str">
        <f>"127,4175"</f>
        <v>127,4175</v>
      </c>
      <c r="N49" s="17" t="s">
        <v>55</v>
      </c>
    </row>
    <row r="50" spans="1:14" ht="12.75">
      <c r="A50" s="26" t="s">
        <v>935</v>
      </c>
      <c r="B50" s="17" t="s">
        <v>412</v>
      </c>
      <c r="C50" s="17" t="s">
        <v>413</v>
      </c>
      <c r="D50" s="17" t="s">
        <v>414</v>
      </c>
      <c r="E50" s="17" t="str">
        <f>"0,5658"</f>
        <v>0,5658</v>
      </c>
      <c r="F50" s="17" t="s">
        <v>15</v>
      </c>
      <c r="G50" s="17" t="s">
        <v>1244</v>
      </c>
      <c r="H50" s="29" t="s">
        <v>411</v>
      </c>
      <c r="I50" s="29" t="s">
        <v>76</v>
      </c>
      <c r="J50" s="30" t="s">
        <v>66</v>
      </c>
      <c r="K50" s="27"/>
      <c r="L50" s="49">
        <v>222.5</v>
      </c>
      <c r="M50" s="26" t="str">
        <f>"125,8905"</f>
        <v>125,8905</v>
      </c>
      <c r="N50" s="17" t="s">
        <v>55</v>
      </c>
    </row>
    <row r="51" spans="1:14" ht="12.75">
      <c r="A51" s="26" t="s">
        <v>936</v>
      </c>
      <c r="B51" s="17" t="s">
        <v>415</v>
      </c>
      <c r="C51" s="17" t="s">
        <v>416</v>
      </c>
      <c r="D51" s="17" t="s">
        <v>417</v>
      </c>
      <c r="E51" s="17" t="str">
        <f>"0,5653"</f>
        <v>0,5653</v>
      </c>
      <c r="F51" s="17" t="s">
        <v>15</v>
      </c>
      <c r="G51" s="17" t="s">
        <v>418</v>
      </c>
      <c r="H51" s="29" t="s">
        <v>74</v>
      </c>
      <c r="I51" s="29" t="s">
        <v>75</v>
      </c>
      <c r="J51" s="30" t="s">
        <v>66</v>
      </c>
      <c r="K51" s="27"/>
      <c r="L51" s="49">
        <v>215</v>
      </c>
      <c r="M51" s="26" t="str">
        <f>"121,5395"</f>
        <v>121,5395</v>
      </c>
      <c r="N51" s="17" t="s">
        <v>1322</v>
      </c>
    </row>
    <row r="52" spans="1:14" ht="12.75">
      <c r="A52" s="26" t="s">
        <v>938</v>
      </c>
      <c r="B52" s="17" t="s">
        <v>419</v>
      </c>
      <c r="C52" s="17" t="s">
        <v>420</v>
      </c>
      <c r="D52" s="17" t="s">
        <v>421</v>
      </c>
      <c r="E52" s="17" t="str">
        <f>"0,5644"</f>
        <v>0,5644</v>
      </c>
      <c r="F52" s="17" t="s">
        <v>15</v>
      </c>
      <c r="G52" s="17" t="s">
        <v>422</v>
      </c>
      <c r="H52" s="29" t="s">
        <v>33</v>
      </c>
      <c r="I52" s="30" t="s">
        <v>37</v>
      </c>
      <c r="J52" s="30" t="s">
        <v>37</v>
      </c>
      <c r="K52" s="27"/>
      <c r="L52" s="49">
        <v>192.5</v>
      </c>
      <c r="M52" s="26" t="str">
        <f>"108,6470"</f>
        <v>108,6470</v>
      </c>
      <c r="N52" s="17" t="s">
        <v>55</v>
      </c>
    </row>
    <row r="53" spans="1:14" ht="12.75">
      <c r="A53" s="26" t="s">
        <v>939</v>
      </c>
      <c r="B53" s="17" t="s">
        <v>423</v>
      </c>
      <c r="C53" s="17" t="s">
        <v>424</v>
      </c>
      <c r="D53" s="17" t="s">
        <v>319</v>
      </c>
      <c r="E53" s="17" t="str">
        <f>"0,5659"</f>
        <v>0,5659</v>
      </c>
      <c r="F53" s="17" t="s">
        <v>15</v>
      </c>
      <c r="G53" s="17" t="s">
        <v>60</v>
      </c>
      <c r="H53" s="29" t="s">
        <v>31</v>
      </c>
      <c r="I53" s="29" t="s">
        <v>43</v>
      </c>
      <c r="J53" s="30" t="s">
        <v>33</v>
      </c>
      <c r="K53" s="27"/>
      <c r="L53" s="49">
        <v>187.5</v>
      </c>
      <c r="M53" s="26" t="str">
        <f>"106,1156"</f>
        <v>106,1156</v>
      </c>
      <c r="N53" s="17" t="s">
        <v>55</v>
      </c>
    </row>
    <row r="54" spans="1:14" ht="12.75">
      <c r="A54" s="26" t="s">
        <v>940</v>
      </c>
      <c r="B54" s="17" t="s">
        <v>425</v>
      </c>
      <c r="C54" s="17" t="s">
        <v>426</v>
      </c>
      <c r="D54" s="17" t="s">
        <v>427</v>
      </c>
      <c r="E54" s="17" t="str">
        <f>"0,5724"</f>
        <v>0,5724</v>
      </c>
      <c r="F54" s="17" t="s">
        <v>15</v>
      </c>
      <c r="G54" s="17" t="s">
        <v>1319</v>
      </c>
      <c r="H54" s="29" t="s">
        <v>31</v>
      </c>
      <c r="I54" s="30" t="s">
        <v>32</v>
      </c>
      <c r="J54" s="27"/>
      <c r="K54" s="27"/>
      <c r="L54" s="49">
        <v>180</v>
      </c>
      <c r="M54" s="26" t="str">
        <f>"103,0320"</f>
        <v>103,0320</v>
      </c>
      <c r="N54" s="17" t="s">
        <v>428</v>
      </c>
    </row>
    <row r="55" spans="1:14" ht="12.75">
      <c r="A55" s="26" t="s">
        <v>933</v>
      </c>
      <c r="B55" s="17" t="s">
        <v>429</v>
      </c>
      <c r="C55" s="17" t="s">
        <v>430</v>
      </c>
      <c r="D55" s="17" t="s">
        <v>431</v>
      </c>
      <c r="E55" s="17" t="str">
        <f>"0,5673"</f>
        <v>0,5673</v>
      </c>
      <c r="F55" s="17" t="s">
        <v>15</v>
      </c>
      <c r="G55" s="17" t="s">
        <v>422</v>
      </c>
      <c r="H55" s="29" t="s">
        <v>37</v>
      </c>
      <c r="I55" s="30" t="s">
        <v>75</v>
      </c>
      <c r="J55" s="30" t="s">
        <v>75</v>
      </c>
      <c r="K55" s="27"/>
      <c r="L55" s="49">
        <v>200</v>
      </c>
      <c r="M55" s="26" t="str">
        <f>"116,9773"</f>
        <v>116,9773</v>
      </c>
      <c r="N55" s="17" t="s">
        <v>55</v>
      </c>
    </row>
    <row r="56" spans="1:14" ht="12.75">
      <c r="A56" s="26" t="s">
        <v>935</v>
      </c>
      <c r="B56" s="17" t="s">
        <v>432</v>
      </c>
      <c r="C56" s="17" t="s">
        <v>433</v>
      </c>
      <c r="D56" s="17" t="s">
        <v>434</v>
      </c>
      <c r="E56" s="17" t="str">
        <f>"0,5677"</f>
        <v>0,5677</v>
      </c>
      <c r="F56" s="17" t="s">
        <v>15</v>
      </c>
      <c r="G56" s="17" t="s">
        <v>435</v>
      </c>
      <c r="H56" s="29" t="s">
        <v>42</v>
      </c>
      <c r="I56" s="30" t="s">
        <v>90</v>
      </c>
      <c r="J56" s="30" t="s">
        <v>90</v>
      </c>
      <c r="K56" s="27"/>
      <c r="L56" s="49">
        <v>175</v>
      </c>
      <c r="M56" s="26" t="str">
        <f>"102,4183"</f>
        <v>102,4183</v>
      </c>
      <c r="N56" s="17" t="s">
        <v>55</v>
      </c>
    </row>
    <row r="57" spans="1:14" ht="12.75">
      <c r="A57" s="26" t="s">
        <v>933</v>
      </c>
      <c r="B57" s="17" t="s">
        <v>436</v>
      </c>
      <c r="C57" s="17" t="s">
        <v>437</v>
      </c>
      <c r="D57" s="17" t="s">
        <v>95</v>
      </c>
      <c r="E57" s="17" t="str">
        <f>"0,5706"</f>
        <v>0,5706</v>
      </c>
      <c r="F57" s="17" t="s">
        <v>15</v>
      </c>
      <c r="G57" s="17" t="s">
        <v>1244</v>
      </c>
      <c r="H57" s="29" t="s">
        <v>259</v>
      </c>
      <c r="I57" s="29" t="s">
        <v>222</v>
      </c>
      <c r="J57" s="30" t="s">
        <v>82</v>
      </c>
      <c r="K57" s="27"/>
      <c r="L57" s="49">
        <v>205</v>
      </c>
      <c r="M57" s="26" t="str">
        <f>"124,9381"</f>
        <v>124,9381</v>
      </c>
      <c r="N57" s="17" t="s">
        <v>55</v>
      </c>
    </row>
    <row r="58" spans="1:14" ht="12.75">
      <c r="A58" s="26" t="s">
        <v>933</v>
      </c>
      <c r="B58" s="17" t="s">
        <v>438</v>
      </c>
      <c r="C58" s="17" t="s">
        <v>439</v>
      </c>
      <c r="D58" s="17" t="s">
        <v>440</v>
      </c>
      <c r="E58" s="17" t="str">
        <f>"0,5753"</f>
        <v>0,5753</v>
      </c>
      <c r="F58" s="17" t="s">
        <v>15</v>
      </c>
      <c r="G58" s="17" t="s">
        <v>441</v>
      </c>
      <c r="H58" s="29" t="s">
        <v>19</v>
      </c>
      <c r="I58" s="29" t="s">
        <v>23</v>
      </c>
      <c r="J58" s="30" t="s">
        <v>42</v>
      </c>
      <c r="K58" s="27"/>
      <c r="L58" s="49">
        <v>172.5</v>
      </c>
      <c r="M58" s="26" t="str">
        <f>"119,4737"</f>
        <v>119,4737</v>
      </c>
      <c r="N58" s="17" t="s">
        <v>442</v>
      </c>
    </row>
    <row r="60" spans="1:13" ht="15.75">
      <c r="A60"/>
      <c r="B60" s="97" t="s">
        <v>98</v>
      </c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</row>
    <row r="61" spans="1:14" ht="12.75">
      <c r="A61" s="26" t="s">
        <v>933</v>
      </c>
      <c r="B61" s="17" t="s">
        <v>443</v>
      </c>
      <c r="C61" s="17" t="s">
        <v>444</v>
      </c>
      <c r="D61" s="17" t="s">
        <v>101</v>
      </c>
      <c r="E61" s="17" t="str">
        <f>"0,5476"</f>
        <v>0,5476</v>
      </c>
      <c r="F61" s="17" t="s">
        <v>15</v>
      </c>
      <c r="G61" s="17" t="s">
        <v>445</v>
      </c>
      <c r="H61" s="29" t="s">
        <v>446</v>
      </c>
      <c r="I61" s="29" t="s">
        <v>82</v>
      </c>
      <c r="J61" s="27"/>
      <c r="K61" s="27"/>
      <c r="L61" s="49">
        <v>210</v>
      </c>
      <c r="M61" s="26" t="str">
        <f>"115,0065"</f>
        <v>115,0065</v>
      </c>
      <c r="N61" s="17" t="s">
        <v>55</v>
      </c>
    </row>
    <row r="62" spans="1:14" ht="12.75">
      <c r="A62" s="26" t="s">
        <v>935</v>
      </c>
      <c r="B62" s="17" t="s">
        <v>1315</v>
      </c>
      <c r="C62" s="17" t="s">
        <v>447</v>
      </c>
      <c r="D62" s="17" t="s">
        <v>448</v>
      </c>
      <c r="E62" s="17" t="str">
        <f>"0,5565"</f>
        <v>0,5565</v>
      </c>
      <c r="F62" s="17" t="s">
        <v>1231</v>
      </c>
      <c r="G62" s="17" t="s">
        <v>449</v>
      </c>
      <c r="H62" s="29" t="s">
        <v>74</v>
      </c>
      <c r="I62" s="27"/>
      <c r="J62" s="27"/>
      <c r="K62" s="27"/>
      <c r="L62" s="49">
        <v>207.5</v>
      </c>
      <c r="M62" s="26" t="str">
        <f>"115,4634"</f>
        <v>115,4634</v>
      </c>
      <c r="N62" s="17" t="s">
        <v>335</v>
      </c>
    </row>
    <row r="63" spans="1:14" ht="12.75">
      <c r="A63" s="26" t="s">
        <v>936</v>
      </c>
      <c r="B63" s="17" t="s">
        <v>450</v>
      </c>
      <c r="C63" s="17" t="s">
        <v>451</v>
      </c>
      <c r="D63" s="17" t="s">
        <v>452</v>
      </c>
      <c r="E63" s="17" t="str">
        <f>"0,5592"</f>
        <v>0,5592</v>
      </c>
      <c r="F63" s="52" t="s">
        <v>168</v>
      </c>
      <c r="G63" s="17" t="s">
        <v>1244</v>
      </c>
      <c r="H63" s="29" t="s">
        <v>35</v>
      </c>
      <c r="I63" s="27"/>
      <c r="J63" s="27"/>
      <c r="K63" s="27"/>
      <c r="L63" s="49">
        <v>145</v>
      </c>
      <c r="M63" s="26" t="str">
        <f>"81,0912"</f>
        <v>81,0912</v>
      </c>
      <c r="N63" s="17" t="s">
        <v>55</v>
      </c>
    </row>
    <row r="64" spans="1:14" ht="12.75">
      <c r="A64" s="26" t="s">
        <v>933</v>
      </c>
      <c r="B64" s="17" t="s">
        <v>453</v>
      </c>
      <c r="C64" s="17" t="s">
        <v>454</v>
      </c>
      <c r="D64" s="17" t="s">
        <v>278</v>
      </c>
      <c r="E64" s="17" t="str">
        <f>"0,5541"</f>
        <v>0,5541</v>
      </c>
      <c r="F64" s="17" t="s">
        <v>15</v>
      </c>
      <c r="G64" s="17" t="s">
        <v>60</v>
      </c>
      <c r="H64" s="29" t="s">
        <v>42</v>
      </c>
      <c r="I64" s="30" t="s">
        <v>31</v>
      </c>
      <c r="J64" s="30" t="s">
        <v>25</v>
      </c>
      <c r="K64" s="27"/>
      <c r="L64" s="49">
        <v>175</v>
      </c>
      <c r="M64" s="26" t="str">
        <f>"97,9460"</f>
        <v>97,9460</v>
      </c>
      <c r="N64" s="17" t="s">
        <v>55</v>
      </c>
    </row>
    <row r="65" spans="1:14" ht="12.75">
      <c r="A65" s="26" t="s">
        <v>933</v>
      </c>
      <c r="B65" s="17" t="s">
        <v>455</v>
      </c>
      <c r="C65" s="17" t="s">
        <v>456</v>
      </c>
      <c r="D65" s="17" t="s">
        <v>457</v>
      </c>
      <c r="E65" s="17" t="str">
        <f>"0,5566"</f>
        <v>0,5566</v>
      </c>
      <c r="F65" s="17" t="s">
        <v>15</v>
      </c>
      <c r="G65" s="17" t="s">
        <v>441</v>
      </c>
      <c r="H65" s="29" t="s">
        <v>67</v>
      </c>
      <c r="I65" s="29" t="s">
        <v>31</v>
      </c>
      <c r="J65" s="29" t="s">
        <v>32</v>
      </c>
      <c r="K65" s="27"/>
      <c r="L65" s="49">
        <v>190</v>
      </c>
      <c r="M65" s="26" t="str">
        <f>"117,6936"</f>
        <v>117,6936</v>
      </c>
      <c r="N65" s="17" t="s">
        <v>55</v>
      </c>
    </row>
    <row r="66" spans="1:14" ht="12.75">
      <c r="A66" s="26" t="s">
        <v>933</v>
      </c>
      <c r="B66" s="17" t="s">
        <v>458</v>
      </c>
      <c r="C66" s="17" t="s">
        <v>459</v>
      </c>
      <c r="D66" s="17" t="s">
        <v>460</v>
      </c>
      <c r="E66" s="17" t="str">
        <f>"0,5605"</f>
        <v>0,5605</v>
      </c>
      <c r="F66" s="17" t="s">
        <v>15</v>
      </c>
      <c r="G66" s="17" t="s">
        <v>1244</v>
      </c>
      <c r="H66" s="29" t="s">
        <v>18</v>
      </c>
      <c r="I66" s="29" t="s">
        <v>23</v>
      </c>
      <c r="J66" s="30" t="s">
        <v>24</v>
      </c>
      <c r="K66" s="27"/>
      <c r="L66" s="49">
        <v>172.5</v>
      </c>
      <c r="M66" s="26" t="str">
        <f>"112,6294"</f>
        <v>112,6294</v>
      </c>
      <c r="N66" s="17" t="s">
        <v>55</v>
      </c>
    </row>
    <row r="68" spans="1:13" ht="15.75">
      <c r="A68"/>
      <c r="B68" s="97" t="s">
        <v>279</v>
      </c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</row>
    <row r="69" spans="1:14" ht="12.75">
      <c r="A69" s="26" t="s">
        <v>933</v>
      </c>
      <c r="B69" s="17" t="s">
        <v>461</v>
      </c>
      <c r="C69" s="17" t="s">
        <v>462</v>
      </c>
      <c r="D69" s="17" t="s">
        <v>463</v>
      </c>
      <c r="E69" s="17" t="str">
        <f>"0,5342"</f>
        <v>0,5342</v>
      </c>
      <c r="F69" s="52" t="s">
        <v>400</v>
      </c>
      <c r="G69" s="17" t="s">
        <v>464</v>
      </c>
      <c r="H69" s="29" t="s">
        <v>82</v>
      </c>
      <c r="I69" s="30" t="s">
        <v>77</v>
      </c>
      <c r="J69" s="29" t="s">
        <v>78</v>
      </c>
      <c r="K69" s="27"/>
      <c r="L69" s="49">
        <v>235</v>
      </c>
      <c r="M69" s="26" t="str">
        <f>"126,7912"</f>
        <v>126,7912</v>
      </c>
      <c r="N69" s="17" t="s">
        <v>55</v>
      </c>
    </row>
    <row r="70" spans="1:14" ht="12.75">
      <c r="A70" s="26" t="s">
        <v>935</v>
      </c>
      <c r="B70" s="17" t="s">
        <v>465</v>
      </c>
      <c r="C70" s="17" t="s">
        <v>466</v>
      </c>
      <c r="D70" s="17" t="s">
        <v>467</v>
      </c>
      <c r="E70" s="17" t="str">
        <f>"0,5366"</f>
        <v>0,5366</v>
      </c>
      <c r="F70" s="17" t="s">
        <v>15</v>
      </c>
      <c r="G70" s="17" t="s">
        <v>468</v>
      </c>
      <c r="H70" s="29" t="s">
        <v>75</v>
      </c>
      <c r="I70" s="29" t="s">
        <v>76</v>
      </c>
      <c r="J70" s="29" t="s">
        <v>77</v>
      </c>
      <c r="K70" s="27"/>
      <c r="L70" s="49">
        <v>230</v>
      </c>
      <c r="M70" s="26" t="str">
        <f>"123,4272"</f>
        <v>123,4272</v>
      </c>
      <c r="N70" s="17" t="s">
        <v>55</v>
      </c>
    </row>
    <row r="72" spans="1:13" ht="15.75">
      <c r="A72"/>
      <c r="B72" s="97" t="s">
        <v>469</v>
      </c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</row>
    <row r="73" spans="1:14" ht="12.75">
      <c r="A73" s="26" t="s">
        <v>933</v>
      </c>
      <c r="B73" s="17" t="s">
        <v>470</v>
      </c>
      <c r="C73" s="17" t="s">
        <v>471</v>
      </c>
      <c r="D73" s="17" t="s">
        <v>472</v>
      </c>
      <c r="E73" s="17" t="str">
        <f>"0,5150"</f>
        <v>0,5150</v>
      </c>
      <c r="F73" s="17" t="s">
        <v>15</v>
      </c>
      <c r="G73" s="17" t="s">
        <v>473</v>
      </c>
      <c r="H73" s="29" t="s">
        <v>75</v>
      </c>
      <c r="I73" s="29" t="s">
        <v>66</v>
      </c>
      <c r="J73" s="30" t="s">
        <v>305</v>
      </c>
      <c r="K73" s="27"/>
      <c r="L73" s="49">
        <v>225</v>
      </c>
      <c r="M73" s="26" t="str">
        <f>"120,8553"</f>
        <v>120,8553</v>
      </c>
      <c r="N73" s="17" t="s">
        <v>1323</v>
      </c>
    </row>
    <row r="75" spans="2:3" ht="18">
      <c r="B75" s="19" t="s">
        <v>108</v>
      </c>
      <c r="C75" s="19"/>
    </row>
    <row r="76" spans="2:3" ht="15.75">
      <c r="B76" s="20" t="s">
        <v>117</v>
      </c>
      <c r="C76" s="20"/>
    </row>
    <row r="77" spans="2:3" ht="13.5">
      <c r="B77" s="22"/>
      <c r="C77" s="23" t="s">
        <v>209</v>
      </c>
    </row>
    <row r="78" spans="2:6" ht="13.5">
      <c r="B78" s="24" t="s">
        <v>111</v>
      </c>
      <c r="C78" s="24" t="s">
        <v>112</v>
      </c>
      <c r="D78" s="24" t="s">
        <v>113</v>
      </c>
      <c r="E78" s="24" t="s">
        <v>934</v>
      </c>
      <c r="F78" s="24" t="s">
        <v>115</v>
      </c>
    </row>
    <row r="79" spans="1:6" ht="12.75">
      <c r="A79" s="28" t="s">
        <v>933</v>
      </c>
      <c r="B79" s="21" t="s">
        <v>363</v>
      </c>
      <c r="C79" s="46" t="s">
        <v>110</v>
      </c>
      <c r="D79" s="46" t="s">
        <v>116</v>
      </c>
      <c r="E79" s="28" t="s">
        <v>91</v>
      </c>
      <c r="F79" s="28" t="s">
        <v>475</v>
      </c>
    </row>
    <row r="80" spans="1:6" ht="12.75">
      <c r="A80" s="28" t="s">
        <v>935</v>
      </c>
      <c r="B80" s="21" t="s">
        <v>409</v>
      </c>
      <c r="C80" s="46" t="s">
        <v>110</v>
      </c>
      <c r="D80" s="46" t="s">
        <v>118</v>
      </c>
      <c r="E80" s="28" t="s">
        <v>66</v>
      </c>
      <c r="F80" s="28" t="s">
        <v>476</v>
      </c>
    </row>
    <row r="81" spans="1:6" ht="12.75">
      <c r="A81" s="28" t="s">
        <v>936</v>
      </c>
      <c r="B81" s="21" t="s">
        <v>412</v>
      </c>
      <c r="C81" s="46" t="s">
        <v>110</v>
      </c>
      <c r="D81" s="46" t="s">
        <v>118</v>
      </c>
      <c r="E81" s="28" t="s">
        <v>76</v>
      </c>
      <c r="F81" s="28" t="s">
        <v>477</v>
      </c>
    </row>
    <row r="83" spans="2:3" ht="13.5">
      <c r="B83" s="22"/>
      <c r="C83" s="23" t="s">
        <v>209</v>
      </c>
    </row>
    <row r="84" spans="2:6" ht="13.5">
      <c r="B84" s="24" t="s">
        <v>111</v>
      </c>
      <c r="C84" s="24" t="s">
        <v>112</v>
      </c>
      <c r="D84" s="24" t="s">
        <v>113</v>
      </c>
      <c r="E84" s="24" t="s">
        <v>934</v>
      </c>
      <c r="F84" s="24" t="s">
        <v>115</v>
      </c>
    </row>
    <row r="85" spans="1:6" ht="12.75">
      <c r="A85" s="28" t="s">
        <v>933</v>
      </c>
      <c r="B85" s="21" t="s">
        <v>386</v>
      </c>
      <c r="C85" s="46" t="s">
        <v>290</v>
      </c>
      <c r="D85" s="46" t="s">
        <v>129</v>
      </c>
      <c r="E85" s="28" t="s">
        <v>74</v>
      </c>
      <c r="F85" s="28" t="s">
        <v>479</v>
      </c>
    </row>
    <row r="86" spans="1:6" ht="12.75">
      <c r="A86" s="28" t="s">
        <v>935</v>
      </c>
      <c r="B86" s="21" t="s">
        <v>461</v>
      </c>
      <c r="C86" s="46" t="s">
        <v>128</v>
      </c>
      <c r="D86" s="46" t="s">
        <v>289</v>
      </c>
      <c r="E86" s="28" t="s">
        <v>78</v>
      </c>
      <c r="F86" s="28" t="s">
        <v>478</v>
      </c>
    </row>
    <row r="87" spans="1:6" ht="12.75">
      <c r="A87" s="28" t="s">
        <v>936</v>
      </c>
      <c r="B87" s="21" t="s">
        <v>436</v>
      </c>
      <c r="C87" s="46" t="s">
        <v>290</v>
      </c>
      <c r="D87" s="46" t="s">
        <v>118</v>
      </c>
      <c r="E87" s="28" t="s">
        <v>222</v>
      </c>
      <c r="F87" s="28" t="s">
        <v>480</v>
      </c>
    </row>
  </sheetData>
  <sheetProtection/>
  <mergeCells count="25">
    <mergeCell ref="B60:M60"/>
    <mergeCell ref="B68:M68"/>
    <mergeCell ref="B72:M72"/>
    <mergeCell ref="B1:R2"/>
    <mergeCell ref="A3:A4"/>
    <mergeCell ref="B14:M14"/>
    <mergeCell ref="B17:M17"/>
    <mergeCell ref="B20:M20"/>
    <mergeCell ref="B26:M26"/>
    <mergeCell ref="C3:C4"/>
    <mergeCell ref="B47:M47"/>
    <mergeCell ref="H3:K3"/>
    <mergeCell ref="B30:M30"/>
    <mergeCell ref="B38:M38"/>
    <mergeCell ref="L3:L4"/>
    <mergeCell ref="M3:M4"/>
    <mergeCell ref="N3:N4"/>
    <mergeCell ref="B5:M5"/>
    <mergeCell ref="B8:M8"/>
    <mergeCell ref="B11:M11"/>
    <mergeCell ref="B3:B4"/>
    <mergeCell ref="D3:D4"/>
    <mergeCell ref="E3:E4"/>
    <mergeCell ref="F3:F4"/>
    <mergeCell ref="G3:G4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L6" sqref="L6"/>
    </sheetView>
  </sheetViews>
  <sheetFormatPr defaultColWidth="8.75390625" defaultRowHeight="12.75"/>
  <cols>
    <col min="1" max="1" width="7.625" style="28" customWidth="1"/>
    <col min="2" max="2" width="26.00390625" style="16" bestFit="1" customWidth="1"/>
    <col min="3" max="3" width="23.875" style="16" customWidth="1"/>
    <col min="4" max="4" width="10.625" style="16" bestFit="1" customWidth="1"/>
    <col min="5" max="5" width="8.375" style="16" bestFit="1" customWidth="1"/>
    <col min="6" max="6" width="16.875" style="16" customWidth="1"/>
    <col min="7" max="7" width="28.625" style="16" bestFit="1" customWidth="1"/>
    <col min="8" max="11" width="7.625" style="28" customWidth="1"/>
    <col min="12" max="12" width="11.625" style="28" customWidth="1"/>
    <col min="13" max="13" width="8.75390625" style="28" customWidth="1"/>
    <col min="14" max="14" width="15.75390625" style="16" bestFit="1" customWidth="1"/>
  </cols>
  <sheetData>
    <row r="1" spans="2:14" s="1" customFormat="1" ht="15" customHeight="1">
      <c r="B1" s="86" t="s">
        <v>1400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102"/>
    </row>
    <row r="2" spans="2:14" s="1" customFormat="1" ht="81" customHeight="1" thickBot="1">
      <c r="B2" s="88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103"/>
    </row>
    <row r="3" spans="1:14" s="4" customFormat="1" ht="12.75" customHeight="1">
      <c r="A3" s="98" t="s">
        <v>932</v>
      </c>
      <c r="B3" s="90" t="s">
        <v>0</v>
      </c>
      <c r="C3" s="92" t="s">
        <v>1</v>
      </c>
      <c r="D3" s="92" t="s">
        <v>1226</v>
      </c>
      <c r="E3" s="94" t="s">
        <v>11</v>
      </c>
      <c r="F3" s="94" t="s">
        <v>2</v>
      </c>
      <c r="G3" s="95" t="s">
        <v>1227</v>
      </c>
      <c r="H3" s="98" t="s">
        <v>4</v>
      </c>
      <c r="I3" s="94"/>
      <c r="J3" s="94"/>
      <c r="K3" s="100"/>
      <c r="L3" s="90" t="s">
        <v>934</v>
      </c>
      <c r="M3" s="94" t="s">
        <v>9</v>
      </c>
      <c r="N3" s="100" t="s">
        <v>10</v>
      </c>
    </row>
    <row r="4" spans="1:14" s="4" customFormat="1" ht="23.25" customHeight="1" thickBot="1">
      <c r="A4" s="99"/>
      <c r="B4" s="91"/>
      <c r="C4" s="93"/>
      <c r="D4" s="93"/>
      <c r="E4" s="93"/>
      <c r="F4" s="93"/>
      <c r="G4" s="96"/>
      <c r="H4" s="6">
        <v>1</v>
      </c>
      <c r="I4" s="7">
        <v>2</v>
      </c>
      <c r="J4" s="7">
        <v>3</v>
      </c>
      <c r="K4" s="8" t="s">
        <v>7</v>
      </c>
      <c r="L4" s="91"/>
      <c r="M4" s="93"/>
      <c r="N4" s="101"/>
    </row>
    <row r="5" spans="1:13" ht="15.75">
      <c r="A5"/>
      <c r="B5" s="104" t="s">
        <v>93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</row>
    <row r="6" spans="1:14" ht="12.75">
      <c r="A6" s="26" t="s">
        <v>933</v>
      </c>
      <c r="B6" s="17" t="s">
        <v>1312</v>
      </c>
      <c r="C6" s="17" t="s">
        <v>318</v>
      </c>
      <c r="D6" s="17" t="s">
        <v>319</v>
      </c>
      <c r="E6" s="17" t="str">
        <f>"0,5659"</f>
        <v>0,5659</v>
      </c>
      <c r="F6" s="17" t="s">
        <v>15</v>
      </c>
      <c r="G6" s="17" t="s">
        <v>320</v>
      </c>
      <c r="H6" s="29" t="s">
        <v>91</v>
      </c>
      <c r="I6" s="29" t="s">
        <v>83</v>
      </c>
      <c r="J6" s="27"/>
      <c r="K6" s="27"/>
      <c r="L6" s="49">
        <v>260</v>
      </c>
      <c r="M6" s="26" t="str">
        <f>"147,1470"</f>
        <v>147,1470</v>
      </c>
      <c r="N6" s="17" t="s">
        <v>55</v>
      </c>
    </row>
  </sheetData>
  <sheetProtection/>
  <mergeCells count="13">
    <mergeCell ref="L3:L4"/>
    <mergeCell ref="M3:M4"/>
    <mergeCell ref="N3:N4"/>
    <mergeCell ref="B5:M5"/>
    <mergeCell ref="A3:A4"/>
    <mergeCell ref="B1:N2"/>
    <mergeCell ref="B3:B4"/>
    <mergeCell ref="C3:C4"/>
    <mergeCell ref="D3:D4"/>
    <mergeCell ref="E3:E4"/>
    <mergeCell ref="F3:F4"/>
    <mergeCell ref="G3:G4"/>
    <mergeCell ref="H3:K3"/>
  </mergeCells>
  <printOptions/>
  <pageMargins left="0.7" right="0.7" top="0.75" bottom="0.75" header="0.3" footer="0.3"/>
  <pageSetup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1">
      <selection activeCell="F19" sqref="F19"/>
    </sheetView>
  </sheetViews>
  <sheetFormatPr defaultColWidth="8.75390625" defaultRowHeight="12.75"/>
  <cols>
    <col min="1" max="1" width="7.875" style="28" bestFit="1" customWidth="1"/>
    <col min="2" max="2" width="21.00390625" style="16" customWidth="1"/>
    <col min="3" max="3" width="23.625" style="16" customWidth="1"/>
    <col min="4" max="4" width="10.625" style="16" bestFit="1" customWidth="1"/>
    <col min="5" max="5" width="8.375" style="16" bestFit="1" customWidth="1"/>
    <col min="6" max="6" width="19.00390625" style="16" customWidth="1"/>
    <col min="7" max="7" width="34.00390625" style="16" bestFit="1" customWidth="1"/>
    <col min="8" max="10" width="5.625" style="28" bestFit="1" customWidth="1"/>
    <col min="11" max="11" width="5.125" style="28" bestFit="1" customWidth="1"/>
    <col min="12" max="12" width="11.00390625" style="28" customWidth="1"/>
    <col min="13" max="13" width="8.625" style="28" bestFit="1" customWidth="1"/>
    <col min="14" max="14" width="15.25390625" style="16" bestFit="1" customWidth="1"/>
  </cols>
  <sheetData>
    <row r="1" spans="2:14" s="1" customFormat="1" ht="15" customHeight="1">
      <c r="B1" s="86" t="s">
        <v>1405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102"/>
    </row>
    <row r="2" spans="2:14" s="1" customFormat="1" ht="114.75" customHeight="1" thickBot="1">
      <c r="B2" s="88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103"/>
    </row>
    <row r="3" spans="1:14" s="4" customFormat="1" ht="12.75" customHeight="1">
      <c r="A3" s="98" t="s">
        <v>932</v>
      </c>
      <c r="B3" s="90" t="s">
        <v>0</v>
      </c>
      <c r="C3" s="92" t="s">
        <v>1</v>
      </c>
      <c r="D3" s="92" t="s">
        <v>1226</v>
      </c>
      <c r="E3" s="94" t="s">
        <v>11</v>
      </c>
      <c r="F3" s="94" t="s">
        <v>2</v>
      </c>
      <c r="G3" s="95" t="s">
        <v>1227</v>
      </c>
      <c r="H3" s="94" t="s">
        <v>4</v>
      </c>
      <c r="I3" s="94"/>
      <c r="J3" s="94"/>
      <c r="K3" s="94"/>
      <c r="L3" s="90" t="s">
        <v>934</v>
      </c>
      <c r="M3" s="94" t="s">
        <v>9</v>
      </c>
      <c r="N3" s="100" t="s">
        <v>10</v>
      </c>
    </row>
    <row r="4" spans="1:14" s="4" customFormat="1" ht="23.25" customHeight="1" thickBot="1">
      <c r="A4" s="99"/>
      <c r="B4" s="91"/>
      <c r="C4" s="93"/>
      <c r="D4" s="93"/>
      <c r="E4" s="93"/>
      <c r="F4" s="93"/>
      <c r="G4" s="96"/>
      <c r="H4" s="7">
        <v>1</v>
      </c>
      <c r="I4" s="7">
        <v>2</v>
      </c>
      <c r="J4" s="7">
        <v>3</v>
      </c>
      <c r="K4" s="7" t="s">
        <v>7</v>
      </c>
      <c r="L4" s="91"/>
      <c r="M4" s="93"/>
      <c r="N4" s="101"/>
    </row>
    <row r="5" spans="1:13" ht="15.75">
      <c r="A5"/>
      <c r="B5" s="104" t="s">
        <v>27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</row>
    <row r="6" spans="1:14" ht="12.75">
      <c r="A6" s="26" t="s">
        <v>933</v>
      </c>
      <c r="B6" s="17" t="s">
        <v>1385</v>
      </c>
      <c r="C6" s="17" t="s">
        <v>237</v>
      </c>
      <c r="D6" s="17" t="s">
        <v>238</v>
      </c>
      <c r="E6" s="17" t="str">
        <f>"0,8383"</f>
        <v>0,8383</v>
      </c>
      <c r="F6" s="17" t="s">
        <v>15</v>
      </c>
      <c r="G6" s="17" t="s">
        <v>195</v>
      </c>
      <c r="H6" s="29" t="s">
        <v>67</v>
      </c>
      <c r="I6" s="30" t="s">
        <v>90</v>
      </c>
      <c r="J6" s="29" t="s">
        <v>90</v>
      </c>
      <c r="K6" s="27"/>
      <c r="L6" s="49">
        <v>185</v>
      </c>
      <c r="M6" s="26" t="str">
        <f>"155,0947"</f>
        <v>155,0947</v>
      </c>
      <c r="N6" s="17" t="s">
        <v>239</v>
      </c>
    </row>
    <row r="8" spans="1:13" ht="15.75">
      <c r="A8"/>
      <c r="B8" s="97" t="s">
        <v>61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</row>
    <row r="9" spans="1:14" ht="12.75">
      <c r="A9" s="26" t="s">
        <v>933</v>
      </c>
      <c r="B9" s="17" t="s">
        <v>1260</v>
      </c>
      <c r="C9" s="17" t="s">
        <v>63</v>
      </c>
      <c r="D9" s="17" t="s">
        <v>64</v>
      </c>
      <c r="E9" s="17" t="str">
        <f>"0,6133"</f>
        <v>0,6133</v>
      </c>
      <c r="F9" s="17" t="s">
        <v>15</v>
      </c>
      <c r="G9" s="17" t="s">
        <v>1245</v>
      </c>
      <c r="H9" s="29" t="s">
        <v>66</v>
      </c>
      <c r="I9" s="27"/>
      <c r="J9" s="27"/>
      <c r="K9" s="27"/>
      <c r="L9" s="49">
        <v>225</v>
      </c>
      <c r="M9" s="26" t="str">
        <f>"138,0037"</f>
        <v>138,0037</v>
      </c>
      <c r="N9" s="17" t="s">
        <v>69</v>
      </c>
    </row>
    <row r="11" spans="1:13" ht="15.75">
      <c r="A11"/>
      <c r="B11" s="97" t="s">
        <v>87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</row>
    <row r="12" spans="1:14" ht="12.75">
      <c r="A12" s="26" t="s">
        <v>933</v>
      </c>
      <c r="B12" s="17" t="s">
        <v>253</v>
      </c>
      <c r="C12" s="17" t="s">
        <v>254</v>
      </c>
      <c r="D12" s="17" t="s">
        <v>255</v>
      </c>
      <c r="E12" s="17" t="str">
        <f>"0,5882"</f>
        <v>0,5882</v>
      </c>
      <c r="F12" s="17" t="s">
        <v>15</v>
      </c>
      <c r="G12" s="17" t="s">
        <v>1406</v>
      </c>
      <c r="H12" s="29" t="s">
        <v>257</v>
      </c>
      <c r="I12" s="30" t="s">
        <v>258</v>
      </c>
      <c r="J12" s="29" t="s">
        <v>258</v>
      </c>
      <c r="K12" s="27"/>
      <c r="L12" s="49">
        <v>342.5</v>
      </c>
      <c r="M12" s="26" t="str">
        <f>"201,4756"</f>
        <v>201,4756</v>
      </c>
      <c r="N12" s="17" t="s">
        <v>1440</v>
      </c>
    </row>
    <row r="14" spans="1:13" ht="15.75">
      <c r="A14"/>
      <c r="B14" s="97" t="s">
        <v>98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</row>
    <row r="15" spans="1:14" ht="12.75">
      <c r="A15" s="26" t="s">
        <v>933</v>
      </c>
      <c r="B15" s="17" t="s">
        <v>1404</v>
      </c>
      <c r="C15" s="17" t="s">
        <v>930</v>
      </c>
      <c r="D15" s="17" t="s">
        <v>931</v>
      </c>
      <c r="E15" s="17" t="str">
        <f>"0,5529"</f>
        <v>0,5529</v>
      </c>
      <c r="F15" s="52" t="s">
        <v>51</v>
      </c>
      <c r="G15" s="17" t="s">
        <v>73</v>
      </c>
      <c r="H15" s="29" t="s">
        <v>32</v>
      </c>
      <c r="I15" s="29" t="s">
        <v>222</v>
      </c>
      <c r="J15" s="29" t="s">
        <v>75</v>
      </c>
      <c r="K15" s="27"/>
      <c r="L15" s="49">
        <v>215</v>
      </c>
      <c r="M15" s="26" t="str">
        <f>"118,8735"</f>
        <v>118,8735</v>
      </c>
      <c r="N15" s="17" t="s">
        <v>1282</v>
      </c>
    </row>
  </sheetData>
  <sheetProtection/>
  <mergeCells count="16">
    <mergeCell ref="B14:M14"/>
    <mergeCell ref="A3:A4"/>
    <mergeCell ref="L3:L4"/>
    <mergeCell ref="M3:M4"/>
    <mergeCell ref="N3:N4"/>
    <mergeCell ref="B5:M5"/>
    <mergeCell ref="B8:M8"/>
    <mergeCell ref="B11:M11"/>
    <mergeCell ref="B1:N2"/>
    <mergeCell ref="B3:B4"/>
    <mergeCell ref="C3:C4"/>
    <mergeCell ref="D3:D4"/>
    <mergeCell ref="E3:E4"/>
    <mergeCell ref="F3:F4"/>
    <mergeCell ref="G3:G4"/>
    <mergeCell ref="H3:K3"/>
  </mergeCells>
  <printOptions/>
  <pageMargins left="0.7" right="0.7" top="0.75" bottom="0.75" header="0.3" footer="0.3"/>
  <pageSetup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1">
      <selection activeCell="C48" sqref="C48"/>
    </sheetView>
  </sheetViews>
  <sheetFormatPr defaultColWidth="8.75390625" defaultRowHeight="12.75"/>
  <cols>
    <col min="1" max="1" width="7.875" style="28" bestFit="1" customWidth="1"/>
    <col min="2" max="2" width="22.25390625" style="16" customWidth="1"/>
    <col min="3" max="3" width="22.125" style="16" customWidth="1"/>
    <col min="4" max="4" width="10.625" style="16" bestFit="1" customWidth="1"/>
    <col min="5" max="5" width="8.375" style="16" bestFit="1" customWidth="1"/>
    <col min="6" max="6" width="20.75390625" style="16" customWidth="1"/>
    <col min="7" max="7" width="30.25390625" style="16" customWidth="1"/>
    <col min="8" max="8" width="6.625" style="28" customWidth="1"/>
    <col min="9" max="10" width="5.625" style="28" bestFit="1" customWidth="1"/>
    <col min="11" max="11" width="5.125" style="28" bestFit="1" customWidth="1"/>
    <col min="12" max="12" width="11.625" style="28" customWidth="1"/>
    <col min="13" max="13" width="8.625" style="28" bestFit="1" customWidth="1"/>
    <col min="14" max="14" width="17.625" style="16" bestFit="1" customWidth="1"/>
  </cols>
  <sheetData>
    <row r="1" spans="2:14" s="1" customFormat="1" ht="15" customHeight="1">
      <c r="B1" s="86" t="s">
        <v>1403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102"/>
    </row>
    <row r="2" spans="2:14" s="1" customFormat="1" ht="77.25" customHeight="1" thickBot="1">
      <c r="B2" s="88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103"/>
    </row>
    <row r="3" spans="1:14" s="4" customFormat="1" ht="12.75" customHeight="1">
      <c r="A3" s="98" t="s">
        <v>932</v>
      </c>
      <c r="B3" s="90" t="s">
        <v>0</v>
      </c>
      <c r="C3" s="92" t="s">
        <v>1</v>
      </c>
      <c r="D3" s="92" t="s">
        <v>1226</v>
      </c>
      <c r="E3" s="94" t="s">
        <v>11</v>
      </c>
      <c r="F3" s="94" t="s">
        <v>2</v>
      </c>
      <c r="G3" s="95" t="s">
        <v>1227</v>
      </c>
      <c r="H3" s="94" t="s">
        <v>4</v>
      </c>
      <c r="I3" s="94"/>
      <c r="J3" s="94"/>
      <c r="K3" s="94"/>
      <c r="L3" s="90" t="s">
        <v>934</v>
      </c>
      <c r="M3" s="94" t="s">
        <v>9</v>
      </c>
      <c r="N3" s="100" t="s">
        <v>10</v>
      </c>
    </row>
    <row r="4" spans="1:14" s="4" customFormat="1" ht="23.25" customHeight="1" thickBot="1">
      <c r="A4" s="99"/>
      <c r="B4" s="91"/>
      <c r="C4" s="93"/>
      <c r="D4" s="93"/>
      <c r="E4" s="93"/>
      <c r="F4" s="93"/>
      <c r="G4" s="96"/>
      <c r="H4" s="7">
        <v>1</v>
      </c>
      <c r="I4" s="7">
        <v>2</v>
      </c>
      <c r="J4" s="7">
        <v>3</v>
      </c>
      <c r="K4" s="7" t="s">
        <v>7</v>
      </c>
      <c r="L4" s="91"/>
      <c r="M4" s="93"/>
      <c r="N4" s="101"/>
    </row>
    <row r="5" spans="1:13" ht="15.75">
      <c r="A5"/>
      <c r="B5" s="104" t="s">
        <v>502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</row>
    <row r="6" spans="1:14" ht="12.75">
      <c r="A6" s="26" t="s">
        <v>933</v>
      </c>
      <c r="B6" s="17" t="s">
        <v>866</v>
      </c>
      <c r="C6" s="17" t="s">
        <v>867</v>
      </c>
      <c r="D6" s="17" t="s">
        <v>513</v>
      </c>
      <c r="E6" s="17" t="str">
        <f>"1,0575"</f>
        <v>1,0575</v>
      </c>
      <c r="F6" s="52" t="s">
        <v>178</v>
      </c>
      <c r="G6" s="17" t="s">
        <v>868</v>
      </c>
      <c r="H6" s="30" t="s">
        <v>134</v>
      </c>
      <c r="I6" s="29" t="s">
        <v>134</v>
      </c>
      <c r="J6" s="29" t="s">
        <v>135</v>
      </c>
      <c r="K6" s="27"/>
      <c r="L6" s="49">
        <v>75</v>
      </c>
      <c r="M6" s="26" t="str">
        <f>"79,3125"</f>
        <v>79,3125</v>
      </c>
      <c r="N6" s="17" t="s">
        <v>325</v>
      </c>
    </row>
    <row r="8" spans="1:13" ht="15.75">
      <c r="A8"/>
      <c r="B8" s="97" t="s">
        <v>174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</row>
    <row r="9" spans="1:14" ht="12.75">
      <c r="A9" s="26" t="s">
        <v>933</v>
      </c>
      <c r="B9" s="17" t="s">
        <v>325</v>
      </c>
      <c r="C9" s="17" t="s">
        <v>929</v>
      </c>
      <c r="D9" s="17" t="s">
        <v>177</v>
      </c>
      <c r="E9" s="17" t="str">
        <f>"0,6844"</f>
        <v>0,6844</v>
      </c>
      <c r="F9" s="52" t="s">
        <v>178</v>
      </c>
      <c r="G9" s="17" t="s">
        <v>1244</v>
      </c>
      <c r="H9" s="29" t="s">
        <v>19</v>
      </c>
      <c r="I9" s="29" t="s">
        <v>67</v>
      </c>
      <c r="J9" s="29" t="s">
        <v>42</v>
      </c>
      <c r="K9" s="27"/>
      <c r="L9" s="49">
        <v>175</v>
      </c>
      <c r="M9" s="26" t="str">
        <f>"119,7787"</f>
        <v>119,7787</v>
      </c>
      <c r="N9" s="17" t="s">
        <v>55</v>
      </c>
    </row>
    <row r="11" spans="1:13" ht="15.75">
      <c r="A11"/>
      <c r="B11" s="97" t="s">
        <v>61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</row>
    <row r="12" spans="1:14" ht="12.75">
      <c r="A12" s="26" t="s">
        <v>933</v>
      </c>
      <c r="B12" s="17" t="s">
        <v>62</v>
      </c>
      <c r="C12" s="17" t="s">
        <v>63</v>
      </c>
      <c r="D12" s="17" t="s">
        <v>64</v>
      </c>
      <c r="E12" s="17" t="str">
        <f>"0,6133"</f>
        <v>0,6133</v>
      </c>
      <c r="F12" s="17" t="s">
        <v>15</v>
      </c>
      <c r="G12" s="17" t="s">
        <v>1245</v>
      </c>
      <c r="H12" s="29" t="s">
        <v>38</v>
      </c>
      <c r="I12" s="29" t="s">
        <v>66</v>
      </c>
      <c r="J12" s="27"/>
      <c r="K12" s="27"/>
      <c r="L12" s="49">
        <v>225</v>
      </c>
      <c r="M12" s="26" t="str">
        <f>"138,0037"</f>
        <v>138,0037</v>
      </c>
      <c r="N12" s="17" t="s">
        <v>69</v>
      </c>
    </row>
  </sheetData>
  <sheetProtection/>
  <mergeCells count="15">
    <mergeCell ref="A3:A4"/>
    <mergeCell ref="L3:L4"/>
    <mergeCell ref="M3:M4"/>
    <mergeCell ref="N3:N4"/>
    <mergeCell ref="B5:M5"/>
    <mergeCell ref="B8:M8"/>
    <mergeCell ref="B11:M11"/>
    <mergeCell ref="B1:N2"/>
    <mergeCell ref="B3:B4"/>
    <mergeCell ref="C3:C4"/>
    <mergeCell ref="D3:D4"/>
    <mergeCell ref="E3:E4"/>
    <mergeCell ref="F3:F4"/>
    <mergeCell ref="G3:G4"/>
    <mergeCell ref="H3:K3"/>
  </mergeCells>
  <printOptions/>
  <pageMargins left="0.7" right="0.7" top="0.75" bottom="0.75" header="0.3" footer="0.3"/>
  <pageSetup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Q16"/>
  <sheetViews>
    <sheetView workbookViewId="0" topLeftCell="A1">
      <selection activeCell="M26" sqref="M26"/>
    </sheetView>
  </sheetViews>
  <sheetFormatPr defaultColWidth="8.75390625" defaultRowHeight="12.75"/>
  <cols>
    <col min="1" max="1" width="7.25390625" style="28" customWidth="1"/>
    <col min="2" max="2" width="23.00390625" style="16" customWidth="1"/>
    <col min="3" max="3" width="22.375" style="16" customWidth="1"/>
    <col min="4" max="4" width="10.625" style="16" bestFit="1" customWidth="1"/>
    <col min="5" max="5" width="8.375" style="16" bestFit="1" customWidth="1"/>
    <col min="6" max="6" width="14.875" style="16" customWidth="1"/>
    <col min="7" max="7" width="30.875" style="16" customWidth="1"/>
    <col min="8" max="11" width="5.625" style="28" bestFit="1" customWidth="1"/>
    <col min="12" max="12" width="12.125" style="28" customWidth="1"/>
    <col min="13" max="13" width="8.625" style="28" bestFit="1" customWidth="1"/>
    <col min="14" max="14" width="19.75390625" style="16" customWidth="1"/>
  </cols>
  <sheetData>
    <row r="1" spans="2:14" s="1" customFormat="1" ht="15" customHeight="1">
      <c r="B1" s="86" t="s">
        <v>1401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102"/>
    </row>
    <row r="2" spans="2:14" s="1" customFormat="1" ht="73.5" customHeight="1" thickBot="1">
      <c r="B2" s="88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103"/>
    </row>
    <row r="3" spans="1:14" s="4" customFormat="1" ht="12.75" customHeight="1">
      <c r="A3" s="98" t="s">
        <v>932</v>
      </c>
      <c r="B3" s="108" t="s">
        <v>0</v>
      </c>
      <c r="C3" s="92" t="s">
        <v>1</v>
      </c>
      <c r="D3" s="92" t="s">
        <v>1226</v>
      </c>
      <c r="E3" s="94" t="s">
        <v>11</v>
      </c>
      <c r="F3" s="94" t="s">
        <v>2</v>
      </c>
      <c r="G3" s="95" t="s">
        <v>1227</v>
      </c>
      <c r="H3" s="94" t="s">
        <v>4</v>
      </c>
      <c r="I3" s="94"/>
      <c r="J3" s="94"/>
      <c r="K3" s="94"/>
      <c r="L3" s="90" t="s">
        <v>934</v>
      </c>
      <c r="M3" s="94" t="s">
        <v>9</v>
      </c>
      <c r="N3" s="100" t="s">
        <v>10</v>
      </c>
    </row>
    <row r="4" spans="1:14" s="4" customFormat="1" ht="23.25" customHeight="1" thickBot="1">
      <c r="A4" s="99"/>
      <c r="B4" s="109"/>
      <c r="C4" s="93"/>
      <c r="D4" s="93"/>
      <c r="E4" s="93"/>
      <c r="F4" s="93"/>
      <c r="G4" s="96"/>
      <c r="H4" s="7">
        <v>1</v>
      </c>
      <c r="I4" s="7">
        <v>2</v>
      </c>
      <c r="J4" s="7">
        <v>3</v>
      </c>
      <c r="K4" s="7" t="s">
        <v>7</v>
      </c>
      <c r="L4" s="91"/>
      <c r="M4" s="93"/>
      <c r="N4" s="101"/>
    </row>
    <row r="5" spans="1:13" ht="15.75">
      <c r="A5"/>
      <c r="B5" s="104" t="s">
        <v>61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</row>
    <row r="6" spans="1:43" s="15" customFormat="1" ht="12.75">
      <c r="A6" s="26" t="s">
        <v>933</v>
      </c>
      <c r="B6" s="17" t="s">
        <v>1260</v>
      </c>
      <c r="C6" s="17" t="s">
        <v>63</v>
      </c>
      <c r="D6" s="17" t="s">
        <v>64</v>
      </c>
      <c r="E6" s="17" t="str">
        <f>"0,6133"</f>
        <v>0,6133</v>
      </c>
      <c r="F6" s="17" t="s">
        <v>15</v>
      </c>
      <c r="G6" s="17" t="s">
        <v>1245</v>
      </c>
      <c r="H6" s="29" t="s">
        <v>38</v>
      </c>
      <c r="I6" s="29" t="s">
        <v>66</v>
      </c>
      <c r="J6" s="27"/>
      <c r="K6" s="27"/>
      <c r="L6" s="49">
        <v>225</v>
      </c>
      <c r="M6" s="26" t="str">
        <f>"138,0037"</f>
        <v>138,0037</v>
      </c>
      <c r="N6" s="17" t="s">
        <v>69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</row>
    <row r="7" spans="1:14" ht="12.75">
      <c r="A7" s="26" t="s">
        <v>935</v>
      </c>
      <c r="B7" s="34" t="s">
        <v>1277</v>
      </c>
      <c r="C7" s="10" t="s">
        <v>80</v>
      </c>
      <c r="D7" s="10" t="s">
        <v>81</v>
      </c>
      <c r="E7" s="10" t="str">
        <f>"0,6201"</f>
        <v>0,6201</v>
      </c>
      <c r="F7" s="10" t="s">
        <v>15</v>
      </c>
      <c r="G7" s="10" t="s">
        <v>1273</v>
      </c>
      <c r="H7" s="29" t="s">
        <v>82</v>
      </c>
      <c r="I7" s="43" t="s">
        <v>66</v>
      </c>
      <c r="J7" s="43" t="s">
        <v>66</v>
      </c>
      <c r="K7" s="26"/>
      <c r="L7" s="49">
        <v>210</v>
      </c>
      <c r="M7" s="26" t="s">
        <v>1439</v>
      </c>
      <c r="N7" s="17" t="s">
        <v>1283</v>
      </c>
    </row>
    <row r="9" spans="1:13" ht="15.75">
      <c r="A9"/>
      <c r="B9" s="133" t="s">
        <v>87</v>
      </c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</row>
    <row r="10" spans="1:14" ht="12.75">
      <c r="A10" s="26" t="s">
        <v>933</v>
      </c>
      <c r="B10" s="17" t="s">
        <v>1402</v>
      </c>
      <c r="C10" s="17" t="s">
        <v>924</v>
      </c>
      <c r="D10" s="17" t="s">
        <v>925</v>
      </c>
      <c r="E10" s="17" t="str">
        <f>"0,6000"</f>
        <v>0,6000</v>
      </c>
      <c r="F10" s="17" t="s">
        <v>15</v>
      </c>
      <c r="G10" s="17" t="s">
        <v>1244</v>
      </c>
      <c r="H10" s="29" t="s">
        <v>222</v>
      </c>
      <c r="I10" s="30" t="s">
        <v>75</v>
      </c>
      <c r="J10" s="29" t="s">
        <v>75</v>
      </c>
      <c r="K10" s="29" t="s">
        <v>66</v>
      </c>
      <c r="L10" s="49">
        <v>215</v>
      </c>
      <c r="M10" s="26" t="str">
        <f>"128,9893"</f>
        <v>128,9893</v>
      </c>
      <c r="N10" s="17" t="s">
        <v>926</v>
      </c>
    </row>
    <row r="12" spans="1:13" ht="15.75">
      <c r="A12"/>
      <c r="B12" s="133" t="s">
        <v>93</v>
      </c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</row>
    <row r="13" spans="1:14" ht="12.75">
      <c r="A13" s="26" t="s">
        <v>933</v>
      </c>
      <c r="B13" s="17" t="s">
        <v>297</v>
      </c>
      <c r="C13" s="17" t="s">
        <v>927</v>
      </c>
      <c r="D13" s="17" t="s">
        <v>928</v>
      </c>
      <c r="E13" s="17" t="str">
        <f>"0,5734"</f>
        <v>0,5734</v>
      </c>
      <c r="F13" s="52" t="s">
        <v>51</v>
      </c>
      <c r="G13" s="17" t="s">
        <v>73</v>
      </c>
      <c r="H13" s="29" t="s">
        <v>92</v>
      </c>
      <c r="I13" s="27"/>
      <c r="J13" s="27"/>
      <c r="K13" s="27"/>
      <c r="L13" s="49">
        <v>245</v>
      </c>
      <c r="M13" s="26" t="str">
        <f>"140,4708"</f>
        <v>140,4708</v>
      </c>
      <c r="N13" s="17" t="s">
        <v>55</v>
      </c>
    </row>
    <row r="15" spans="1:13" ht="15.75">
      <c r="A15"/>
      <c r="B15" s="133" t="s">
        <v>98</v>
      </c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</row>
    <row r="16" spans="1:14" ht="12.75">
      <c r="A16" s="26" t="s">
        <v>933</v>
      </c>
      <c r="B16" s="17" t="s">
        <v>1280</v>
      </c>
      <c r="C16" s="17" t="s">
        <v>100</v>
      </c>
      <c r="D16" s="17" t="s">
        <v>101</v>
      </c>
      <c r="E16" s="17" t="str">
        <f>"0,5476"</f>
        <v>0,5476</v>
      </c>
      <c r="F16" s="52" t="s">
        <v>1231</v>
      </c>
      <c r="G16" s="17" t="s">
        <v>102</v>
      </c>
      <c r="H16" s="30" t="s">
        <v>103</v>
      </c>
      <c r="I16" s="29" t="s">
        <v>103</v>
      </c>
      <c r="J16" s="30" t="s">
        <v>104</v>
      </c>
      <c r="K16" s="27"/>
      <c r="L16" s="49">
        <v>270</v>
      </c>
      <c r="M16" s="26" t="str">
        <f>"147,8655"</f>
        <v>147,8655</v>
      </c>
      <c r="N16" s="17" t="s">
        <v>107</v>
      </c>
    </row>
  </sheetData>
  <sheetProtection/>
  <mergeCells count="16">
    <mergeCell ref="B15:M15"/>
    <mergeCell ref="A3:A4"/>
    <mergeCell ref="L3:L4"/>
    <mergeCell ref="M3:M4"/>
    <mergeCell ref="N3:N4"/>
    <mergeCell ref="B5:M5"/>
    <mergeCell ref="B9:M9"/>
    <mergeCell ref="B12:M12"/>
    <mergeCell ref="B1:N2"/>
    <mergeCell ref="B3:B4"/>
    <mergeCell ref="C3:C4"/>
    <mergeCell ref="D3:D4"/>
    <mergeCell ref="E3:E4"/>
    <mergeCell ref="F3:F4"/>
    <mergeCell ref="G3:G4"/>
    <mergeCell ref="H3:K3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R23"/>
  <sheetViews>
    <sheetView workbookViewId="0" topLeftCell="A4">
      <selection activeCell="G30" sqref="G30"/>
    </sheetView>
  </sheetViews>
  <sheetFormatPr defaultColWidth="8.75390625" defaultRowHeight="12.75"/>
  <cols>
    <col min="1" max="1" width="7.125" style="28" customWidth="1"/>
    <col min="2" max="2" width="23.875" style="16" customWidth="1"/>
    <col min="3" max="3" width="23.625" style="16" customWidth="1"/>
    <col min="4" max="4" width="10.625" style="16" bestFit="1" customWidth="1"/>
    <col min="5" max="5" width="8.375" style="16" bestFit="1" customWidth="1"/>
    <col min="6" max="6" width="13.25390625" style="16" customWidth="1"/>
    <col min="7" max="7" width="31.375" style="16" customWidth="1"/>
    <col min="8" max="10" width="5.625" style="28" bestFit="1" customWidth="1"/>
    <col min="11" max="11" width="5.125" style="28" bestFit="1" customWidth="1"/>
    <col min="12" max="14" width="5.625" style="28" bestFit="1" customWidth="1"/>
    <col min="15" max="15" width="5.125" style="28" bestFit="1" customWidth="1"/>
    <col min="16" max="16" width="9.25390625" style="28" bestFit="1" customWidth="1"/>
    <col min="17" max="17" width="8.625" style="16" bestFit="1" customWidth="1"/>
    <col min="18" max="18" width="26.00390625" style="16" customWidth="1"/>
  </cols>
  <sheetData>
    <row r="1" spans="2:18" s="1" customFormat="1" ht="15" customHeight="1">
      <c r="B1" s="86" t="s">
        <v>1398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102"/>
    </row>
    <row r="2" spans="2:18" s="1" customFormat="1" ht="104.25" customHeight="1" thickBot="1">
      <c r="B2" s="88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103"/>
    </row>
    <row r="3" spans="1:18" s="4" customFormat="1" ht="12.75" customHeight="1">
      <c r="A3" s="98" t="s">
        <v>932</v>
      </c>
      <c r="B3" s="90" t="s">
        <v>0</v>
      </c>
      <c r="C3" s="92" t="s">
        <v>1</v>
      </c>
      <c r="D3" s="92" t="s">
        <v>1226</v>
      </c>
      <c r="E3" s="94" t="s">
        <v>11</v>
      </c>
      <c r="F3" s="94" t="s">
        <v>2</v>
      </c>
      <c r="G3" s="95" t="s">
        <v>1227</v>
      </c>
      <c r="H3" s="94" t="s">
        <v>5</v>
      </c>
      <c r="I3" s="94"/>
      <c r="J3" s="94"/>
      <c r="K3" s="94"/>
      <c r="L3" s="90" t="s">
        <v>6</v>
      </c>
      <c r="M3" s="94"/>
      <c r="N3" s="94"/>
      <c r="O3" s="95"/>
      <c r="P3" s="94" t="s">
        <v>8</v>
      </c>
      <c r="Q3" s="94" t="s">
        <v>9</v>
      </c>
      <c r="R3" s="100" t="s">
        <v>10</v>
      </c>
    </row>
    <row r="4" spans="1:18" s="4" customFormat="1" ht="23.25" customHeight="1" thickBot="1">
      <c r="A4" s="99"/>
      <c r="B4" s="91"/>
      <c r="C4" s="93"/>
      <c r="D4" s="93"/>
      <c r="E4" s="93"/>
      <c r="F4" s="93"/>
      <c r="G4" s="96"/>
      <c r="H4" s="7">
        <v>1</v>
      </c>
      <c r="I4" s="7">
        <v>2</v>
      </c>
      <c r="J4" s="7">
        <v>3</v>
      </c>
      <c r="K4" s="7" t="s">
        <v>7</v>
      </c>
      <c r="L4" s="44">
        <v>1</v>
      </c>
      <c r="M4" s="7">
        <v>2</v>
      </c>
      <c r="N4" s="7">
        <v>3</v>
      </c>
      <c r="O4" s="45" t="s">
        <v>7</v>
      </c>
      <c r="P4" s="93"/>
      <c r="Q4" s="93"/>
      <c r="R4" s="101"/>
    </row>
    <row r="5" spans="1:17" ht="15.75">
      <c r="A5"/>
      <c r="B5" s="104" t="s">
        <v>502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</row>
    <row r="6" spans="1:18" ht="12.75">
      <c r="A6" s="26" t="s">
        <v>933</v>
      </c>
      <c r="B6" s="17" t="s">
        <v>911</v>
      </c>
      <c r="C6" s="17" t="s">
        <v>912</v>
      </c>
      <c r="D6" s="17" t="s">
        <v>509</v>
      </c>
      <c r="E6" s="17" t="str">
        <f>"1,0561"</f>
        <v>1,0561</v>
      </c>
      <c r="F6" s="17" t="s">
        <v>15</v>
      </c>
      <c r="G6" s="17" t="s">
        <v>913</v>
      </c>
      <c r="H6" s="29" t="s">
        <v>330</v>
      </c>
      <c r="I6" s="30" t="s">
        <v>510</v>
      </c>
      <c r="J6" s="29" t="s">
        <v>510</v>
      </c>
      <c r="K6" s="27"/>
      <c r="L6" s="29" t="s">
        <v>22</v>
      </c>
      <c r="M6" s="29" t="s">
        <v>53</v>
      </c>
      <c r="N6" s="29" t="s">
        <v>145</v>
      </c>
      <c r="O6" s="27"/>
      <c r="P6" s="49">
        <v>162.5</v>
      </c>
      <c r="Q6" s="17" t="str">
        <f>"171,6163"</f>
        <v>171,6163</v>
      </c>
      <c r="R6" s="17" t="s">
        <v>914</v>
      </c>
    </row>
    <row r="8" spans="1:17" ht="15.75">
      <c r="A8"/>
      <c r="B8" s="97" t="s">
        <v>12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</row>
    <row r="9" spans="1:18" ht="12.75">
      <c r="A9" s="26" t="s">
        <v>933</v>
      </c>
      <c r="B9" s="17" t="s">
        <v>872</v>
      </c>
      <c r="C9" s="17" t="s">
        <v>873</v>
      </c>
      <c r="D9" s="17" t="s">
        <v>874</v>
      </c>
      <c r="E9" s="17" t="str">
        <f>"0,6629"</f>
        <v>0,6629</v>
      </c>
      <c r="F9" s="17" t="s">
        <v>15</v>
      </c>
      <c r="G9" s="17" t="s">
        <v>876</v>
      </c>
      <c r="H9" s="29" t="s">
        <v>22</v>
      </c>
      <c r="I9" s="30" t="s">
        <v>53</v>
      </c>
      <c r="J9" s="29" t="s">
        <v>145</v>
      </c>
      <c r="K9" s="27"/>
      <c r="L9" s="29" t="s">
        <v>222</v>
      </c>
      <c r="M9" s="29" t="s">
        <v>38</v>
      </c>
      <c r="N9" s="30" t="s">
        <v>96</v>
      </c>
      <c r="O9" s="27"/>
      <c r="P9" s="49">
        <v>335</v>
      </c>
      <c r="Q9" s="17" t="str">
        <f>"222,0715"</f>
        <v>222,0715</v>
      </c>
      <c r="R9" s="17" t="s">
        <v>949</v>
      </c>
    </row>
    <row r="10" spans="1:18" ht="12.75">
      <c r="A10" s="26" t="s">
        <v>933</v>
      </c>
      <c r="B10" s="17" t="s">
        <v>915</v>
      </c>
      <c r="C10" s="17" t="s">
        <v>916</v>
      </c>
      <c r="D10" s="17" t="s">
        <v>296</v>
      </c>
      <c r="E10" s="17" t="str">
        <f>"0,6529"</f>
        <v>0,6529</v>
      </c>
      <c r="F10" s="17" t="s">
        <v>15</v>
      </c>
      <c r="G10" s="17" t="s">
        <v>1244</v>
      </c>
      <c r="H10" s="29" t="s">
        <v>45</v>
      </c>
      <c r="I10" s="29" t="s">
        <v>46</v>
      </c>
      <c r="J10" s="29" t="s">
        <v>196</v>
      </c>
      <c r="K10" s="27"/>
      <c r="L10" s="29" t="s">
        <v>19</v>
      </c>
      <c r="M10" s="29" t="s">
        <v>24</v>
      </c>
      <c r="N10" s="30" t="s">
        <v>32</v>
      </c>
      <c r="O10" s="27"/>
      <c r="P10" s="49">
        <v>305</v>
      </c>
      <c r="Q10" s="17" t="str">
        <f>"199,1345"</f>
        <v>199,1345</v>
      </c>
      <c r="R10" s="17" t="s">
        <v>1399</v>
      </c>
    </row>
    <row r="12" spans="1:17" ht="15.75">
      <c r="A12"/>
      <c r="B12" s="97" t="s">
        <v>61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</row>
    <row r="13" spans="1:18" ht="12.75">
      <c r="A13" s="26" t="s">
        <v>933</v>
      </c>
      <c r="B13" s="17" t="s">
        <v>62</v>
      </c>
      <c r="C13" s="17" t="s">
        <v>63</v>
      </c>
      <c r="D13" s="17" t="s">
        <v>64</v>
      </c>
      <c r="E13" s="17" t="str">
        <f>"0,6133"</f>
        <v>0,6133</v>
      </c>
      <c r="F13" s="17" t="s">
        <v>15</v>
      </c>
      <c r="G13" s="17" t="s">
        <v>1245</v>
      </c>
      <c r="H13" s="30" t="s">
        <v>67</v>
      </c>
      <c r="I13" s="29" t="s">
        <v>67</v>
      </c>
      <c r="J13" s="30" t="s">
        <v>42</v>
      </c>
      <c r="K13" s="27"/>
      <c r="L13" s="29" t="s">
        <v>197</v>
      </c>
      <c r="M13" s="29" t="s">
        <v>68</v>
      </c>
      <c r="N13" s="27"/>
      <c r="O13" s="27"/>
      <c r="P13" s="49">
        <v>445</v>
      </c>
      <c r="Q13" s="17" t="str">
        <f>"272,9407"</f>
        <v>272,9407</v>
      </c>
      <c r="R13" s="17" t="s">
        <v>69</v>
      </c>
    </row>
    <row r="15" spans="1:17" ht="15.75">
      <c r="A15"/>
      <c r="B15" s="97" t="s">
        <v>87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</row>
    <row r="16" spans="1:18" ht="12.75">
      <c r="A16" s="26"/>
      <c r="B16" s="17" t="s">
        <v>300</v>
      </c>
      <c r="C16" s="17" t="s">
        <v>301</v>
      </c>
      <c r="D16" s="17" t="s">
        <v>302</v>
      </c>
      <c r="E16" s="17" t="str">
        <f>"0,5891"</f>
        <v>0,5891</v>
      </c>
      <c r="F16" s="17" t="s">
        <v>15</v>
      </c>
      <c r="G16" s="17" t="s">
        <v>1244</v>
      </c>
      <c r="H16" s="29" t="s">
        <v>149</v>
      </c>
      <c r="I16" s="30" t="s">
        <v>34</v>
      </c>
      <c r="J16" s="30" t="s">
        <v>34</v>
      </c>
      <c r="K16" s="27"/>
      <c r="L16" s="30" t="s">
        <v>82</v>
      </c>
      <c r="M16" s="27"/>
      <c r="N16" s="27"/>
      <c r="O16" s="27"/>
      <c r="P16" s="49">
        <v>0</v>
      </c>
      <c r="Q16" s="17" t="str">
        <f>"0,0000"</f>
        <v>0,0000</v>
      </c>
      <c r="R16" s="17" t="s">
        <v>55</v>
      </c>
    </row>
    <row r="17" spans="1:18" ht="12.75">
      <c r="A17" s="26" t="s">
        <v>933</v>
      </c>
      <c r="B17" s="17" t="s">
        <v>937</v>
      </c>
      <c r="C17" s="17" t="s">
        <v>884</v>
      </c>
      <c r="D17" s="17" t="s">
        <v>885</v>
      </c>
      <c r="E17" s="17" t="str">
        <f>"0,5946"</f>
        <v>0,5946</v>
      </c>
      <c r="F17" s="17" t="s">
        <v>15</v>
      </c>
      <c r="G17" s="17" t="s">
        <v>1244</v>
      </c>
      <c r="H17" s="29" t="s">
        <v>34</v>
      </c>
      <c r="I17" s="29" t="s">
        <v>36</v>
      </c>
      <c r="J17" s="30" t="s">
        <v>17</v>
      </c>
      <c r="K17" s="27"/>
      <c r="L17" s="29" t="s">
        <v>77</v>
      </c>
      <c r="M17" s="29" t="s">
        <v>91</v>
      </c>
      <c r="N17" s="29" t="s">
        <v>96</v>
      </c>
      <c r="O17" s="27"/>
      <c r="P17" s="49">
        <v>400</v>
      </c>
      <c r="Q17" s="17" t="str">
        <f>"237,8400"</f>
        <v>237,8400</v>
      </c>
      <c r="R17" s="17" t="s">
        <v>55</v>
      </c>
    </row>
    <row r="19" spans="1:17" ht="15.75">
      <c r="A19"/>
      <c r="B19" s="97" t="s">
        <v>93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8" ht="12.75">
      <c r="A20" s="26" t="s">
        <v>933</v>
      </c>
      <c r="B20" s="17" t="s">
        <v>1312</v>
      </c>
      <c r="C20" s="17" t="s">
        <v>318</v>
      </c>
      <c r="D20" s="17" t="s">
        <v>319</v>
      </c>
      <c r="E20" s="17" t="str">
        <f>"0,5659"</f>
        <v>0,5659</v>
      </c>
      <c r="F20" s="17" t="s">
        <v>15</v>
      </c>
      <c r="G20" s="17" t="s">
        <v>320</v>
      </c>
      <c r="H20" s="29" t="s">
        <v>77</v>
      </c>
      <c r="I20" s="27"/>
      <c r="J20" s="27"/>
      <c r="K20" s="27"/>
      <c r="L20" s="29" t="s">
        <v>66</v>
      </c>
      <c r="M20" s="27"/>
      <c r="N20" s="27"/>
      <c r="O20" s="27"/>
      <c r="P20" s="49">
        <v>455</v>
      </c>
      <c r="Q20" s="17" t="str">
        <f>"257,5072"</f>
        <v>257,5072</v>
      </c>
      <c r="R20" s="17" t="s">
        <v>55</v>
      </c>
    </row>
    <row r="21" spans="1:18" ht="12.75">
      <c r="A21" s="26" t="s">
        <v>935</v>
      </c>
      <c r="B21" s="17" t="s">
        <v>917</v>
      </c>
      <c r="C21" s="17" t="s">
        <v>918</v>
      </c>
      <c r="D21" s="17" t="s">
        <v>919</v>
      </c>
      <c r="E21" s="17" t="str">
        <f>"0,5756"</f>
        <v>0,5756</v>
      </c>
      <c r="F21" s="17" t="s">
        <v>15</v>
      </c>
      <c r="G21" s="17" t="s">
        <v>920</v>
      </c>
      <c r="H21" s="29" t="s">
        <v>18</v>
      </c>
      <c r="I21" s="29" t="s">
        <v>19</v>
      </c>
      <c r="J21" s="30" t="s">
        <v>67</v>
      </c>
      <c r="K21" s="27"/>
      <c r="L21" s="29" t="s">
        <v>91</v>
      </c>
      <c r="M21" s="29" t="s">
        <v>96</v>
      </c>
      <c r="N21" s="30" t="s">
        <v>83</v>
      </c>
      <c r="O21" s="27"/>
      <c r="P21" s="49">
        <v>415</v>
      </c>
      <c r="Q21" s="17" t="str">
        <f>"238,8947"</f>
        <v>238,8947</v>
      </c>
      <c r="R21" s="17" t="s">
        <v>921</v>
      </c>
    </row>
    <row r="22" spans="1:18" ht="12.75">
      <c r="A22" s="26" t="s">
        <v>936</v>
      </c>
      <c r="B22" s="17" t="s">
        <v>922</v>
      </c>
      <c r="C22" s="17" t="s">
        <v>923</v>
      </c>
      <c r="D22" s="17" t="s">
        <v>674</v>
      </c>
      <c r="E22" s="17" t="str">
        <f>"0,5631"</f>
        <v>0,5631</v>
      </c>
      <c r="F22" s="17" t="s">
        <v>15</v>
      </c>
      <c r="G22" s="17" t="s">
        <v>1244</v>
      </c>
      <c r="H22" s="29" t="s">
        <v>34</v>
      </c>
      <c r="I22" s="30" t="s">
        <v>202</v>
      </c>
      <c r="J22" s="27"/>
      <c r="K22" s="27"/>
      <c r="L22" s="29" t="s">
        <v>75</v>
      </c>
      <c r="M22" s="30" t="s">
        <v>66</v>
      </c>
      <c r="N22" s="27"/>
      <c r="O22" s="27"/>
      <c r="P22" s="49">
        <v>355</v>
      </c>
      <c r="Q22" s="17" t="str">
        <f>"199,9005"</f>
        <v>199,9005</v>
      </c>
      <c r="R22" s="17" t="s">
        <v>55</v>
      </c>
    </row>
    <row r="23" spans="1:18" ht="12.75">
      <c r="A23" s="26"/>
      <c r="B23" s="17" t="s">
        <v>890</v>
      </c>
      <c r="C23" s="17" t="s">
        <v>891</v>
      </c>
      <c r="D23" s="17" t="s">
        <v>421</v>
      </c>
      <c r="E23" s="17" t="str">
        <f>"0,5644"</f>
        <v>0,5644</v>
      </c>
      <c r="F23" s="52" t="s">
        <v>491</v>
      </c>
      <c r="G23" s="17" t="s">
        <v>1244</v>
      </c>
      <c r="H23" s="30" t="s">
        <v>67</v>
      </c>
      <c r="I23" s="30" t="s">
        <v>67</v>
      </c>
      <c r="J23" s="30" t="s">
        <v>67</v>
      </c>
      <c r="K23" s="27"/>
      <c r="L23" s="30"/>
      <c r="M23" s="27"/>
      <c r="N23" s="27"/>
      <c r="O23" s="27"/>
      <c r="P23" s="49">
        <v>0</v>
      </c>
      <c r="Q23" s="17" t="str">
        <f>"0,0000"</f>
        <v>0,0000</v>
      </c>
      <c r="R23" s="17" t="s">
        <v>648</v>
      </c>
    </row>
  </sheetData>
  <sheetProtection/>
  <mergeCells count="18">
    <mergeCell ref="B15:Q15"/>
    <mergeCell ref="B19:Q19"/>
    <mergeCell ref="A3:A4"/>
    <mergeCell ref="P3:P4"/>
    <mergeCell ref="Q3:Q4"/>
    <mergeCell ref="R3:R4"/>
    <mergeCell ref="B5:Q5"/>
    <mergeCell ref="B8:Q8"/>
    <mergeCell ref="B12:Q12"/>
    <mergeCell ref="B1:R2"/>
    <mergeCell ref="B3:B4"/>
    <mergeCell ref="C3:C4"/>
    <mergeCell ref="D3:D4"/>
    <mergeCell ref="E3:E4"/>
    <mergeCell ref="F3:F4"/>
    <mergeCell ref="G3:G4"/>
    <mergeCell ref="H3:K3"/>
    <mergeCell ref="L3:O3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R37"/>
  <sheetViews>
    <sheetView workbookViewId="0" topLeftCell="A10">
      <selection activeCell="F14" sqref="F14"/>
    </sheetView>
  </sheetViews>
  <sheetFormatPr defaultColWidth="8.75390625" defaultRowHeight="12.75"/>
  <cols>
    <col min="1" max="1" width="7.875" style="28" bestFit="1" customWidth="1"/>
    <col min="2" max="2" width="23.00390625" style="16" customWidth="1"/>
    <col min="3" max="3" width="24.625" style="16" customWidth="1"/>
    <col min="4" max="4" width="10.625" style="16" bestFit="1" customWidth="1"/>
    <col min="5" max="5" width="8.375" style="16" bestFit="1" customWidth="1"/>
    <col min="6" max="6" width="14.875" style="16" customWidth="1"/>
    <col min="7" max="7" width="30.125" style="16" customWidth="1"/>
    <col min="8" max="10" width="5.625" style="28" bestFit="1" customWidth="1"/>
    <col min="11" max="11" width="5.125" style="28" bestFit="1" customWidth="1"/>
    <col min="12" max="14" width="5.625" style="28" bestFit="1" customWidth="1"/>
    <col min="15" max="15" width="5.125" style="28" bestFit="1" customWidth="1"/>
    <col min="16" max="16" width="9.25390625" style="28" bestFit="1" customWidth="1"/>
    <col min="17" max="17" width="8.625" style="28" bestFit="1" customWidth="1"/>
    <col min="18" max="18" width="23.625" style="16" customWidth="1"/>
  </cols>
  <sheetData>
    <row r="1" spans="2:18" s="1" customFormat="1" ht="15" customHeight="1">
      <c r="B1" s="86" t="s">
        <v>1389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102"/>
    </row>
    <row r="2" spans="2:18" s="1" customFormat="1" ht="74.25" customHeight="1" thickBot="1">
      <c r="B2" s="88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103"/>
    </row>
    <row r="3" spans="1:18" s="4" customFormat="1" ht="12.75" customHeight="1">
      <c r="A3" s="98" t="s">
        <v>932</v>
      </c>
      <c r="B3" s="90" t="s">
        <v>0</v>
      </c>
      <c r="C3" s="92" t="s">
        <v>1</v>
      </c>
      <c r="D3" s="92" t="s">
        <v>1226</v>
      </c>
      <c r="E3" s="94" t="s">
        <v>11</v>
      </c>
      <c r="F3" s="94" t="s">
        <v>2</v>
      </c>
      <c r="G3" s="95" t="s">
        <v>1227</v>
      </c>
      <c r="H3" s="94" t="s">
        <v>5</v>
      </c>
      <c r="I3" s="94"/>
      <c r="J3" s="94"/>
      <c r="K3" s="94"/>
      <c r="L3" s="90" t="s">
        <v>6</v>
      </c>
      <c r="M3" s="94"/>
      <c r="N3" s="94"/>
      <c r="O3" s="94"/>
      <c r="P3" s="90" t="s">
        <v>8</v>
      </c>
      <c r="Q3" s="94" t="s">
        <v>9</v>
      </c>
      <c r="R3" s="100" t="s">
        <v>10</v>
      </c>
    </row>
    <row r="4" spans="1:18" s="4" customFormat="1" ht="23.25" customHeight="1" thickBot="1">
      <c r="A4" s="99"/>
      <c r="B4" s="91"/>
      <c r="C4" s="93"/>
      <c r="D4" s="93"/>
      <c r="E4" s="93"/>
      <c r="F4" s="93"/>
      <c r="G4" s="96"/>
      <c r="H4" s="7">
        <v>1</v>
      </c>
      <c r="I4" s="7">
        <v>2</v>
      </c>
      <c r="J4" s="7">
        <v>3</v>
      </c>
      <c r="K4" s="7" t="s">
        <v>7</v>
      </c>
      <c r="L4" s="44">
        <v>1</v>
      </c>
      <c r="M4" s="7">
        <v>2</v>
      </c>
      <c r="N4" s="7">
        <v>3</v>
      </c>
      <c r="O4" s="7" t="s">
        <v>7</v>
      </c>
      <c r="P4" s="91"/>
      <c r="Q4" s="93"/>
      <c r="R4" s="101"/>
    </row>
    <row r="5" spans="1:17" ht="15.75">
      <c r="A5"/>
      <c r="B5" s="104" t="s">
        <v>331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</row>
    <row r="6" spans="1:18" ht="12.75">
      <c r="A6" s="26" t="s">
        <v>933</v>
      </c>
      <c r="B6" s="17" t="s">
        <v>802</v>
      </c>
      <c r="C6" s="17" t="s">
        <v>333</v>
      </c>
      <c r="D6" s="17" t="s">
        <v>334</v>
      </c>
      <c r="E6" s="17" t="str">
        <f>"0,9876"</f>
        <v>0,9876</v>
      </c>
      <c r="F6" s="52" t="s">
        <v>1231</v>
      </c>
      <c r="G6" s="17" t="s">
        <v>1239</v>
      </c>
      <c r="H6" s="30" t="s">
        <v>134</v>
      </c>
      <c r="I6" s="29" t="s">
        <v>134</v>
      </c>
      <c r="J6" s="30" t="s">
        <v>155</v>
      </c>
      <c r="K6" s="27"/>
      <c r="L6" s="29" t="s">
        <v>18</v>
      </c>
      <c r="M6" s="30" t="s">
        <v>19</v>
      </c>
      <c r="N6" s="29" t="s">
        <v>23</v>
      </c>
      <c r="O6" s="27"/>
      <c r="P6" s="49">
        <v>242.5</v>
      </c>
      <c r="Q6" s="26" t="str">
        <f>"239,4930"</f>
        <v>239,4930</v>
      </c>
      <c r="R6" s="17" t="s">
        <v>335</v>
      </c>
    </row>
    <row r="8" spans="1:17" ht="15.75">
      <c r="A8"/>
      <c r="B8" s="97" t="s">
        <v>12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</row>
    <row r="9" spans="1:18" ht="12.75">
      <c r="A9" s="26" t="s">
        <v>933</v>
      </c>
      <c r="B9" s="17" t="s">
        <v>1390</v>
      </c>
      <c r="C9" s="17" t="s">
        <v>821</v>
      </c>
      <c r="D9" s="17" t="s">
        <v>822</v>
      </c>
      <c r="E9" s="17" t="str">
        <f>"0,6780"</f>
        <v>0,6780</v>
      </c>
      <c r="F9" s="52" t="s">
        <v>1231</v>
      </c>
      <c r="G9" s="17" t="s">
        <v>1239</v>
      </c>
      <c r="H9" s="29" t="s">
        <v>203</v>
      </c>
      <c r="I9" s="29" t="s">
        <v>145</v>
      </c>
      <c r="J9" s="29" t="s">
        <v>172</v>
      </c>
      <c r="K9" s="27"/>
      <c r="L9" s="29" t="s">
        <v>31</v>
      </c>
      <c r="M9" s="29" t="s">
        <v>32</v>
      </c>
      <c r="N9" s="29" t="s">
        <v>37</v>
      </c>
      <c r="O9" s="27"/>
      <c r="P9" s="49">
        <v>320</v>
      </c>
      <c r="Q9" s="26" t="str">
        <f>"216,9600"</f>
        <v>216,9600</v>
      </c>
      <c r="R9" s="17" t="s">
        <v>332</v>
      </c>
    </row>
    <row r="11" spans="1:17" ht="15.75">
      <c r="A11"/>
      <c r="B11" s="97" t="s">
        <v>61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</row>
    <row r="12" spans="1:18" ht="12.75">
      <c r="A12" s="26" t="s">
        <v>933</v>
      </c>
      <c r="B12" s="17" t="s">
        <v>1260</v>
      </c>
      <c r="C12" s="17" t="s">
        <v>63</v>
      </c>
      <c r="D12" s="17" t="s">
        <v>64</v>
      </c>
      <c r="E12" s="17" t="str">
        <f>"0,6133"</f>
        <v>0,6133</v>
      </c>
      <c r="F12" s="17" t="s">
        <v>15</v>
      </c>
      <c r="G12" s="17" t="s">
        <v>1245</v>
      </c>
      <c r="H12" s="29" t="s">
        <v>67</v>
      </c>
      <c r="I12" s="27"/>
      <c r="J12" s="27"/>
      <c r="K12" s="27"/>
      <c r="L12" s="29" t="s">
        <v>68</v>
      </c>
      <c r="M12" s="27"/>
      <c r="N12" s="27"/>
      <c r="O12" s="27"/>
      <c r="P12" s="49">
        <v>445</v>
      </c>
      <c r="Q12" s="26" t="str">
        <f>"272,9407"</f>
        <v>272,9407</v>
      </c>
      <c r="R12" s="17" t="s">
        <v>69</v>
      </c>
    </row>
    <row r="13" spans="1:18" ht="12.75">
      <c r="A13" s="26" t="s">
        <v>935</v>
      </c>
      <c r="B13" s="17" t="s">
        <v>1277</v>
      </c>
      <c r="C13" s="17" t="s">
        <v>80</v>
      </c>
      <c r="D13" s="17" t="s">
        <v>81</v>
      </c>
      <c r="E13" s="17" t="str">
        <f>"0,6201"</f>
        <v>0,6201</v>
      </c>
      <c r="F13" s="17" t="s">
        <v>15</v>
      </c>
      <c r="G13" s="17" t="s">
        <v>1239</v>
      </c>
      <c r="H13" s="29" t="s">
        <v>35</v>
      </c>
      <c r="I13" s="29" t="s">
        <v>17</v>
      </c>
      <c r="J13" s="27"/>
      <c r="K13" s="27"/>
      <c r="L13" s="29" t="s">
        <v>77</v>
      </c>
      <c r="M13" s="27"/>
      <c r="N13" s="27"/>
      <c r="O13" s="27"/>
      <c r="P13" s="49">
        <v>385</v>
      </c>
      <c r="Q13" s="26" t="str">
        <f>"238,7385"</f>
        <v>238,7385</v>
      </c>
      <c r="R13" s="17" t="s">
        <v>377</v>
      </c>
    </row>
    <row r="14" spans="1:18" ht="12.75">
      <c r="A14" s="26" t="s">
        <v>936</v>
      </c>
      <c r="B14" s="17" t="s">
        <v>1391</v>
      </c>
      <c r="C14" s="17" t="s">
        <v>896</v>
      </c>
      <c r="D14" s="17" t="s">
        <v>825</v>
      </c>
      <c r="E14" s="17" t="str">
        <f>"0,6165"</f>
        <v>0,6165</v>
      </c>
      <c r="F14" s="52" t="s">
        <v>1231</v>
      </c>
      <c r="G14" s="17" t="s">
        <v>1239</v>
      </c>
      <c r="H14" s="30" t="s">
        <v>203</v>
      </c>
      <c r="I14" s="29" t="s">
        <v>203</v>
      </c>
      <c r="J14" s="29" t="s">
        <v>53</v>
      </c>
      <c r="K14" s="27"/>
      <c r="L14" s="29" t="s">
        <v>31</v>
      </c>
      <c r="M14" s="29" t="s">
        <v>32</v>
      </c>
      <c r="N14" s="29" t="s">
        <v>37</v>
      </c>
      <c r="O14" s="27"/>
      <c r="P14" s="49">
        <v>310</v>
      </c>
      <c r="Q14" s="26" t="str">
        <f>"191,0995"</f>
        <v>191,0995</v>
      </c>
      <c r="R14" s="17" t="s">
        <v>335</v>
      </c>
    </row>
    <row r="15" spans="1:18" ht="12.75">
      <c r="A15" s="26" t="s">
        <v>933</v>
      </c>
      <c r="B15" s="17" t="s">
        <v>1392</v>
      </c>
      <c r="C15" s="17" t="s">
        <v>824</v>
      </c>
      <c r="D15" s="17" t="s">
        <v>825</v>
      </c>
      <c r="E15" s="17" t="str">
        <f>"0,6165"</f>
        <v>0,6165</v>
      </c>
      <c r="F15" s="52" t="s">
        <v>1231</v>
      </c>
      <c r="G15" s="17" t="s">
        <v>1239</v>
      </c>
      <c r="H15" s="29" t="s">
        <v>145</v>
      </c>
      <c r="I15" s="30" t="s">
        <v>172</v>
      </c>
      <c r="J15" s="29" t="s">
        <v>172</v>
      </c>
      <c r="K15" s="27"/>
      <c r="L15" s="30" t="s">
        <v>67</v>
      </c>
      <c r="M15" s="29" t="s">
        <v>67</v>
      </c>
      <c r="N15" s="30" t="s">
        <v>32</v>
      </c>
      <c r="O15" s="27"/>
      <c r="P15" s="49">
        <v>290</v>
      </c>
      <c r="Q15" s="26" t="str">
        <f>"188,6029"</f>
        <v>188,6029</v>
      </c>
      <c r="R15" s="17" t="s">
        <v>335</v>
      </c>
    </row>
    <row r="17" spans="1:17" ht="15.75">
      <c r="A17"/>
      <c r="B17" s="97" t="s">
        <v>87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</row>
    <row r="18" spans="1:18" ht="12.75">
      <c r="A18" s="26" t="s">
        <v>933</v>
      </c>
      <c r="B18" s="17" t="s">
        <v>1393</v>
      </c>
      <c r="C18" s="17" t="s">
        <v>898</v>
      </c>
      <c r="D18" s="17" t="s">
        <v>388</v>
      </c>
      <c r="E18" s="17" t="str">
        <f>"0,5831"</f>
        <v>0,5831</v>
      </c>
      <c r="F18" s="52" t="s">
        <v>314</v>
      </c>
      <c r="G18" s="17" t="s">
        <v>899</v>
      </c>
      <c r="H18" s="29" t="s">
        <v>34</v>
      </c>
      <c r="I18" s="29" t="s">
        <v>36</v>
      </c>
      <c r="J18" s="27"/>
      <c r="K18" s="27"/>
      <c r="L18" s="29" t="s">
        <v>105</v>
      </c>
      <c r="M18" s="29" t="s">
        <v>106</v>
      </c>
      <c r="N18" s="29" t="s">
        <v>257</v>
      </c>
      <c r="O18" s="27"/>
      <c r="P18" s="49">
        <v>470</v>
      </c>
      <c r="Q18" s="26" t="str">
        <f>"274,0335"</f>
        <v>274,0335</v>
      </c>
      <c r="R18" s="17" t="s">
        <v>55</v>
      </c>
    </row>
    <row r="19" spans="1:18" ht="12.75">
      <c r="A19" s="26" t="s">
        <v>935</v>
      </c>
      <c r="B19" s="17" t="s">
        <v>1394</v>
      </c>
      <c r="C19" s="17" t="s">
        <v>842</v>
      </c>
      <c r="D19" s="17" t="s">
        <v>843</v>
      </c>
      <c r="E19" s="17" t="str">
        <f>"0,6016"</f>
        <v>0,6016</v>
      </c>
      <c r="F19" s="52" t="s">
        <v>1231</v>
      </c>
      <c r="G19" s="17" t="s">
        <v>1239</v>
      </c>
      <c r="H19" s="29" t="s">
        <v>172</v>
      </c>
      <c r="I19" s="29" t="s">
        <v>208</v>
      </c>
      <c r="J19" s="29" t="s">
        <v>34</v>
      </c>
      <c r="K19" s="27"/>
      <c r="L19" s="29" t="s">
        <v>77</v>
      </c>
      <c r="M19" s="30" t="s">
        <v>92</v>
      </c>
      <c r="N19" s="30" t="s">
        <v>92</v>
      </c>
      <c r="O19" s="27"/>
      <c r="P19" s="49">
        <v>370</v>
      </c>
      <c r="Q19" s="26" t="str">
        <f>"222,5920"</f>
        <v>222,5920</v>
      </c>
      <c r="R19" s="17" t="s">
        <v>335</v>
      </c>
    </row>
    <row r="21" spans="1:17" ht="15.75">
      <c r="A21"/>
      <c r="B21" s="97" t="s">
        <v>93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8" ht="12.75">
      <c r="A22" s="26" t="s">
        <v>933</v>
      </c>
      <c r="B22" s="17" t="s">
        <v>1395</v>
      </c>
      <c r="C22" s="17" t="s">
        <v>901</v>
      </c>
      <c r="D22" s="17" t="s">
        <v>902</v>
      </c>
      <c r="E22" s="17" t="str">
        <f>"0,5692"</f>
        <v>0,5692</v>
      </c>
      <c r="F22" s="17" t="s">
        <v>15</v>
      </c>
      <c r="G22" s="17" t="s">
        <v>903</v>
      </c>
      <c r="H22" s="29" t="s">
        <v>446</v>
      </c>
      <c r="I22" s="29" t="s">
        <v>74</v>
      </c>
      <c r="J22" s="27"/>
      <c r="K22" s="27"/>
      <c r="L22" s="29" t="s">
        <v>904</v>
      </c>
      <c r="M22" s="29" t="s">
        <v>260</v>
      </c>
      <c r="N22" s="29" t="s">
        <v>250</v>
      </c>
      <c r="O22" s="27"/>
      <c r="P22" s="49">
        <v>512.5</v>
      </c>
      <c r="Q22" s="26" t="str">
        <f>"291,7150"</f>
        <v>291,7150</v>
      </c>
      <c r="R22" s="17" t="s">
        <v>55</v>
      </c>
    </row>
    <row r="23" spans="1:18" ht="12.75">
      <c r="A23" s="26" t="s">
        <v>935</v>
      </c>
      <c r="B23" s="17" t="s">
        <v>1396</v>
      </c>
      <c r="C23" s="17" t="s">
        <v>849</v>
      </c>
      <c r="D23" s="17" t="s">
        <v>850</v>
      </c>
      <c r="E23" s="17" t="str">
        <f>"0,5772"</f>
        <v>0,5772</v>
      </c>
      <c r="F23" s="52" t="s">
        <v>1231</v>
      </c>
      <c r="G23" s="17" t="s">
        <v>1239</v>
      </c>
      <c r="H23" s="29" t="s">
        <v>208</v>
      </c>
      <c r="I23" s="29" t="s">
        <v>34</v>
      </c>
      <c r="J23" s="29" t="s">
        <v>35</v>
      </c>
      <c r="K23" s="27"/>
      <c r="L23" s="29" t="s">
        <v>67</v>
      </c>
      <c r="M23" s="29" t="s">
        <v>31</v>
      </c>
      <c r="N23" s="29" t="s">
        <v>32</v>
      </c>
      <c r="O23" s="27"/>
      <c r="P23" s="49">
        <v>335</v>
      </c>
      <c r="Q23" s="26" t="str">
        <f>"193,3620"</f>
        <v>193,3620</v>
      </c>
      <c r="R23" s="17" t="s">
        <v>335</v>
      </c>
    </row>
    <row r="24" spans="1:18" ht="12.75">
      <c r="A24" s="26" t="s">
        <v>933</v>
      </c>
      <c r="B24" s="17" t="s">
        <v>1297</v>
      </c>
      <c r="C24" s="17" t="s">
        <v>268</v>
      </c>
      <c r="D24" s="17" t="s">
        <v>269</v>
      </c>
      <c r="E24" s="17" t="str">
        <f>"0,5640"</f>
        <v>0,5640</v>
      </c>
      <c r="F24" s="17" t="s">
        <v>15</v>
      </c>
      <c r="G24" s="17" t="s">
        <v>270</v>
      </c>
      <c r="H24" s="29" t="s">
        <v>271</v>
      </c>
      <c r="I24" s="27"/>
      <c r="J24" s="27"/>
      <c r="K24" s="27"/>
      <c r="L24" s="29" t="s">
        <v>96</v>
      </c>
      <c r="M24" s="29" t="s">
        <v>103</v>
      </c>
      <c r="N24" s="27"/>
      <c r="O24" s="27"/>
      <c r="P24" s="49">
        <v>417.5</v>
      </c>
      <c r="Q24" s="26" t="str">
        <f>"248,3988"</f>
        <v>248,3988</v>
      </c>
      <c r="R24" s="17" t="s">
        <v>272</v>
      </c>
    </row>
    <row r="26" spans="1:17" ht="15.75">
      <c r="A26"/>
      <c r="B26" s="97" t="s">
        <v>98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</row>
    <row r="27" spans="1:18" ht="12.75">
      <c r="A27" s="26" t="s">
        <v>933</v>
      </c>
      <c r="B27" s="17" t="s">
        <v>335</v>
      </c>
      <c r="C27" s="17" t="s">
        <v>854</v>
      </c>
      <c r="D27" s="17" t="s">
        <v>855</v>
      </c>
      <c r="E27" s="17" t="str">
        <f>"0,5487"</f>
        <v>0,5487</v>
      </c>
      <c r="F27" s="52" t="s">
        <v>1231</v>
      </c>
      <c r="G27" s="17" t="s">
        <v>1239</v>
      </c>
      <c r="H27" s="29" t="s">
        <v>31</v>
      </c>
      <c r="I27" s="29" t="s">
        <v>32</v>
      </c>
      <c r="J27" s="30" t="s">
        <v>37</v>
      </c>
      <c r="K27" s="27"/>
      <c r="L27" s="29" t="s">
        <v>104</v>
      </c>
      <c r="M27" s="30" t="s">
        <v>257</v>
      </c>
      <c r="N27" s="30" t="s">
        <v>235</v>
      </c>
      <c r="O27" s="27"/>
      <c r="P27" s="49">
        <v>490</v>
      </c>
      <c r="Q27" s="26" t="str">
        <f>"268,8385"</f>
        <v>268,8385</v>
      </c>
      <c r="R27" s="17" t="s">
        <v>55</v>
      </c>
    </row>
    <row r="28" spans="1:18" ht="12.75">
      <c r="A28" s="26" t="s">
        <v>935</v>
      </c>
      <c r="B28" s="17" t="s">
        <v>1315</v>
      </c>
      <c r="C28" s="17" t="s">
        <v>447</v>
      </c>
      <c r="D28" s="17" t="s">
        <v>448</v>
      </c>
      <c r="E28" s="17" t="str">
        <f>"0,5565"</f>
        <v>0,5565</v>
      </c>
      <c r="F28" s="52" t="s">
        <v>1231</v>
      </c>
      <c r="G28" s="17" t="s">
        <v>449</v>
      </c>
      <c r="H28" s="29" t="s">
        <v>32</v>
      </c>
      <c r="I28" s="29" t="s">
        <v>446</v>
      </c>
      <c r="J28" s="29" t="s">
        <v>74</v>
      </c>
      <c r="K28" s="27"/>
      <c r="L28" s="29" t="s">
        <v>91</v>
      </c>
      <c r="M28" s="29" t="s">
        <v>247</v>
      </c>
      <c r="N28" s="29" t="s">
        <v>103</v>
      </c>
      <c r="O28" s="27"/>
      <c r="P28" s="49">
        <v>477.5</v>
      </c>
      <c r="Q28" s="26" t="str">
        <f>"265,7049"</f>
        <v>265,7049</v>
      </c>
      <c r="R28" s="17" t="s">
        <v>335</v>
      </c>
    </row>
    <row r="29" spans="1:18" ht="12.75">
      <c r="A29" s="26" t="s">
        <v>936</v>
      </c>
      <c r="B29" s="17" t="s">
        <v>1397</v>
      </c>
      <c r="C29" s="17" t="s">
        <v>857</v>
      </c>
      <c r="D29" s="17" t="s">
        <v>858</v>
      </c>
      <c r="E29" s="17" t="str">
        <f>"0,5547"</f>
        <v>0,5547</v>
      </c>
      <c r="F29" s="52" t="s">
        <v>1231</v>
      </c>
      <c r="G29" s="17" t="s">
        <v>1239</v>
      </c>
      <c r="H29" s="29" t="s">
        <v>36</v>
      </c>
      <c r="I29" s="29" t="s">
        <v>18</v>
      </c>
      <c r="J29" s="29" t="s">
        <v>67</v>
      </c>
      <c r="K29" s="27"/>
      <c r="L29" s="29" t="s">
        <v>77</v>
      </c>
      <c r="M29" s="29" t="s">
        <v>96</v>
      </c>
      <c r="N29" s="29" t="s">
        <v>247</v>
      </c>
      <c r="O29" s="27"/>
      <c r="P29" s="49">
        <v>432.5</v>
      </c>
      <c r="Q29" s="26" t="str">
        <f>"239,9078"</f>
        <v>239,9078</v>
      </c>
      <c r="R29" s="17" t="s">
        <v>335</v>
      </c>
    </row>
    <row r="31" spans="2:3" ht="18">
      <c r="B31" s="19" t="s">
        <v>108</v>
      </c>
      <c r="C31" s="19"/>
    </row>
    <row r="32" spans="2:3" ht="15.75">
      <c r="B32" s="20" t="s">
        <v>117</v>
      </c>
      <c r="C32" s="20"/>
    </row>
    <row r="33" spans="2:3" ht="13.5">
      <c r="B33" s="22"/>
      <c r="C33" s="23" t="s">
        <v>209</v>
      </c>
    </row>
    <row r="34" spans="2:6" ht="13.5">
      <c r="B34" s="24" t="s">
        <v>111</v>
      </c>
      <c r="C34" s="24" t="s">
        <v>112</v>
      </c>
      <c r="D34" s="24" t="s">
        <v>113</v>
      </c>
      <c r="E34" s="24" t="s">
        <v>114</v>
      </c>
      <c r="F34" s="24" t="s">
        <v>115</v>
      </c>
    </row>
    <row r="35" spans="1:6" ht="12.75">
      <c r="A35" s="28" t="s">
        <v>933</v>
      </c>
      <c r="B35" s="21" t="s">
        <v>900</v>
      </c>
      <c r="C35" s="46" t="s">
        <v>110</v>
      </c>
      <c r="D35" s="46" t="s">
        <v>118</v>
      </c>
      <c r="E35" s="28" t="s">
        <v>905</v>
      </c>
      <c r="F35" s="28" t="s">
        <v>906</v>
      </c>
    </row>
    <row r="36" spans="1:6" ht="12.75">
      <c r="A36" s="28" t="s">
        <v>935</v>
      </c>
      <c r="B36" s="21" t="s">
        <v>897</v>
      </c>
      <c r="C36" s="46" t="s">
        <v>110</v>
      </c>
      <c r="D36" s="46" t="s">
        <v>129</v>
      </c>
      <c r="E36" s="28" t="s">
        <v>907</v>
      </c>
      <c r="F36" s="28" t="s">
        <v>908</v>
      </c>
    </row>
    <row r="37" spans="1:6" ht="12.75">
      <c r="A37" s="28" t="s">
        <v>936</v>
      </c>
      <c r="B37" s="21" t="s">
        <v>62</v>
      </c>
      <c r="C37" s="46" t="s">
        <v>110</v>
      </c>
      <c r="D37" s="46" t="s">
        <v>119</v>
      </c>
      <c r="E37" s="28" t="s">
        <v>909</v>
      </c>
      <c r="F37" s="28" t="s">
        <v>910</v>
      </c>
    </row>
  </sheetData>
  <sheetProtection/>
  <mergeCells count="19">
    <mergeCell ref="B17:Q17"/>
    <mergeCell ref="B21:Q21"/>
    <mergeCell ref="B26:Q26"/>
    <mergeCell ref="A3:A4"/>
    <mergeCell ref="P3:P4"/>
    <mergeCell ref="Q3:Q4"/>
    <mergeCell ref="G3:G4"/>
    <mergeCell ref="H3:K3"/>
    <mergeCell ref="L3:O3"/>
    <mergeCell ref="R3:R4"/>
    <mergeCell ref="B5:Q5"/>
    <mergeCell ref="B8:Q8"/>
    <mergeCell ref="B11:Q11"/>
    <mergeCell ref="B1:R2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V11"/>
  <sheetViews>
    <sheetView workbookViewId="0" topLeftCell="B1">
      <selection activeCell="G16" sqref="G16"/>
    </sheetView>
  </sheetViews>
  <sheetFormatPr defaultColWidth="8.75390625" defaultRowHeight="12.75"/>
  <cols>
    <col min="1" max="1" width="7.875" style="28" bestFit="1" customWidth="1"/>
    <col min="2" max="2" width="23.75390625" style="16" customWidth="1"/>
    <col min="3" max="3" width="26.875" style="16" bestFit="1" customWidth="1"/>
    <col min="4" max="4" width="10.625" style="16" bestFit="1" customWidth="1"/>
    <col min="5" max="5" width="8.375" style="16" bestFit="1" customWidth="1"/>
    <col min="6" max="6" width="14.00390625" style="16" customWidth="1"/>
    <col min="7" max="7" width="31.375" style="16" customWidth="1"/>
    <col min="8" max="10" width="5.625" style="28" bestFit="1" customWidth="1"/>
    <col min="11" max="11" width="5.125" style="28" bestFit="1" customWidth="1"/>
    <col min="12" max="14" width="5.625" style="28" bestFit="1" customWidth="1"/>
    <col min="15" max="15" width="5.125" style="28" bestFit="1" customWidth="1"/>
    <col min="16" max="18" width="5.625" style="28" bestFit="1" customWidth="1"/>
    <col min="19" max="19" width="5.125" style="28" bestFit="1" customWidth="1"/>
    <col min="20" max="20" width="7.875" style="28" bestFit="1" customWidth="1"/>
    <col min="21" max="21" width="10.00390625" style="28" customWidth="1"/>
    <col min="22" max="22" width="17.625" style="16" bestFit="1" customWidth="1"/>
  </cols>
  <sheetData>
    <row r="1" spans="2:22" s="1" customFormat="1" ht="15" customHeight="1">
      <c r="B1" s="86" t="s">
        <v>1310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102"/>
    </row>
    <row r="2" spans="2:22" s="1" customFormat="1" ht="105" customHeight="1" thickBot="1">
      <c r="B2" s="88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103"/>
    </row>
    <row r="3" spans="1:22" s="4" customFormat="1" ht="12.75" customHeight="1">
      <c r="A3" s="98" t="s">
        <v>932</v>
      </c>
      <c r="B3" s="90" t="s">
        <v>0</v>
      </c>
      <c r="C3" s="92" t="s">
        <v>1</v>
      </c>
      <c r="D3" s="92" t="s">
        <v>1226</v>
      </c>
      <c r="E3" s="94" t="s">
        <v>11</v>
      </c>
      <c r="F3" s="94" t="s">
        <v>2</v>
      </c>
      <c r="G3" s="95" t="s">
        <v>1227</v>
      </c>
      <c r="H3" s="94" t="s">
        <v>4</v>
      </c>
      <c r="I3" s="94"/>
      <c r="J3" s="94"/>
      <c r="K3" s="94"/>
      <c r="L3" s="90" t="s">
        <v>5</v>
      </c>
      <c r="M3" s="94"/>
      <c r="N3" s="94"/>
      <c r="O3" s="95"/>
      <c r="P3" s="94" t="s">
        <v>6</v>
      </c>
      <c r="Q3" s="94"/>
      <c r="R3" s="94"/>
      <c r="S3" s="94"/>
      <c r="T3" s="90" t="s">
        <v>8</v>
      </c>
      <c r="U3" s="94" t="s">
        <v>9</v>
      </c>
      <c r="V3" s="100" t="s">
        <v>10</v>
      </c>
    </row>
    <row r="4" spans="1:22" s="4" customFormat="1" ht="23.25" customHeight="1" thickBot="1">
      <c r="A4" s="99"/>
      <c r="B4" s="91"/>
      <c r="C4" s="93"/>
      <c r="D4" s="93"/>
      <c r="E4" s="93"/>
      <c r="F4" s="93"/>
      <c r="G4" s="96"/>
      <c r="H4" s="7">
        <v>1</v>
      </c>
      <c r="I4" s="7">
        <v>2</v>
      </c>
      <c r="J4" s="7">
        <v>3</v>
      </c>
      <c r="K4" s="7" t="s">
        <v>7</v>
      </c>
      <c r="L4" s="44">
        <v>1</v>
      </c>
      <c r="M4" s="7">
        <v>2</v>
      </c>
      <c r="N4" s="7">
        <v>3</v>
      </c>
      <c r="O4" s="45" t="s">
        <v>7</v>
      </c>
      <c r="P4" s="7">
        <v>1</v>
      </c>
      <c r="Q4" s="7">
        <v>2</v>
      </c>
      <c r="R4" s="7">
        <v>3</v>
      </c>
      <c r="S4" s="7" t="s">
        <v>7</v>
      </c>
      <c r="T4" s="91"/>
      <c r="U4" s="93"/>
      <c r="V4" s="101"/>
    </row>
    <row r="5" spans="1:21" ht="15.75">
      <c r="A5"/>
      <c r="B5" s="104" t="s">
        <v>61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</row>
    <row r="6" spans="1:22" ht="12.75">
      <c r="A6" s="26" t="s">
        <v>933</v>
      </c>
      <c r="B6" s="17" t="s">
        <v>1260</v>
      </c>
      <c r="C6" s="17" t="s">
        <v>63</v>
      </c>
      <c r="D6" s="17" t="s">
        <v>64</v>
      </c>
      <c r="E6" s="17" t="str">
        <f>"0,6133"</f>
        <v>0,6133</v>
      </c>
      <c r="F6" s="17" t="s">
        <v>15</v>
      </c>
      <c r="G6" s="17" t="s">
        <v>1245</v>
      </c>
      <c r="H6" s="29" t="s">
        <v>66</v>
      </c>
      <c r="I6" s="27"/>
      <c r="J6" s="27"/>
      <c r="K6" s="27"/>
      <c r="L6" s="29" t="s">
        <v>37</v>
      </c>
      <c r="M6" s="27"/>
      <c r="N6" s="27"/>
      <c r="O6" s="27"/>
      <c r="P6" s="29" t="s">
        <v>68</v>
      </c>
      <c r="Q6" s="27"/>
      <c r="R6" s="27"/>
      <c r="S6" s="27"/>
      <c r="T6" s="26">
        <v>700</v>
      </c>
      <c r="U6" s="26" t="str">
        <f>"429,3450"</f>
        <v>429,3450</v>
      </c>
      <c r="V6" s="17" t="s">
        <v>69</v>
      </c>
    </row>
    <row r="8" spans="1:21" ht="15.75">
      <c r="A8"/>
      <c r="B8" s="97" t="s">
        <v>93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</row>
    <row r="9" spans="1:22" ht="12.75">
      <c r="A9" s="26" t="s">
        <v>933</v>
      </c>
      <c r="B9" s="17" t="s">
        <v>1311</v>
      </c>
      <c r="C9" s="17" t="s">
        <v>315</v>
      </c>
      <c r="D9" s="17" t="s">
        <v>263</v>
      </c>
      <c r="E9" s="17" t="str">
        <f>"0,5683"</f>
        <v>0,5683</v>
      </c>
      <c r="F9" s="52" t="s">
        <v>51</v>
      </c>
      <c r="G9" s="17" t="s">
        <v>73</v>
      </c>
      <c r="H9" s="29" t="s">
        <v>78</v>
      </c>
      <c r="I9" s="29" t="s">
        <v>92</v>
      </c>
      <c r="J9" s="30" t="s">
        <v>316</v>
      </c>
      <c r="K9" s="27"/>
      <c r="L9" s="29" t="s">
        <v>17</v>
      </c>
      <c r="M9" s="29" t="s">
        <v>18</v>
      </c>
      <c r="N9" s="29" t="s">
        <v>52</v>
      </c>
      <c r="O9" s="27"/>
      <c r="P9" s="29" t="s">
        <v>38</v>
      </c>
      <c r="Q9" s="30" t="s">
        <v>305</v>
      </c>
      <c r="R9" s="30" t="s">
        <v>305</v>
      </c>
      <c r="S9" s="27"/>
      <c r="T9" s="26">
        <v>632.5</v>
      </c>
      <c r="U9" s="26" t="str">
        <f>"359,4498"</f>
        <v>359,4498</v>
      </c>
      <c r="V9" s="17" t="s">
        <v>297</v>
      </c>
    </row>
    <row r="10" spans="1:22" ht="12.75">
      <c r="A10" s="26" t="s">
        <v>933</v>
      </c>
      <c r="B10" s="17" t="s">
        <v>1312</v>
      </c>
      <c r="C10" s="17" t="s">
        <v>318</v>
      </c>
      <c r="D10" s="17" t="s">
        <v>319</v>
      </c>
      <c r="E10" s="17" t="str">
        <f>"0,5659"</f>
        <v>0,5659</v>
      </c>
      <c r="F10" s="52" t="s">
        <v>15</v>
      </c>
      <c r="G10" s="17" t="s">
        <v>320</v>
      </c>
      <c r="H10" s="29" t="s">
        <v>91</v>
      </c>
      <c r="I10" s="29" t="s">
        <v>83</v>
      </c>
      <c r="J10" s="30" t="s">
        <v>103</v>
      </c>
      <c r="K10" s="27"/>
      <c r="L10" s="29" t="s">
        <v>77</v>
      </c>
      <c r="M10" s="30" t="s">
        <v>91</v>
      </c>
      <c r="N10" s="30" t="s">
        <v>91</v>
      </c>
      <c r="O10" s="27"/>
      <c r="P10" s="29" t="s">
        <v>75</v>
      </c>
      <c r="Q10" s="29" t="s">
        <v>66</v>
      </c>
      <c r="R10" s="30" t="s">
        <v>321</v>
      </c>
      <c r="S10" s="27"/>
      <c r="T10" s="26">
        <v>715</v>
      </c>
      <c r="U10" s="26" t="str">
        <f>"404,6542"</f>
        <v>404,6542</v>
      </c>
      <c r="V10" s="17" t="s">
        <v>55</v>
      </c>
    </row>
    <row r="11" spans="1:22" ht="12.75">
      <c r="A11" s="26" t="s">
        <v>933</v>
      </c>
      <c r="B11" s="17" t="s">
        <v>1313</v>
      </c>
      <c r="C11" s="17" t="s">
        <v>322</v>
      </c>
      <c r="D11" s="17" t="s">
        <v>323</v>
      </c>
      <c r="E11" s="17" t="str">
        <f>"0,5710"</f>
        <v>0,5710</v>
      </c>
      <c r="F11" s="52" t="s">
        <v>178</v>
      </c>
      <c r="G11" s="17" t="s">
        <v>324</v>
      </c>
      <c r="H11" s="29" t="s">
        <v>82</v>
      </c>
      <c r="I11" s="29" t="s">
        <v>38</v>
      </c>
      <c r="J11" s="30" t="s">
        <v>66</v>
      </c>
      <c r="K11" s="27"/>
      <c r="L11" s="29" t="s">
        <v>19</v>
      </c>
      <c r="M11" s="29" t="s">
        <v>23</v>
      </c>
      <c r="N11" s="30" t="s">
        <v>24</v>
      </c>
      <c r="O11" s="27"/>
      <c r="P11" s="29" t="s">
        <v>82</v>
      </c>
      <c r="Q11" s="29" t="s">
        <v>38</v>
      </c>
      <c r="R11" s="30" t="s">
        <v>66</v>
      </c>
      <c r="S11" s="27"/>
      <c r="T11" s="26">
        <v>612.5</v>
      </c>
      <c r="U11" s="26" t="str">
        <f>"395,2380"</f>
        <v>395,2380</v>
      </c>
      <c r="V11" s="17" t="s">
        <v>325</v>
      </c>
    </row>
  </sheetData>
  <sheetProtection/>
  <mergeCells count="16">
    <mergeCell ref="T3:T4"/>
    <mergeCell ref="U3:U4"/>
    <mergeCell ref="V3:V4"/>
    <mergeCell ref="B5:U5"/>
    <mergeCell ref="B8:U8"/>
    <mergeCell ref="A3:A4"/>
    <mergeCell ref="B1:V2"/>
    <mergeCell ref="B3:B4"/>
    <mergeCell ref="C3:C4"/>
    <mergeCell ref="D3:D4"/>
    <mergeCell ref="E3:E4"/>
    <mergeCell ref="F3:F4"/>
    <mergeCell ref="G3:G4"/>
    <mergeCell ref="H3:K3"/>
    <mergeCell ref="L3:O3"/>
    <mergeCell ref="P3:S3"/>
  </mergeCells>
  <printOptions/>
  <pageMargins left="0.7" right="0.7" top="0.75" bottom="0.75" header="0.3" footer="0.3"/>
  <pageSetup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1:V14"/>
  <sheetViews>
    <sheetView workbookViewId="0" topLeftCell="B1">
      <selection activeCell="D17" sqref="D17"/>
    </sheetView>
  </sheetViews>
  <sheetFormatPr defaultColWidth="8.75390625" defaultRowHeight="12.75"/>
  <cols>
    <col min="1" max="1" width="7.875" style="28" bestFit="1" customWidth="1"/>
    <col min="2" max="2" width="22.875" style="16" customWidth="1"/>
    <col min="3" max="3" width="26.875" style="16" bestFit="1" customWidth="1"/>
    <col min="4" max="4" width="10.625" style="16" bestFit="1" customWidth="1"/>
    <col min="5" max="5" width="8.375" style="16" bestFit="1" customWidth="1"/>
    <col min="6" max="6" width="11.75390625" style="16" customWidth="1"/>
    <col min="7" max="7" width="30.625" style="16" bestFit="1" customWidth="1"/>
    <col min="8" max="10" width="5.625" style="28" bestFit="1" customWidth="1"/>
    <col min="11" max="11" width="5.125" style="28" bestFit="1" customWidth="1"/>
    <col min="12" max="14" width="5.625" style="28" bestFit="1" customWidth="1"/>
    <col min="15" max="15" width="5.125" style="28" bestFit="1" customWidth="1"/>
    <col min="16" max="18" width="5.625" style="28" bestFit="1" customWidth="1"/>
    <col min="19" max="19" width="5.125" style="28" bestFit="1" customWidth="1"/>
    <col min="20" max="20" width="9.25390625" style="28" bestFit="1" customWidth="1"/>
    <col min="21" max="21" width="8.625" style="28" bestFit="1" customWidth="1"/>
    <col min="22" max="22" width="20.00390625" style="16" customWidth="1"/>
  </cols>
  <sheetData>
    <row r="1" spans="2:22" s="1" customFormat="1" ht="15" customHeight="1">
      <c r="B1" s="86" t="s">
        <v>1309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102"/>
    </row>
    <row r="2" spans="2:22" s="1" customFormat="1" ht="97.5" customHeight="1" thickBot="1">
      <c r="B2" s="88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103"/>
    </row>
    <row r="3" spans="1:22" s="4" customFormat="1" ht="12.75" customHeight="1">
      <c r="A3" s="98" t="s">
        <v>932</v>
      </c>
      <c r="B3" s="90" t="s">
        <v>0</v>
      </c>
      <c r="C3" s="92" t="s">
        <v>1</v>
      </c>
      <c r="D3" s="92" t="s">
        <v>1226</v>
      </c>
      <c r="E3" s="94" t="s">
        <v>11</v>
      </c>
      <c r="F3" s="94" t="s">
        <v>2</v>
      </c>
      <c r="G3" s="94" t="s">
        <v>1227</v>
      </c>
      <c r="H3" s="90" t="s">
        <v>4</v>
      </c>
      <c r="I3" s="94"/>
      <c r="J3" s="94"/>
      <c r="K3" s="95"/>
      <c r="L3" s="94" t="s">
        <v>5</v>
      </c>
      <c r="M3" s="94"/>
      <c r="N3" s="94"/>
      <c r="O3" s="94"/>
      <c r="P3" s="94" t="s">
        <v>6</v>
      </c>
      <c r="Q3" s="94"/>
      <c r="R3" s="94"/>
      <c r="S3" s="94"/>
      <c r="T3" s="90" t="s">
        <v>8</v>
      </c>
      <c r="U3" s="94" t="s">
        <v>9</v>
      </c>
      <c r="V3" s="100" t="s">
        <v>10</v>
      </c>
    </row>
    <row r="4" spans="1:22" s="4" customFormat="1" ht="23.25" customHeight="1" thickBot="1">
      <c r="A4" s="99"/>
      <c r="B4" s="91"/>
      <c r="C4" s="93"/>
      <c r="D4" s="93"/>
      <c r="E4" s="93"/>
      <c r="F4" s="93"/>
      <c r="G4" s="93"/>
      <c r="H4" s="44">
        <v>1</v>
      </c>
      <c r="I4" s="7">
        <v>2</v>
      </c>
      <c r="J4" s="7">
        <v>3</v>
      </c>
      <c r="K4" s="45" t="s">
        <v>7</v>
      </c>
      <c r="L4" s="7">
        <v>1</v>
      </c>
      <c r="M4" s="7">
        <v>2</v>
      </c>
      <c r="N4" s="7">
        <v>3</v>
      </c>
      <c r="O4" s="7" t="s">
        <v>7</v>
      </c>
      <c r="P4" s="7">
        <v>1</v>
      </c>
      <c r="Q4" s="7">
        <v>2</v>
      </c>
      <c r="R4" s="7">
        <v>3</v>
      </c>
      <c r="S4" s="7" t="s">
        <v>7</v>
      </c>
      <c r="T4" s="91"/>
      <c r="U4" s="93"/>
      <c r="V4" s="101"/>
    </row>
    <row r="5" spans="1:21" ht="15.75">
      <c r="A5"/>
      <c r="B5" s="104" t="s">
        <v>12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</row>
    <row r="6" spans="1:22" ht="12.75">
      <c r="A6" s="26" t="s">
        <v>933</v>
      </c>
      <c r="B6" s="17" t="s">
        <v>56</v>
      </c>
      <c r="C6" s="17" t="s">
        <v>57</v>
      </c>
      <c r="D6" s="17" t="s">
        <v>58</v>
      </c>
      <c r="E6" s="17" t="str">
        <f>"0,6589"</f>
        <v>0,6589</v>
      </c>
      <c r="F6" s="17" t="s">
        <v>15</v>
      </c>
      <c r="G6" s="17" t="s">
        <v>59</v>
      </c>
      <c r="H6" s="29" t="s">
        <v>264</v>
      </c>
      <c r="I6" s="30" t="s">
        <v>307</v>
      </c>
      <c r="J6" s="29" t="s">
        <v>104</v>
      </c>
      <c r="K6" s="27"/>
      <c r="L6" s="29" t="s">
        <v>222</v>
      </c>
      <c r="M6" s="29" t="s">
        <v>75</v>
      </c>
      <c r="N6" s="30" t="s">
        <v>38</v>
      </c>
      <c r="O6" s="27"/>
      <c r="P6" s="29" t="s">
        <v>66</v>
      </c>
      <c r="Q6" s="29" t="s">
        <v>96</v>
      </c>
      <c r="R6" s="29" t="s">
        <v>68</v>
      </c>
      <c r="S6" s="27"/>
      <c r="T6" s="49">
        <v>790</v>
      </c>
      <c r="U6" s="26" t="str">
        <f>"520,5705"</f>
        <v>520,5705</v>
      </c>
      <c r="V6" s="17" t="s">
        <v>55</v>
      </c>
    </row>
    <row r="7" spans="1:22" ht="12.75">
      <c r="A7" s="26" t="s">
        <v>933</v>
      </c>
      <c r="B7" s="17" t="s">
        <v>1306</v>
      </c>
      <c r="C7" s="17" t="s">
        <v>308</v>
      </c>
      <c r="D7" s="17" t="s">
        <v>58</v>
      </c>
      <c r="E7" s="17" t="str">
        <f>"0,6589"</f>
        <v>0,6589</v>
      </c>
      <c r="F7" s="17" t="s">
        <v>15</v>
      </c>
      <c r="G7" s="17" t="s">
        <v>59</v>
      </c>
      <c r="H7" s="29" t="s">
        <v>264</v>
      </c>
      <c r="I7" s="30" t="s">
        <v>307</v>
      </c>
      <c r="J7" s="29" t="s">
        <v>104</v>
      </c>
      <c r="K7" s="27"/>
      <c r="L7" s="29" t="s">
        <v>222</v>
      </c>
      <c r="M7" s="29" t="s">
        <v>75</v>
      </c>
      <c r="N7" s="30" t="s">
        <v>38</v>
      </c>
      <c r="O7" s="27"/>
      <c r="P7" s="29" t="s">
        <v>66</v>
      </c>
      <c r="Q7" s="29" t="s">
        <v>96</v>
      </c>
      <c r="R7" s="29" t="s">
        <v>68</v>
      </c>
      <c r="S7" s="27"/>
      <c r="T7" s="49">
        <v>790</v>
      </c>
      <c r="U7" s="26" t="str">
        <f>"530,9819"</f>
        <v>530,9819</v>
      </c>
      <c r="V7" s="17" t="s">
        <v>55</v>
      </c>
    </row>
    <row r="9" spans="1:21" ht="15.75">
      <c r="A9"/>
      <c r="B9" s="97" t="s">
        <v>61</v>
      </c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</row>
    <row r="10" spans="1:22" ht="12.75">
      <c r="A10" s="26" t="s">
        <v>933</v>
      </c>
      <c r="B10" s="17" t="s">
        <v>62</v>
      </c>
      <c r="C10" s="17" t="s">
        <v>63</v>
      </c>
      <c r="D10" s="17" t="s">
        <v>64</v>
      </c>
      <c r="E10" s="17" t="str">
        <f>"0,6133"</f>
        <v>0,6133</v>
      </c>
      <c r="F10" s="17" t="s">
        <v>15</v>
      </c>
      <c r="G10" s="17" t="s">
        <v>1245</v>
      </c>
      <c r="H10" s="29" t="s">
        <v>66</v>
      </c>
      <c r="I10" s="27"/>
      <c r="J10" s="27"/>
      <c r="K10" s="27"/>
      <c r="L10" s="29" t="s">
        <v>19</v>
      </c>
      <c r="M10" s="29" t="s">
        <v>37</v>
      </c>
      <c r="N10" s="27"/>
      <c r="O10" s="27"/>
      <c r="P10" s="29" t="s">
        <v>68</v>
      </c>
      <c r="Q10" s="27"/>
      <c r="R10" s="27"/>
      <c r="S10" s="27"/>
      <c r="T10" s="49">
        <v>700</v>
      </c>
      <c r="U10" s="26" t="str">
        <f>"429,3450"</f>
        <v>429,3450</v>
      </c>
      <c r="V10" s="17" t="s">
        <v>69</v>
      </c>
    </row>
    <row r="12" spans="1:21" ht="15.75">
      <c r="A12"/>
      <c r="B12" s="97" t="s">
        <v>93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</row>
    <row r="13" spans="1:22" ht="12.75">
      <c r="A13" s="26" t="s">
        <v>933</v>
      </c>
      <c r="B13" s="17" t="s">
        <v>1307</v>
      </c>
      <c r="C13" s="17" t="s">
        <v>309</v>
      </c>
      <c r="D13" s="17" t="s">
        <v>310</v>
      </c>
      <c r="E13" s="17" t="str">
        <f>"0,5647"</f>
        <v>0,5647</v>
      </c>
      <c r="F13" s="17" t="s">
        <v>15</v>
      </c>
      <c r="G13" s="17" t="s">
        <v>311</v>
      </c>
      <c r="H13" s="30" t="s">
        <v>105</v>
      </c>
      <c r="I13" s="30" t="s">
        <v>104</v>
      </c>
      <c r="J13" s="29" t="s">
        <v>104</v>
      </c>
      <c r="K13" s="27"/>
      <c r="L13" s="29" t="s">
        <v>38</v>
      </c>
      <c r="M13" s="30" t="s">
        <v>91</v>
      </c>
      <c r="N13" s="30" t="s">
        <v>91</v>
      </c>
      <c r="O13" s="27"/>
      <c r="P13" s="29" t="s">
        <v>83</v>
      </c>
      <c r="Q13" s="29" t="s">
        <v>264</v>
      </c>
      <c r="R13" s="30" t="s">
        <v>105</v>
      </c>
      <c r="S13" s="27"/>
      <c r="T13" s="49">
        <v>800</v>
      </c>
      <c r="U13" s="26" t="str">
        <f>"451,7600"</f>
        <v>451,7600</v>
      </c>
      <c r="V13" s="17" t="s">
        <v>55</v>
      </c>
    </row>
    <row r="14" spans="1:22" ht="12.75">
      <c r="A14" s="26" t="s">
        <v>933</v>
      </c>
      <c r="B14" s="17" t="s">
        <v>1308</v>
      </c>
      <c r="C14" s="17" t="s">
        <v>312</v>
      </c>
      <c r="D14" s="17" t="s">
        <v>313</v>
      </c>
      <c r="E14" s="17" t="str">
        <f>"0,5670"</f>
        <v>0,5670</v>
      </c>
      <c r="F14" s="52" t="s">
        <v>314</v>
      </c>
      <c r="G14" s="17" t="s">
        <v>282</v>
      </c>
      <c r="H14" s="29" t="s">
        <v>197</v>
      </c>
      <c r="I14" s="29" t="s">
        <v>264</v>
      </c>
      <c r="J14" s="29" t="s">
        <v>105</v>
      </c>
      <c r="K14" s="27"/>
      <c r="L14" s="29" t="s">
        <v>32</v>
      </c>
      <c r="M14" s="29" t="s">
        <v>37</v>
      </c>
      <c r="N14" s="30" t="s">
        <v>222</v>
      </c>
      <c r="O14" s="27"/>
      <c r="P14" s="29" t="s">
        <v>197</v>
      </c>
      <c r="Q14" s="29" t="s">
        <v>68</v>
      </c>
      <c r="R14" s="30" t="s">
        <v>264</v>
      </c>
      <c r="S14" s="27"/>
      <c r="T14" s="49">
        <v>765</v>
      </c>
      <c r="U14" s="26" t="str">
        <f>"475,7873"</f>
        <v>475,7873</v>
      </c>
      <c r="V14" s="17" t="s">
        <v>55</v>
      </c>
    </row>
  </sheetData>
  <sheetProtection/>
  <mergeCells count="17">
    <mergeCell ref="A3:A4"/>
    <mergeCell ref="T3:T4"/>
    <mergeCell ref="U3:U4"/>
    <mergeCell ref="V3:V4"/>
    <mergeCell ref="B5:U5"/>
    <mergeCell ref="B9:U9"/>
    <mergeCell ref="P3:S3"/>
    <mergeCell ref="B12:U12"/>
    <mergeCell ref="B1:V2"/>
    <mergeCell ref="B3:B4"/>
    <mergeCell ref="C3:C4"/>
    <mergeCell ref="D3:D4"/>
    <mergeCell ref="E3:E4"/>
    <mergeCell ref="F3:F4"/>
    <mergeCell ref="G3:G4"/>
    <mergeCell ref="H3:K3"/>
    <mergeCell ref="L3:O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20">
      <selection activeCell="E29" sqref="E29"/>
    </sheetView>
  </sheetViews>
  <sheetFormatPr defaultColWidth="8.75390625" defaultRowHeight="12.75"/>
  <cols>
    <col min="1" max="1" width="7.875" style="28" customWidth="1"/>
    <col min="2" max="2" width="26.00390625" style="16" bestFit="1" customWidth="1"/>
    <col min="3" max="3" width="26.375" style="16" customWidth="1"/>
    <col min="4" max="4" width="10.625" style="16" bestFit="1" customWidth="1"/>
    <col min="5" max="5" width="22.75390625" style="16" bestFit="1" customWidth="1"/>
    <col min="6" max="6" width="27.25390625" style="16" customWidth="1"/>
    <col min="7" max="7" width="12.125" style="28" customWidth="1"/>
    <col min="8" max="8" width="23.125" style="16" customWidth="1"/>
  </cols>
  <sheetData>
    <row r="1" spans="2:8" s="1" customFormat="1" ht="15" customHeight="1">
      <c r="B1" s="86" t="s">
        <v>1237</v>
      </c>
      <c r="C1" s="87"/>
      <c r="D1" s="87"/>
      <c r="E1" s="87"/>
      <c r="F1" s="87"/>
      <c r="G1" s="87"/>
      <c r="H1" s="87"/>
    </row>
    <row r="2" spans="2:8" s="1" customFormat="1" ht="97.5" customHeight="1" thickBot="1">
      <c r="B2" s="88"/>
      <c r="C2" s="89"/>
      <c r="D2" s="89"/>
      <c r="E2" s="89"/>
      <c r="F2" s="89"/>
      <c r="G2" s="89"/>
      <c r="H2" s="89"/>
    </row>
    <row r="3" spans="1:8" s="4" customFormat="1" ht="12.75" customHeight="1">
      <c r="A3" s="98" t="s">
        <v>932</v>
      </c>
      <c r="B3" s="90" t="s">
        <v>0</v>
      </c>
      <c r="C3" s="92" t="s">
        <v>1</v>
      </c>
      <c r="D3" s="92" t="s">
        <v>1226</v>
      </c>
      <c r="E3" s="94" t="s">
        <v>2</v>
      </c>
      <c r="F3" s="95" t="s">
        <v>1227</v>
      </c>
      <c r="G3" s="90" t="s">
        <v>934</v>
      </c>
      <c r="H3" s="100" t="s">
        <v>10</v>
      </c>
    </row>
    <row r="4" spans="1:8" s="4" customFormat="1" ht="23.25" customHeight="1" thickBot="1">
      <c r="A4" s="99"/>
      <c r="B4" s="91"/>
      <c r="C4" s="93"/>
      <c r="D4" s="93"/>
      <c r="E4" s="93"/>
      <c r="F4" s="96"/>
      <c r="G4" s="91"/>
      <c r="H4" s="101"/>
    </row>
    <row r="5" spans="1:7" ht="15.75">
      <c r="A5"/>
      <c r="B5" s="104" t="s">
        <v>331</v>
      </c>
      <c r="C5" s="104"/>
      <c r="D5" s="104"/>
      <c r="E5" s="104"/>
      <c r="F5" s="104"/>
      <c r="G5" s="104"/>
    </row>
    <row r="6" spans="1:8" ht="12.75">
      <c r="A6" s="26" t="s">
        <v>933</v>
      </c>
      <c r="B6" s="17" t="s">
        <v>332</v>
      </c>
      <c r="C6" s="17" t="s">
        <v>333</v>
      </c>
      <c r="D6" s="17" t="s">
        <v>334</v>
      </c>
      <c r="E6" s="52" t="s">
        <v>1231</v>
      </c>
      <c r="F6" s="17" t="s">
        <v>1239</v>
      </c>
      <c r="G6" s="49">
        <v>90</v>
      </c>
      <c r="H6" s="17" t="s">
        <v>335</v>
      </c>
    </row>
    <row r="8" spans="1:7" ht="15.75">
      <c r="A8"/>
      <c r="B8" s="97" t="s">
        <v>1123</v>
      </c>
      <c r="C8" s="97"/>
      <c r="D8" s="97"/>
      <c r="E8" s="97"/>
      <c r="F8" s="97"/>
      <c r="G8" s="97"/>
    </row>
    <row r="9" spans="1:8" ht="12.75">
      <c r="A9" s="26" t="s">
        <v>933</v>
      </c>
      <c r="B9" s="17" t="s">
        <v>806</v>
      </c>
      <c r="C9" s="17" t="s">
        <v>1185</v>
      </c>
      <c r="D9" s="17" t="s">
        <v>808</v>
      </c>
      <c r="E9" s="52" t="s">
        <v>1231</v>
      </c>
      <c r="F9" s="17" t="s">
        <v>1239</v>
      </c>
      <c r="G9" s="49">
        <v>70</v>
      </c>
      <c r="H9" s="17" t="s">
        <v>802</v>
      </c>
    </row>
    <row r="10" spans="1:8" ht="12.75">
      <c r="A10" s="26" t="s">
        <v>933</v>
      </c>
      <c r="B10" s="17" t="s">
        <v>803</v>
      </c>
      <c r="C10" s="17" t="s">
        <v>804</v>
      </c>
      <c r="D10" s="17" t="s">
        <v>805</v>
      </c>
      <c r="E10" s="52" t="s">
        <v>1231</v>
      </c>
      <c r="F10" s="17" t="s">
        <v>1239</v>
      </c>
      <c r="G10" s="49">
        <v>80</v>
      </c>
      <c r="H10" s="17" t="s">
        <v>335</v>
      </c>
    </row>
    <row r="12" spans="1:7" ht="15.75">
      <c r="A12"/>
      <c r="B12" s="97" t="s">
        <v>1128</v>
      </c>
      <c r="C12" s="97"/>
      <c r="D12" s="97"/>
      <c r="E12" s="97"/>
      <c r="F12" s="97"/>
      <c r="G12" s="97"/>
    </row>
    <row r="13" spans="1:8" ht="12.75">
      <c r="A13" s="26" t="s">
        <v>933</v>
      </c>
      <c r="B13" s="17" t="s">
        <v>809</v>
      </c>
      <c r="C13" s="17" t="s">
        <v>810</v>
      </c>
      <c r="D13" s="17" t="s">
        <v>592</v>
      </c>
      <c r="E13" s="17" t="s">
        <v>15</v>
      </c>
      <c r="F13" s="17" t="s">
        <v>1239</v>
      </c>
      <c r="G13" s="49">
        <v>100</v>
      </c>
      <c r="H13" s="17" t="s">
        <v>812</v>
      </c>
    </row>
    <row r="15" spans="1:7" ht="15.75">
      <c r="A15"/>
      <c r="B15" s="97" t="s">
        <v>1123</v>
      </c>
      <c r="C15" s="97"/>
      <c r="D15" s="97"/>
      <c r="E15" s="97"/>
      <c r="F15" s="97"/>
      <c r="G15" s="97"/>
    </row>
    <row r="16" spans="1:8" ht="12.75">
      <c r="A16" s="26" t="s">
        <v>933</v>
      </c>
      <c r="B16" s="17" t="s">
        <v>1130</v>
      </c>
      <c r="C16" s="17" t="s">
        <v>1131</v>
      </c>
      <c r="D16" s="17" t="s">
        <v>1132</v>
      </c>
      <c r="E16" s="52" t="s">
        <v>875</v>
      </c>
      <c r="F16" s="17" t="s">
        <v>876</v>
      </c>
      <c r="G16" s="49">
        <v>90</v>
      </c>
      <c r="H16" s="17" t="s">
        <v>1133</v>
      </c>
    </row>
    <row r="17" spans="1:8" ht="12.75">
      <c r="A17" s="26" t="s">
        <v>933</v>
      </c>
      <c r="B17" s="17" t="s">
        <v>1134</v>
      </c>
      <c r="C17" s="17" t="s">
        <v>1135</v>
      </c>
      <c r="D17" s="17" t="s">
        <v>568</v>
      </c>
      <c r="E17" s="52" t="s">
        <v>15</v>
      </c>
      <c r="F17" s="17" t="s">
        <v>1137</v>
      </c>
      <c r="G17" s="49">
        <v>110</v>
      </c>
      <c r="H17" s="17" t="s">
        <v>55</v>
      </c>
    </row>
    <row r="18" spans="1:8" ht="12.75">
      <c r="A18" s="26" t="s">
        <v>935</v>
      </c>
      <c r="B18" s="17" t="s">
        <v>1186</v>
      </c>
      <c r="C18" s="17" t="s">
        <v>1187</v>
      </c>
      <c r="D18" s="17" t="s">
        <v>1188</v>
      </c>
      <c r="E18" s="52" t="s">
        <v>400</v>
      </c>
      <c r="F18" s="17" t="s">
        <v>1239</v>
      </c>
      <c r="G18" s="49">
        <v>100</v>
      </c>
      <c r="H18" s="17" t="s">
        <v>55</v>
      </c>
    </row>
    <row r="20" spans="1:7" ht="15.75">
      <c r="A20"/>
      <c r="B20" s="97" t="s">
        <v>1124</v>
      </c>
      <c r="C20" s="97"/>
      <c r="D20" s="97"/>
      <c r="E20" s="97"/>
      <c r="F20" s="97"/>
      <c r="G20" s="97"/>
    </row>
    <row r="21" spans="1:8" ht="12.75">
      <c r="A21" s="26" t="s">
        <v>933</v>
      </c>
      <c r="B21" s="17" t="s">
        <v>1142</v>
      </c>
      <c r="C21" s="17" t="s">
        <v>1143</v>
      </c>
      <c r="D21" s="17" t="s">
        <v>14</v>
      </c>
      <c r="E21" s="17" t="s">
        <v>15</v>
      </c>
      <c r="F21" s="17" t="s">
        <v>1144</v>
      </c>
      <c r="G21" s="49">
        <v>140</v>
      </c>
      <c r="H21" s="17" t="s">
        <v>55</v>
      </c>
    </row>
    <row r="23" spans="1:7" ht="15.75">
      <c r="A23"/>
      <c r="B23" s="97" t="s">
        <v>61</v>
      </c>
      <c r="C23" s="97"/>
      <c r="D23" s="97"/>
      <c r="E23" s="97"/>
      <c r="F23" s="97"/>
      <c r="G23" s="97"/>
    </row>
    <row r="24" spans="1:8" ht="12.75">
      <c r="A24" s="26" t="s">
        <v>933</v>
      </c>
      <c r="B24" s="17" t="s">
        <v>1138</v>
      </c>
      <c r="C24" s="17" t="s">
        <v>1189</v>
      </c>
      <c r="D24" s="17" t="s">
        <v>1140</v>
      </c>
      <c r="E24" s="52" t="s">
        <v>1241</v>
      </c>
      <c r="F24" s="17" t="s">
        <v>275</v>
      </c>
      <c r="G24" s="49">
        <v>160</v>
      </c>
      <c r="H24" s="17" t="s">
        <v>1141</v>
      </c>
    </row>
    <row r="25" spans="1:8" ht="12.75">
      <c r="A25" s="26" t="s">
        <v>933</v>
      </c>
      <c r="B25" s="17" t="s">
        <v>1145</v>
      </c>
      <c r="C25" s="17" t="s">
        <v>1146</v>
      </c>
      <c r="D25" s="17" t="s">
        <v>815</v>
      </c>
      <c r="E25" s="52" t="s">
        <v>975</v>
      </c>
      <c r="F25" s="17" t="s">
        <v>65</v>
      </c>
      <c r="G25" s="49">
        <v>165</v>
      </c>
      <c r="H25" s="17" t="s">
        <v>55</v>
      </c>
    </row>
    <row r="26" spans="1:8" ht="12.75">
      <c r="A26" s="26" t="s">
        <v>935</v>
      </c>
      <c r="B26" s="17" t="s">
        <v>1190</v>
      </c>
      <c r="C26" s="17" t="s">
        <v>1191</v>
      </c>
      <c r="D26" s="17" t="s">
        <v>368</v>
      </c>
      <c r="E26" s="52" t="s">
        <v>15</v>
      </c>
      <c r="F26" s="17" t="s">
        <v>738</v>
      </c>
      <c r="G26" s="49">
        <v>160</v>
      </c>
      <c r="H26" s="17" t="s">
        <v>740</v>
      </c>
    </row>
    <row r="27" spans="1:8" ht="12.75">
      <c r="A27" s="26" t="s">
        <v>936</v>
      </c>
      <c r="B27" s="17" t="s">
        <v>1192</v>
      </c>
      <c r="C27" s="17" t="s">
        <v>896</v>
      </c>
      <c r="D27" s="17" t="s">
        <v>825</v>
      </c>
      <c r="E27" s="52" t="s">
        <v>1231</v>
      </c>
      <c r="F27" s="17" t="s">
        <v>1239</v>
      </c>
      <c r="G27" s="49">
        <v>150</v>
      </c>
      <c r="H27" s="17" t="s">
        <v>335</v>
      </c>
    </row>
    <row r="28" spans="1:8" ht="12.75">
      <c r="A28" s="26" t="s">
        <v>933</v>
      </c>
      <c r="B28" s="17" t="s">
        <v>1152</v>
      </c>
      <c r="C28" s="17" t="s">
        <v>1153</v>
      </c>
      <c r="D28" s="17" t="s">
        <v>1016</v>
      </c>
      <c r="E28" s="52" t="s">
        <v>15</v>
      </c>
      <c r="F28" s="17" t="s">
        <v>972</v>
      </c>
      <c r="G28" s="49">
        <v>130</v>
      </c>
      <c r="H28" s="17" t="s">
        <v>55</v>
      </c>
    </row>
    <row r="30" spans="1:7" ht="15.75">
      <c r="A30"/>
      <c r="B30" s="97" t="s">
        <v>87</v>
      </c>
      <c r="C30" s="97"/>
      <c r="D30" s="97"/>
      <c r="E30" s="97"/>
      <c r="F30" s="97"/>
      <c r="G30" s="97"/>
    </row>
    <row r="31" spans="1:8" ht="12.75">
      <c r="A31" s="26" t="s">
        <v>933</v>
      </c>
      <c r="B31" s="17" t="s">
        <v>988</v>
      </c>
      <c r="C31" s="17" t="s">
        <v>973</v>
      </c>
      <c r="D31" s="17" t="s">
        <v>974</v>
      </c>
      <c r="E31" s="52" t="s">
        <v>975</v>
      </c>
      <c r="F31" s="17" t="s">
        <v>976</v>
      </c>
      <c r="G31" s="49">
        <v>185</v>
      </c>
      <c r="H31" s="17" t="s">
        <v>55</v>
      </c>
    </row>
    <row r="32" spans="1:8" ht="12.75">
      <c r="A32" s="26" t="s">
        <v>935</v>
      </c>
      <c r="B32" s="17" t="s">
        <v>1154</v>
      </c>
      <c r="C32" s="17" t="s">
        <v>1155</v>
      </c>
      <c r="D32" s="17" t="s">
        <v>249</v>
      </c>
      <c r="E32" s="52" t="s">
        <v>15</v>
      </c>
      <c r="F32" s="17" t="s">
        <v>1156</v>
      </c>
      <c r="G32" s="49">
        <v>165</v>
      </c>
      <c r="H32" s="17" t="s">
        <v>55</v>
      </c>
    </row>
    <row r="33" spans="1:8" ht="12.75">
      <c r="A33" s="26" t="s">
        <v>936</v>
      </c>
      <c r="B33" s="17" t="s">
        <v>1193</v>
      </c>
      <c r="C33" s="17" t="s">
        <v>1194</v>
      </c>
      <c r="D33" s="17" t="s">
        <v>1195</v>
      </c>
      <c r="E33" s="52" t="s">
        <v>975</v>
      </c>
      <c r="F33" s="17" t="s">
        <v>532</v>
      </c>
      <c r="G33" s="49">
        <v>150</v>
      </c>
      <c r="H33" s="17" t="s">
        <v>1196</v>
      </c>
    </row>
    <row r="34" spans="1:8" ht="12.75">
      <c r="A34" s="26" t="s">
        <v>938</v>
      </c>
      <c r="B34" s="17" t="s">
        <v>1157</v>
      </c>
      <c r="C34" s="17" t="s">
        <v>1158</v>
      </c>
      <c r="D34" s="17" t="s">
        <v>218</v>
      </c>
      <c r="E34" s="52" t="s">
        <v>1241</v>
      </c>
      <c r="F34" s="17" t="s">
        <v>275</v>
      </c>
      <c r="G34" s="49">
        <v>150</v>
      </c>
      <c r="H34" s="17" t="s">
        <v>55</v>
      </c>
    </row>
    <row r="35" spans="1:8" ht="12.75">
      <c r="A35" s="26" t="s">
        <v>939</v>
      </c>
      <c r="B35" s="17" t="s">
        <v>958</v>
      </c>
      <c r="C35" s="17" t="s">
        <v>959</v>
      </c>
      <c r="D35" s="17" t="s">
        <v>1197</v>
      </c>
      <c r="E35" s="52" t="s">
        <v>875</v>
      </c>
      <c r="F35" s="17" t="s">
        <v>876</v>
      </c>
      <c r="G35" s="49">
        <v>120</v>
      </c>
      <c r="H35" s="17" t="s">
        <v>1240</v>
      </c>
    </row>
    <row r="36" spans="1:8" ht="12.75">
      <c r="A36" s="26" t="s">
        <v>933</v>
      </c>
      <c r="B36" s="17" t="s">
        <v>1198</v>
      </c>
      <c r="C36" s="17" t="s">
        <v>1527</v>
      </c>
      <c r="D36" s="17" t="s">
        <v>1199</v>
      </c>
      <c r="E36" s="52" t="s">
        <v>1200</v>
      </c>
      <c r="F36" s="17" t="s">
        <v>903</v>
      </c>
      <c r="G36" s="49">
        <v>160</v>
      </c>
      <c r="H36" s="17" t="s">
        <v>55</v>
      </c>
    </row>
    <row r="37" spans="1:8" ht="12.75">
      <c r="A37" s="26" t="s">
        <v>935</v>
      </c>
      <c r="B37" s="17" t="s">
        <v>1201</v>
      </c>
      <c r="C37" s="17" t="s">
        <v>1202</v>
      </c>
      <c r="D37" s="17" t="s">
        <v>888</v>
      </c>
      <c r="E37" s="52" t="s">
        <v>15</v>
      </c>
      <c r="F37" s="17" t="s">
        <v>1203</v>
      </c>
      <c r="G37" s="49">
        <v>160</v>
      </c>
      <c r="H37" s="17" t="s">
        <v>55</v>
      </c>
    </row>
    <row r="38" spans="1:8" ht="12.75">
      <c r="A38" s="26" t="s">
        <v>936</v>
      </c>
      <c r="B38" s="17" t="s">
        <v>958</v>
      </c>
      <c r="C38" s="17" t="s">
        <v>1204</v>
      </c>
      <c r="D38" s="17" t="s">
        <v>1197</v>
      </c>
      <c r="E38" s="52" t="s">
        <v>875</v>
      </c>
      <c r="F38" s="17" t="s">
        <v>876</v>
      </c>
      <c r="G38" s="49">
        <v>120</v>
      </c>
      <c r="H38" s="17" t="s">
        <v>1240</v>
      </c>
    </row>
    <row r="40" spans="1:7" ht="15.75">
      <c r="A40"/>
      <c r="B40" s="97" t="s">
        <v>93</v>
      </c>
      <c r="C40" s="97"/>
      <c r="D40" s="97"/>
      <c r="E40" s="97"/>
      <c r="F40" s="97"/>
      <c r="G40" s="97"/>
    </row>
    <row r="41" spans="1:8" ht="12.75">
      <c r="A41" s="26" t="s">
        <v>933</v>
      </c>
      <c r="B41" s="17" t="s">
        <v>1162</v>
      </c>
      <c r="C41" s="17" t="s">
        <v>1163</v>
      </c>
      <c r="D41" s="17" t="s">
        <v>1164</v>
      </c>
      <c r="E41" s="17" t="s">
        <v>15</v>
      </c>
      <c r="F41" s="17" t="s">
        <v>1156</v>
      </c>
      <c r="G41" s="49">
        <v>212.5</v>
      </c>
      <c r="H41" s="17" t="s">
        <v>55</v>
      </c>
    </row>
    <row r="42" spans="1:8" ht="12.75">
      <c r="A42" s="26" t="s">
        <v>935</v>
      </c>
      <c r="B42" s="17" t="s">
        <v>1205</v>
      </c>
      <c r="C42" s="17" t="s">
        <v>1206</v>
      </c>
      <c r="D42" s="17" t="s">
        <v>1207</v>
      </c>
      <c r="E42" s="52" t="s">
        <v>975</v>
      </c>
      <c r="F42" s="17" t="s">
        <v>976</v>
      </c>
      <c r="G42" s="49">
        <v>210</v>
      </c>
      <c r="H42" s="17" t="s">
        <v>1208</v>
      </c>
    </row>
    <row r="43" spans="1:8" ht="12.75">
      <c r="A43" s="26" t="s">
        <v>936</v>
      </c>
      <c r="B43" s="17" t="s">
        <v>1209</v>
      </c>
      <c r="C43" s="17" t="s">
        <v>1210</v>
      </c>
      <c r="D43" s="17" t="s">
        <v>266</v>
      </c>
      <c r="E43" s="17" t="s">
        <v>15</v>
      </c>
      <c r="F43" s="17" t="s">
        <v>1238</v>
      </c>
      <c r="G43" s="49">
        <v>200</v>
      </c>
      <c r="H43" s="17" t="s">
        <v>1211</v>
      </c>
    </row>
    <row r="44" spans="1:8" ht="12.75">
      <c r="A44" s="26" t="s">
        <v>938</v>
      </c>
      <c r="B44" s="17" t="s">
        <v>1170</v>
      </c>
      <c r="C44" s="17" t="s">
        <v>1171</v>
      </c>
      <c r="D44" s="17" t="s">
        <v>1172</v>
      </c>
      <c r="E44" s="17" t="s">
        <v>15</v>
      </c>
      <c r="F44" s="17" t="s">
        <v>1173</v>
      </c>
      <c r="G44" s="49">
        <v>155</v>
      </c>
      <c r="H44" s="17" t="s">
        <v>1174</v>
      </c>
    </row>
    <row r="45" spans="1:8" ht="12.75">
      <c r="A45" s="26" t="s">
        <v>933</v>
      </c>
      <c r="B45" s="17" t="s">
        <v>1212</v>
      </c>
      <c r="C45" s="17" t="s">
        <v>1213</v>
      </c>
      <c r="D45" s="17" t="s">
        <v>1214</v>
      </c>
      <c r="E45" s="17" t="s">
        <v>15</v>
      </c>
      <c r="F45" s="17" t="s">
        <v>30</v>
      </c>
      <c r="G45" s="49">
        <v>180</v>
      </c>
      <c r="H45" s="17" t="s">
        <v>55</v>
      </c>
    </row>
    <row r="46" spans="1:8" ht="12.75">
      <c r="A46" s="26" t="s">
        <v>935</v>
      </c>
      <c r="B46" s="17" t="s">
        <v>1170</v>
      </c>
      <c r="C46" s="17" t="s">
        <v>1175</v>
      </c>
      <c r="D46" s="17" t="s">
        <v>1172</v>
      </c>
      <c r="E46" s="17" t="s">
        <v>15</v>
      </c>
      <c r="F46" s="17" t="s">
        <v>1173</v>
      </c>
      <c r="G46" s="49">
        <v>155</v>
      </c>
      <c r="H46" s="17" t="s">
        <v>1174</v>
      </c>
    </row>
    <row r="48" spans="1:7" ht="15.75">
      <c r="A48"/>
      <c r="B48" s="97" t="s">
        <v>98</v>
      </c>
      <c r="C48" s="97"/>
      <c r="D48" s="97"/>
      <c r="E48" s="97"/>
      <c r="F48" s="97"/>
      <c r="G48" s="97"/>
    </row>
    <row r="49" spans="1:8" ht="12.75">
      <c r="A49" s="26" t="s">
        <v>933</v>
      </c>
      <c r="B49" s="17" t="s">
        <v>1176</v>
      </c>
      <c r="C49" s="17" t="s">
        <v>1177</v>
      </c>
      <c r="D49" s="17" t="s">
        <v>1178</v>
      </c>
      <c r="E49" s="52" t="s">
        <v>1241</v>
      </c>
      <c r="F49" s="17" t="s">
        <v>275</v>
      </c>
      <c r="G49" s="49">
        <v>185</v>
      </c>
      <c r="H49" s="17" t="s">
        <v>55</v>
      </c>
    </row>
    <row r="50" spans="1:8" ht="12.75">
      <c r="A50" s="26" t="s">
        <v>935</v>
      </c>
      <c r="B50" s="17" t="s">
        <v>1179</v>
      </c>
      <c r="C50" s="17" t="s">
        <v>1180</v>
      </c>
      <c r="D50" s="17" t="s">
        <v>1181</v>
      </c>
      <c r="E50" s="17" t="s">
        <v>15</v>
      </c>
      <c r="F50" s="17" t="s">
        <v>1156</v>
      </c>
      <c r="G50" s="49">
        <v>170</v>
      </c>
      <c r="H50" s="17" t="s">
        <v>55</v>
      </c>
    </row>
    <row r="51" spans="1:8" ht="12.75">
      <c r="A51" s="26" t="s">
        <v>936</v>
      </c>
      <c r="B51" s="17" t="s">
        <v>856</v>
      </c>
      <c r="C51" s="17" t="s">
        <v>857</v>
      </c>
      <c r="D51" s="17" t="s">
        <v>858</v>
      </c>
      <c r="E51" s="52" t="s">
        <v>1231</v>
      </c>
      <c r="F51" s="17" t="s">
        <v>1239</v>
      </c>
      <c r="G51" s="49">
        <v>150</v>
      </c>
      <c r="H51" s="17" t="s">
        <v>335</v>
      </c>
    </row>
    <row r="52" spans="1:8" ht="12.75">
      <c r="A52" s="26" t="s">
        <v>933</v>
      </c>
      <c r="B52" s="17" t="s">
        <v>1176</v>
      </c>
      <c r="C52" s="17" t="s">
        <v>1183</v>
      </c>
      <c r="D52" s="17" t="s">
        <v>1178</v>
      </c>
      <c r="E52" s="52" t="s">
        <v>1241</v>
      </c>
      <c r="F52" s="17" t="s">
        <v>275</v>
      </c>
      <c r="G52" s="49">
        <v>185</v>
      </c>
      <c r="H52" s="17" t="s">
        <v>55</v>
      </c>
    </row>
    <row r="54" spans="2:3" ht="18">
      <c r="B54" s="19" t="s">
        <v>108</v>
      </c>
      <c r="C54" s="19"/>
    </row>
    <row r="55" spans="2:3" ht="15.75">
      <c r="B55" s="20" t="s">
        <v>117</v>
      </c>
      <c r="C55" s="20"/>
    </row>
    <row r="56" spans="2:3" ht="13.5">
      <c r="B56" s="22"/>
      <c r="C56" s="23" t="s">
        <v>209</v>
      </c>
    </row>
    <row r="57" spans="2:5" ht="13.5">
      <c r="B57" s="24" t="s">
        <v>111</v>
      </c>
      <c r="C57" s="24" t="s">
        <v>112</v>
      </c>
      <c r="D57" s="24" t="s">
        <v>113</v>
      </c>
      <c r="E57" s="24" t="s">
        <v>934</v>
      </c>
    </row>
    <row r="58" spans="1:5" ht="12.75">
      <c r="A58" s="28" t="s">
        <v>933</v>
      </c>
      <c r="B58" s="58" t="s">
        <v>1162</v>
      </c>
      <c r="C58" s="46" t="s">
        <v>110</v>
      </c>
      <c r="D58" s="46" t="s">
        <v>118</v>
      </c>
      <c r="E58" s="28" t="s">
        <v>54</v>
      </c>
    </row>
    <row r="59" spans="1:5" ht="12.75">
      <c r="A59" s="28" t="s">
        <v>935</v>
      </c>
      <c r="B59" s="58" t="s">
        <v>1205</v>
      </c>
      <c r="C59" s="46" t="s">
        <v>110</v>
      </c>
      <c r="D59" s="46" t="s">
        <v>118</v>
      </c>
      <c r="E59" s="28" t="s">
        <v>82</v>
      </c>
    </row>
    <row r="60" spans="1:5" ht="12.75">
      <c r="A60" s="28" t="s">
        <v>936</v>
      </c>
      <c r="B60" s="58" t="s">
        <v>1209</v>
      </c>
      <c r="C60" s="46" t="s">
        <v>110</v>
      </c>
      <c r="D60" s="46" t="s">
        <v>118</v>
      </c>
      <c r="E60" s="28" t="s">
        <v>37</v>
      </c>
    </row>
    <row r="62" spans="2:3" ht="15.75">
      <c r="B62" s="20" t="s">
        <v>1407</v>
      </c>
      <c r="C62" s="20"/>
    </row>
    <row r="63" spans="2:3" ht="13.5">
      <c r="B63" s="22"/>
      <c r="C63" s="23" t="s">
        <v>209</v>
      </c>
    </row>
    <row r="64" spans="2:5" ht="13.5">
      <c r="B64" s="24" t="s">
        <v>111</v>
      </c>
      <c r="C64" s="24" t="s">
        <v>112</v>
      </c>
      <c r="D64" s="24" t="s">
        <v>113</v>
      </c>
      <c r="E64" s="24" t="s">
        <v>934</v>
      </c>
    </row>
    <row r="65" spans="1:5" ht="12.75">
      <c r="A65" s="28" t="s">
        <v>933</v>
      </c>
      <c r="B65" s="57" t="s">
        <v>1176</v>
      </c>
      <c r="C65" s="46" t="s">
        <v>1408</v>
      </c>
      <c r="D65" s="46" t="s">
        <v>1409</v>
      </c>
      <c r="E65" s="28" t="s">
        <v>90</v>
      </c>
    </row>
    <row r="66" spans="1:5" ht="12.75">
      <c r="A66" s="28" t="s">
        <v>935</v>
      </c>
      <c r="B66" s="58" t="s">
        <v>1212</v>
      </c>
      <c r="C66" s="46" t="s">
        <v>1408</v>
      </c>
      <c r="D66" s="46" t="s">
        <v>1410</v>
      </c>
      <c r="E66" s="28" t="s">
        <v>31</v>
      </c>
    </row>
    <row r="67" spans="1:5" ht="12.75">
      <c r="A67" s="28" t="s">
        <v>936</v>
      </c>
      <c r="B67" s="58" t="s">
        <v>1198</v>
      </c>
      <c r="C67" s="46" t="s">
        <v>1408</v>
      </c>
      <c r="D67" s="46" t="s">
        <v>1411</v>
      </c>
      <c r="E67" s="28" t="s">
        <v>18</v>
      </c>
    </row>
  </sheetData>
  <sheetProtection/>
  <mergeCells count="18">
    <mergeCell ref="B40:G40"/>
    <mergeCell ref="B48:G48"/>
    <mergeCell ref="G3:G4"/>
    <mergeCell ref="H3:H4"/>
    <mergeCell ref="B5:G5"/>
    <mergeCell ref="B8:G8"/>
    <mergeCell ref="B12:G12"/>
    <mergeCell ref="B3:B4"/>
    <mergeCell ref="C3:C4"/>
    <mergeCell ref="D3:D4"/>
    <mergeCell ref="B1:H2"/>
    <mergeCell ref="A3:A4"/>
    <mergeCell ref="B15:G15"/>
    <mergeCell ref="B20:G20"/>
    <mergeCell ref="B23:G23"/>
    <mergeCell ref="B30:G30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V16"/>
  <sheetViews>
    <sheetView workbookViewId="0" topLeftCell="A2">
      <selection activeCell="C39" sqref="C39"/>
    </sheetView>
  </sheetViews>
  <sheetFormatPr defaultColWidth="8.75390625" defaultRowHeight="12.75"/>
  <cols>
    <col min="1" max="1" width="7.875" style="28" bestFit="1" customWidth="1"/>
    <col min="2" max="2" width="20.625" style="16" customWidth="1"/>
    <col min="3" max="3" width="26.00390625" style="16" bestFit="1" customWidth="1"/>
    <col min="4" max="4" width="10.625" style="16" bestFit="1" customWidth="1"/>
    <col min="5" max="5" width="8.375" style="16" bestFit="1" customWidth="1"/>
    <col min="6" max="6" width="11.00390625" style="16" customWidth="1"/>
    <col min="7" max="7" width="30.00390625" style="16" customWidth="1"/>
    <col min="8" max="10" width="5.625" style="28" bestFit="1" customWidth="1"/>
    <col min="11" max="11" width="5.125" style="28" bestFit="1" customWidth="1"/>
    <col min="12" max="14" width="5.625" style="28" bestFit="1" customWidth="1"/>
    <col min="15" max="15" width="5.125" style="28" bestFit="1" customWidth="1"/>
    <col min="16" max="18" width="5.625" style="28" bestFit="1" customWidth="1"/>
    <col min="19" max="19" width="5.125" style="28" bestFit="1" customWidth="1"/>
    <col min="20" max="20" width="9.25390625" style="28" bestFit="1" customWidth="1"/>
    <col min="21" max="21" width="8.625" style="28" bestFit="1" customWidth="1"/>
    <col min="22" max="22" width="18.875" style="16" customWidth="1"/>
  </cols>
  <sheetData>
    <row r="1" spans="2:22" s="1" customFormat="1" ht="15" customHeight="1">
      <c r="B1" s="86" t="s">
        <v>1292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102"/>
    </row>
    <row r="2" spans="2:22" s="1" customFormat="1" ht="124.5" customHeight="1" thickBot="1">
      <c r="B2" s="88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103"/>
    </row>
    <row r="3" spans="1:22" s="4" customFormat="1" ht="12.75" customHeight="1">
      <c r="A3" s="98" t="s">
        <v>932</v>
      </c>
      <c r="B3" s="90" t="s">
        <v>0</v>
      </c>
      <c r="C3" s="92" t="s">
        <v>1</v>
      </c>
      <c r="D3" s="92" t="s">
        <v>1226</v>
      </c>
      <c r="E3" s="94" t="s">
        <v>11</v>
      </c>
      <c r="F3" s="94" t="s">
        <v>2</v>
      </c>
      <c r="G3" s="94" t="s">
        <v>1227</v>
      </c>
      <c r="H3" s="94" t="s">
        <v>4</v>
      </c>
      <c r="I3" s="94"/>
      <c r="J3" s="94"/>
      <c r="K3" s="94"/>
      <c r="L3" s="94" t="s">
        <v>5</v>
      </c>
      <c r="M3" s="94"/>
      <c r="N3" s="94"/>
      <c r="O3" s="94"/>
      <c r="P3" s="94" t="s">
        <v>6</v>
      </c>
      <c r="Q3" s="94"/>
      <c r="R3" s="94"/>
      <c r="S3" s="94"/>
      <c r="T3" s="90" t="s">
        <v>8</v>
      </c>
      <c r="U3" s="94" t="s">
        <v>9</v>
      </c>
      <c r="V3" s="100" t="s">
        <v>10</v>
      </c>
    </row>
    <row r="4" spans="1:22" s="4" customFormat="1" ht="23.25" customHeight="1" thickBot="1">
      <c r="A4" s="99"/>
      <c r="B4" s="91"/>
      <c r="C4" s="93"/>
      <c r="D4" s="93"/>
      <c r="E4" s="93"/>
      <c r="F4" s="93"/>
      <c r="G4" s="93"/>
      <c r="H4" s="7">
        <v>1</v>
      </c>
      <c r="I4" s="7">
        <v>2</v>
      </c>
      <c r="J4" s="7">
        <v>3</v>
      </c>
      <c r="K4" s="7" t="s">
        <v>7</v>
      </c>
      <c r="L4" s="7">
        <v>1</v>
      </c>
      <c r="M4" s="7">
        <v>2</v>
      </c>
      <c r="N4" s="7">
        <v>3</v>
      </c>
      <c r="O4" s="7" t="s">
        <v>7</v>
      </c>
      <c r="P4" s="7">
        <v>1</v>
      </c>
      <c r="Q4" s="7">
        <v>2</v>
      </c>
      <c r="R4" s="7">
        <v>3</v>
      </c>
      <c r="S4" s="7" t="s">
        <v>7</v>
      </c>
      <c r="T4" s="91"/>
      <c r="U4" s="93"/>
      <c r="V4" s="101"/>
    </row>
    <row r="5" spans="1:21" ht="15.75">
      <c r="A5"/>
      <c r="B5" s="104" t="s">
        <v>158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</row>
    <row r="6" spans="1:22" ht="12.75">
      <c r="A6" s="26" t="s">
        <v>933</v>
      </c>
      <c r="B6" s="17" t="s">
        <v>291</v>
      </c>
      <c r="C6" s="17" t="s">
        <v>292</v>
      </c>
      <c r="D6" s="17" t="s">
        <v>293</v>
      </c>
      <c r="E6" s="17" t="str">
        <f>"0,9070"</f>
        <v>0,9070</v>
      </c>
      <c r="F6" s="17" t="s">
        <v>15</v>
      </c>
      <c r="G6" s="17" t="s">
        <v>1247</v>
      </c>
      <c r="H6" s="29" t="s">
        <v>172</v>
      </c>
      <c r="I6" s="30" t="s">
        <v>187</v>
      </c>
      <c r="J6" s="29" t="s">
        <v>196</v>
      </c>
      <c r="K6" s="27"/>
      <c r="L6" s="29" t="s">
        <v>146</v>
      </c>
      <c r="M6" s="30" t="s">
        <v>147</v>
      </c>
      <c r="N6" s="29" t="s">
        <v>147</v>
      </c>
      <c r="O6" s="27"/>
      <c r="P6" s="29" t="s">
        <v>182</v>
      </c>
      <c r="Q6" s="30" t="s">
        <v>294</v>
      </c>
      <c r="R6" s="29" t="s">
        <v>150</v>
      </c>
      <c r="S6" s="27"/>
      <c r="T6" s="49">
        <v>330</v>
      </c>
      <c r="U6" s="26" t="str">
        <f>"299,3100"</f>
        <v>299,3100</v>
      </c>
      <c r="V6" s="17" t="s">
        <v>252</v>
      </c>
    </row>
    <row r="8" spans="1:21" ht="15.75">
      <c r="A8"/>
      <c r="B8" s="97" t="s">
        <v>12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</row>
    <row r="9" spans="1:22" ht="12.75">
      <c r="A9" s="26" t="s">
        <v>933</v>
      </c>
      <c r="B9" s="17" t="s">
        <v>1303</v>
      </c>
      <c r="C9" s="17" t="s">
        <v>295</v>
      </c>
      <c r="D9" s="17" t="s">
        <v>296</v>
      </c>
      <c r="E9" s="17" t="str">
        <f>"0,6529"</f>
        <v>0,6529</v>
      </c>
      <c r="F9" s="52" t="s">
        <v>51</v>
      </c>
      <c r="G9" s="17" t="s">
        <v>73</v>
      </c>
      <c r="H9" s="29" t="s">
        <v>67</v>
      </c>
      <c r="I9" s="30" t="s">
        <v>25</v>
      </c>
      <c r="J9" s="30" t="s">
        <v>25</v>
      </c>
      <c r="K9" s="27"/>
      <c r="L9" s="29" t="s">
        <v>203</v>
      </c>
      <c r="M9" s="29" t="s">
        <v>44</v>
      </c>
      <c r="N9" s="29" t="s">
        <v>45</v>
      </c>
      <c r="O9" s="27"/>
      <c r="P9" s="29" t="s">
        <v>17</v>
      </c>
      <c r="Q9" s="29" t="s">
        <v>52</v>
      </c>
      <c r="R9" s="29" t="s">
        <v>23</v>
      </c>
      <c r="S9" s="27"/>
      <c r="T9" s="49">
        <v>460</v>
      </c>
      <c r="U9" s="26" t="str">
        <f>"300,3340"</f>
        <v>300,3340</v>
      </c>
      <c r="V9" s="17" t="s">
        <v>297</v>
      </c>
    </row>
    <row r="11" spans="1:21" ht="15.75">
      <c r="A11"/>
      <c r="B11" s="97" t="s">
        <v>61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</row>
    <row r="12" spans="1:22" ht="12.75">
      <c r="A12" s="26" t="s">
        <v>933</v>
      </c>
      <c r="B12" s="17" t="s">
        <v>1304</v>
      </c>
      <c r="C12" s="17" t="s">
        <v>298</v>
      </c>
      <c r="D12" s="17" t="s">
        <v>299</v>
      </c>
      <c r="E12" s="17" t="str">
        <f>"0,6181"</f>
        <v>0,6181</v>
      </c>
      <c r="F12" s="17" t="s">
        <v>15</v>
      </c>
      <c r="G12" s="17" t="s">
        <v>1247</v>
      </c>
      <c r="H12" s="30" t="s">
        <v>32</v>
      </c>
      <c r="I12" s="30" t="s">
        <v>32</v>
      </c>
      <c r="J12" s="29" t="s">
        <v>82</v>
      </c>
      <c r="K12" s="27"/>
      <c r="L12" s="29" t="s">
        <v>144</v>
      </c>
      <c r="M12" s="29" t="s">
        <v>145</v>
      </c>
      <c r="N12" s="29" t="s">
        <v>45</v>
      </c>
      <c r="O12" s="27"/>
      <c r="P12" s="29" t="s">
        <v>37</v>
      </c>
      <c r="Q12" s="30" t="s">
        <v>66</v>
      </c>
      <c r="R12" s="30" t="s">
        <v>66</v>
      </c>
      <c r="S12" s="27"/>
      <c r="T12" s="49">
        <v>527.5</v>
      </c>
      <c r="U12" s="26" t="str">
        <f>"326,0477"</f>
        <v>326,0477</v>
      </c>
      <c r="V12" s="17" t="s">
        <v>55</v>
      </c>
    </row>
    <row r="14" spans="1:21" ht="15.75">
      <c r="A14"/>
      <c r="B14" s="97" t="s">
        <v>87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</row>
    <row r="15" spans="1:22" ht="12.75">
      <c r="A15" s="26"/>
      <c r="B15" s="17" t="s">
        <v>300</v>
      </c>
      <c r="C15" s="17" t="s">
        <v>301</v>
      </c>
      <c r="D15" s="17" t="s">
        <v>302</v>
      </c>
      <c r="E15" s="17" t="str">
        <f>"0,5891"</f>
        <v>0,5891</v>
      </c>
      <c r="F15" s="17" t="s">
        <v>15</v>
      </c>
      <c r="G15" s="17" t="s">
        <v>1247</v>
      </c>
      <c r="H15" s="30" t="s">
        <v>75</v>
      </c>
      <c r="I15" s="30" t="s">
        <v>38</v>
      </c>
      <c r="J15" s="30" t="s">
        <v>66</v>
      </c>
      <c r="K15" s="27"/>
      <c r="L15" s="27" t="s">
        <v>209</v>
      </c>
      <c r="M15" s="27"/>
      <c r="N15" s="27"/>
      <c r="O15" s="27"/>
      <c r="P15" s="27" t="s">
        <v>209</v>
      </c>
      <c r="Q15" s="27"/>
      <c r="R15" s="27"/>
      <c r="S15" s="27"/>
      <c r="T15" s="49">
        <v>0</v>
      </c>
      <c r="U15" s="26" t="str">
        <f>"0,0000"</f>
        <v>0,0000</v>
      </c>
      <c r="V15" s="17" t="s">
        <v>55</v>
      </c>
    </row>
    <row r="16" spans="1:22" ht="12.75">
      <c r="A16" s="26" t="s">
        <v>933</v>
      </c>
      <c r="B16" s="17" t="s">
        <v>1305</v>
      </c>
      <c r="C16" s="17" t="s">
        <v>303</v>
      </c>
      <c r="D16" s="17" t="s">
        <v>304</v>
      </c>
      <c r="E16" s="17" t="str">
        <f>"0,5919"</f>
        <v>0,5919</v>
      </c>
      <c r="F16" s="17" t="s">
        <v>15</v>
      </c>
      <c r="G16" s="17" t="s">
        <v>1247</v>
      </c>
      <c r="H16" s="29" t="s">
        <v>75</v>
      </c>
      <c r="I16" s="29" t="s">
        <v>66</v>
      </c>
      <c r="J16" s="29" t="s">
        <v>305</v>
      </c>
      <c r="K16" s="27"/>
      <c r="L16" s="29" t="s">
        <v>208</v>
      </c>
      <c r="M16" s="29" t="s">
        <v>149</v>
      </c>
      <c r="N16" s="29" t="s">
        <v>150</v>
      </c>
      <c r="O16" s="27"/>
      <c r="P16" s="29" t="s">
        <v>37</v>
      </c>
      <c r="Q16" s="30" t="s">
        <v>74</v>
      </c>
      <c r="R16" s="29" t="s">
        <v>74</v>
      </c>
      <c r="S16" s="27"/>
      <c r="T16" s="49">
        <v>582.5</v>
      </c>
      <c r="U16" s="26" t="str">
        <f>"344,8109"</f>
        <v>344,8109</v>
      </c>
      <c r="V16" s="17" t="s">
        <v>55</v>
      </c>
    </row>
  </sheetData>
  <sheetProtection/>
  <mergeCells count="18">
    <mergeCell ref="B14:U14"/>
    <mergeCell ref="A3:A4"/>
    <mergeCell ref="T3:T4"/>
    <mergeCell ref="U3:U4"/>
    <mergeCell ref="V3:V4"/>
    <mergeCell ref="B5:U5"/>
    <mergeCell ref="B8:U8"/>
    <mergeCell ref="B11:U11"/>
    <mergeCell ref="B1:V2"/>
    <mergeCell ref="B3:B4"/>
    <mergeCell ref="C3:C4"/>
    <mergeCell ref="D3:D4"/>
    <mergeCell ref="E3:E4"/>
    <mergeCell ref="F3:F4"/>
    <mergeCell ref="G3:G4"/>
    <mergeCell ref="H3:K3"/>
    <mergeCell ref="L3:O3"/>
    <mergeCell ref="P3:S3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V36"/>
  <sheetViews>
    <sheetView workbookViewId="0" topLeftCell="A4">
      <selection activeCell="X10" sqref="X10"/>
    </sheetView>
  </sheetViews>
  <sheetFormatPr defaultColWidth="8.75390625" defaultRowHeight="12.75"/>
  <cols>
    <col min="1" max="1" width="7.875" style="28" bestFit="1" customWidth="1"/>
    <col min="2" max="2" width="23.875" style="16" customWidth="1"/>
    <col min="3" max="3" width="26.875" style="16" bestFit="1" customWidth="1"/>
    <col min="4" max="4" width="10.625" style="16" bestFit="1" customWidth="1"/>
    <col min="5" max="5" width="8.375" style="16" bestFit="1" customWidth="1"/>
    <col min="6" max="6" width="11.25390625" style="16" customWidth="1"/>
    <col min="7" max="7" width="29.25390625" style="16" customWidth="1"/>
    <col min="8" max="10" width="5.625" style="28" bestFit="1" customWidth="1"/>
    <col min="11" max="11" width="5.125" style="28" bestFit="1" customWidth="1"/>
    <col min="12" max="14" width="5.625" style="28" bestFit="1" customWidth="1"/>
    <col min="15" max="15" width="5.125" style="28" bestFit="1" customWidth="1"/>
    <col min="16" max="18" width="5.625" style="28" bestFit="1" customWidth="1"/>
    <col min="19" max="19" width="5.125" style="28" bestFit="1" customWidth="1"/>
    <col min="20" max="20" width="9.25390625" style="28" bestFit="1" customWidth="1"/>
    <col min="21" max="21" width="8.625" style="28" bestFit="1" customWidth="1"/>
    <col min="22" max="22" width="15.875" style="16" bestFit="1" customWidth="1"/>
  </cols>
  <sheetData>
    <row r="1" spans="2:22" s="1" customFormat="1" ht="15" customHeight="1">
      <c r="B1" s="86" t="s">
        <v>1292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102"/>
    </row>
    <row r="2" spans="2:22" s="1" customFormat="1" ht="102.75" customHeight="1" thickBot="1">
      <c r="B2" s="88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103"/>
    </row>
    <row r="3" spans="1:22" s="4" customFormat="1" ht="12.75" customHeight="1">
      <c r="A3" s="98" t="s">
        <v>932</v>
      </c>
      <c r="B3" s="90" t="s">
        <v>0</v>
      </c>
      <c r="C3" s="92" t="s">
        <v>1</v>
      </c>
      <c r="D3" s="92" t="s">
        <v>1226</v>
      </c>
      <c r="E3" s="94" t="s">
        <v>11</v>
      </c>
      <c r="F3" s="94" t="s">
        <v>2</v>
      </c>
      <c r="G3" s="94" t="s">
        <v>1227</v>
      </c>
      <c r="H3" s="94" t="s">
        <v>4</v>
      </c>
      <c r="I3" s="94"/>
      <c r="J3" s="94"/>
      <c r="K3" s="94"/>
      <c r="L3" s="94" t="s">
        <v>5</v>
      </c>
      <c r="M3" s="94"/>
      <c r="N3" s="94"/>
      <c r="O3" s="94"/>
      <c r="P3" s="94" t="s">
        <v>6</v>
      </c>
      <c r="Q3" s="94"/>
      <c r="R3" s="94"/>
      <c r="S3" s="94"/>
      <c r="T3" s="90" t="s">
        <v>8</v>
      </c>
      <c r="U3" s="94" t="s">
        <v>9</v>
      </c>
      <c r="V3" s="100" t="s">
        <v>10</v>
      </c>
    </row>
    <row r="4" spans="1:22" s="4" customFormat="1" ht="23.25" customHeight="1" thickBot="1">
      <c r="A4" s="99"/>
      <c r="B4" s="91"/>
      <c r="C4" s="93"/>
      <c r="D4" s="93"/>
      <c r="E4" s="93"/>
      <c r="F4" s="93"/>
      <c r="G4" s="93"/>
      <c r="H4" s="7">
        <v>1</v>
      </c>
      <c r="I4" s="7">
        <v>2</v>
      </c>
      <c r="J4" s="7">
        <v>3</v>
      </c>
      <c r="K4" s="7" t="s">
        <v>7</v>
      </c>
      <c r="L4" s="7">
        <v>1</v>
      </c>
      <c r="M4" s="7">
        <v>2</v>
      </c>
      <c r="N4" s="7">
        <v>3</v>
      </c>
      <c r="O4" s="7" t="s">
        <v>7</v>
      </c>
      <c r="P4" s="7">
        <v>1</v>
      </c>
      <c r="Q4" s="7">
        <v>2</v>
      </c>
      <c r="R4" s="7">
        <v>3</v>
      </c>
      <c r="S4" s="7" t="s">
        <v>7</v>
      </c>
      <c r="T4" s="91"/>
      <c r="U4" s="93"/>
      <c r="V4" s="101"/>
    </row>
    <row r="5" spans="1:21" ht="15.75">
      <c r="A5"/>
      <c r="B5" s="104" t="s">
        <v>27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</row>
    <row r="6" spans="1:22" ht="12.75">
      <c r="A6" s="26"/>
      <c r="B6" s="17" t="s">
        <v>236</v>
      </c>
      <c r="C6" s="17" t="s">
        <v>237</v>
      </c>
      <c r="D6" s="17" t="s">
        <v>238</v>
      </c>
      <c r="E6" s="17" t="str">
        <f>"0,8383"</f>
        <v>0,8383</v>
      </c>
      <c r="F6" s="17" t="s">
        <v>15</v>
      </c>
      <c r="G6" s="17" t="s">
        <v>195</v>
      </c>
      <c r="H6" s="29" t="s">
        <v>67</v>
      </c>
      <c r="I6" s="30" t="s">
        <v>90</v>
      </c>
      <c r="J6" s="29" t="s">
        <v>90</v>
      </c>
      <c r="K6" s="27"/>
      <c r="L6" s="30" t="s">
        <v>164</v>
      </c>
      <c r="M6" s="30" t="s">
        <v>164</v>
      </c>
      <c r="N6" s="30" t="s">
        <v>164</v>
      </c>
      <c r="O6" s="30"/>
      <c r="P6" s="27" t="s">
        <v>209</v>
      </c>
      <c r="Q6" s="30"/>
      <c r="R6" s="30"/>
      <c r="S6" s="30"/>
      <c r="T6" s="49">
        <v>0</v>
      </c>
      <c r="U6" s="26" t="str">
        <f>"0,0000"</f>
        <v>0,0000</v>
      </c>
      <c r="V6" s="17" t="s">
        <v>239</v>
      </c>
    </row>
    <row r="8" spans="1:21" ht="15.75">
      <c r="A8"/>
      <c r="B8" s="97" t="s">
        <v>12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</row>
    <row r="9" spans="1:22" ht="12.75">
      <c r="A9" s="26" t="s">
        <v>933</v>
      </c>
      <c r="B9" s="17" t="s">
        <v>1293</v>
      </c>
      <c r="C9" s="17" t="s">
        <v>240</v>
      </c>
      <c r="D9" s="17" t="s">
        <v>241</v>
      </c>
      <c r="E9" s="17" t="str">
        <f>"0,6451"</f>
        <v>0,6451</v>
      </c>
      <c r="F9" s="17" t="s">
        <v>15</v>
      </c>
      <c r="G9" s="17" t="s">
        <v>242</v>
      </c>
      <c r="H9" s="30" t="s">
        <v>37</v>
      </c>
      <c r="I9" s="30" t="s">
        <v>75</v>
      </c>
      <c r="J9" s="29" t="s">
        <v>75</v>
      </c>
      <c r="K9" s="27"/>
      <c r="L9" s="29" t="s">
        <v>196</v>
      </c>
      <c r="M9" s="29" t="s">
        <v>182</v>
      </c>
      <c r="N9" s="29" t="s">
        <v>149</v>
      </c>
      <c r="O9" s="27"/>
      <c r="P9" s="29" t="s">
        <v>91</v>
      </c>
      <c r="Q9" s="29" t="s">
        <v>83</v>
      </c>
      <c r="R9" s="30" t="s">
        <v>103</v>
      </c>
      <c r="S9" s="27"/>
      <c r="T9" s="49">
        <v>610</v>
      </c>
      <c r="U9" s="26" t="str">
        <f>"393,5110"</f>
        <v>393,5110</v>
      </c>
      <c r="V9" s="17" t="s">
        <v>55</v>
      </c>
    </row>
    <row r="11" spans="1:21" ht="15.75">
      <c r="A11"/>
      <c r="B11" s="97" t="s">
        <v>61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</row>
    <row r="12" spans="1:22" ht="12.75">
      <c r="A12" s="26" t="s">
        <v>933</v>
      </c>
      <c r="B12" s="17" t="s">
        <v>243</v>
      </c>
      <c r="C12" s="17" t="s">
        <v>244</v>
      </c>
      <c r="D12" s="17" t="s">
        <v>245</v>
      </c>
      <c r="E12" s="17" t="str">
        <f>"0,6141"</f>
        <v>0,6141</v>
      </c>
      <c r="F12" s="17" t="s">
        <v>15</v>
      </c>
      <c r="G12" s="17" t="s">
        <v>1239</v>
      </c>
      <c r="H12" s="29" t="s">
        <v>92</v>
      </c>
      <c r="I12" s="29" t="s">
        <v>246</v>
      </c>
      <c r="J12" s="29" t="s">
        <v>247</v>
      </c>
      <c r="K12" s="27"/>
      <c r="L12" s="29" t="s">
        <v>36</v>
      </c>
      <c r="M12" s="29" t="s">
        <v>18</v>
      </c>
      <c r="N12" s="29" t="s">
        <v>19</v>
      </c>
      <c r="O12" s="27"/>
      <c r="P12" s="29" t="s">
        <v>91</v>
      </c>
      <c r="Q12" s="29" t="s">
        <v>96</v>
      </c>
      <c r="R12" s="27"/>
      <c r="S12" s="27"/>
      <c r="T12" s="49">
        <v>677.5</v>
      </c>
      <c r="U12" s="26" t="str">
        <f>"416,0866"</f>
        <v>416,0866</v>
      </c>
      <c r="V12" s="17" t="s">
        <v>55</v>
      </c>
    </row>
    <row r="14" spans="1:21" ht="15.75">
      <c r="A14"/>
      <c r="B14" s="97" t="s">
        <v>87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</row>
    <row r="15" spans="1:22" ht="12.75">
      <c r="A15" s="26" t="s">
        <v>933</v>
      </c>
      <c r="B15" s="17" t="s">
        <v>1294</v>
      </c>
      <c r="C15" s="17" t="s">
        <v>248</v>
      </c>
      <c r="D15" s="17" t="s">
        <v>249</v>
      </c>
      <c r="E15" s="17" t="str">
        <f>"0,5825"</f>
        <v>0,5825</v>
      </c>
      <c r="F15" s="17" t="s">
        <v>15</v>
      </c>
      <c r="G15" s="17" t="s">
        <v>1239</v>
      </c>
      <c r="H15" s="30" t="s">
        <v>105</v>
      </c>
      <c r="I15" s="29" t="s">
        <v>105</v>
      </c>
      <c r="J15" s="30" t="s">
        <v>250</v>
      </c>
      <c r="K15" s="27"/>
      <c r="L15" s="29" t="s">
        <v>90</v>
      </c>
      <c r="M15" s="29" t="s">
        <v>33</v>
      </c>
      <c r="N15" s="30" t="s">
        <v>37</v>
      </c>
      <c r="O15" s="27"/>
      <c r="P15" s="29" t="s">
        <v>68</v>
      </c>
      <c r="Q15" s="30" t="s">
        <v>251</v>
      </c>
      <c r="R15" s="30" t="s">
        <v>251</v>
      </c>
      <c r="S15" s="27"/>
      <c r="T15" s="49">
        <v>757.5</v>
      </c>
      <c r="U15" s="26" t="str">
        <f>"441,2816"</f>
        <v>441,2816</v>
      </c>
      <c r="V15" s="17" t="s">
        <v>252</v>
      </c>
    </row>
    <row r="16" spans="1:22" ht="12.75">
      <c r="A16" s="26" t="s">
        <v>933</v>
      </c>
      <c r="B16" s="17" t="s">
        <v>1295</v>
      </c>
      <c r="C16" s="17" t="s">
        <v>254</v>
      </c>
      <c r="D16" s="17" t="s">
        <v>255</v>
      </c>
      <c r="E16" s="17" t="str">
        <f>"0,5882"</f>
        <v>0,5882</v>
      </c>
      <c r="F16" s="17" t="s">
        <v>15</v>
      </c>
      <c r="G16" s="17" t="s">
        <v>256</v>
      </c>
      <c r="H16" s="29" t="s">
        <v>257</v>
      </c>
      <c r="I16" s="30" t="s">
        <v>258</v>
      </c>
      <c r="J16" s="29" t="s">
        <v>258</v>
      </c>
      <c r="K16" s="27"/>
      <c r="L16" s="29" t="s">
        <v>42</v>
      </c>
      <c r="M16" s="29" t="s">
        <v>32</v>
      </c>
      <c r="N16" s="29" t="s">
        <v>259</v>
      </c>
      <c r="O16" s="27"/>
      <c r="P16" s="29" t="s">
        <v>68</v>
      </c>
      <c r="Q16" s="29" t="s">
        <v>105</v>
      </c>
      <c r="R16" s="29" t="s">
        <v>260</v>
      </c>
      <c r="S16" s="27"/>
      <c r="T16" s="49">
        <v>840</v>
      </c>
      <c r="U16" s="26" t="str">
        <f>"494,1300"</f>
        <v>494,1300</v>
      </c>
      <c r="V16" s="17" t="s">
        <v>1440</v>
      </c>
    </row>
    <row r="18" spans="1:21" ht="15.75">
      <c r="A18"/>
      <c r="B18" s="97" t="s">
        <v>93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</row>
    <row r="19" spans="1:22" ht="12.75">
      <c r="A19" s="26" t="s">
        <v>933</v>
      </c>
      <c r="B19" s="17" t="s">
        <v>173</v>
      </c>
      <c r="C19" s="17" t="s">
        <v>262</v>
      </c>
      <c r="D19" s="17" t="s">
        <v>263</v>
      </c>
      <c r="E19" s="17" t="str">
        <f>"0,5683"</f>
        <v>0,5683</v>
      </c>
      <c r="F19" s="17" t="s">
        <v>168</v>
      </c>
      <c r="G19" s="17" t="s">
        <v>1239</v>
      </c>
      <c r="H19" s="29" t="s">
        <v>96</v>
      </c>
      <c r="I19" s="29" t="s">
        <v>197</v>
      </c>
      <c r="J19" s="29" t="s">
        <v>68</v>
      </c>
      <c r="K19" s="27"/>
      <c r="L19" s="29" t="s">
        <v>42</v>
      </c>
      <c r="M19" s="29" t="s">
        <v>31</v>
      </c>
      <c r="N19" s="30" t="s">
        <v>25</v>
      </c>
      <c r="O19" s="27"/>
      <c r="P19" s="29" t="s">
        <v>264</v>
      </c>
      <c r="Q19" s="30" t="s">
        <v>104</v>
      </c>
      <c r="R19" s="30" t="s">
        <v>104</v>
      </c>
      <c r="S19" s="27"/>
      <c r="T19" s="49">
        <v>735</v>
      </c>
      <c r="U19" s="26" t="str">
        <f>"417,7005"</f>
        <v>417,7005</v>
      </c>
      <c r="V19" s="17" t="s">
        <v>55</v>
      </c>
    </row>
    <row r="20" spans="1:22" ht="12.75">
      <c r="A20" s="26" t="s">
        <v>935</v>
      </c>
      <c r="B20" s="17" t="s">
        <v>1296</v>
      </c>
      <c r="C20" s="17" t="s">
        <v>265</v>
      </c>
      <c r="D20" s="17" t="s">
        <v>266</v>
      </c>
      <c r="E20" s="17" t="str">
        <f>"0,5681"</f>
        <v>0,5681</v>
      </c>
      <c r="F20" s="17" t="s">
        <v>1301</v>
      </c>
      <c r="G20" s="17" t="s">
        <v>1239</v>
      </c>
      <c r="H20" s="29" t="s">
        <v>82</v>
      </c>
      <c r="I20" s="29" t="s">
        <v>66</v>
      </c>
      <c r="J20" s="29" t="s">
        <v>91</v>
      </c>
      <c r="K20" s="27"/>
      <c r="L20" s="29" t="s">
        <v>18</v>
      </c>
      <c r="M20" s="29" t="s">
        <v>67</v>
      </c>
      <c r="N20" s="30" t="s">
        <v>42</v>
      </c>
      <c r="O20" s="27"/>
      <c r="P20" s="29" t="s">
        <v>38</v>
      </c>
      <c r="Q20" s="30" t="s">
        <v>78</v>
      </c>
      <c r="R20" s="29" t="s">
        <v>78</v>
      </c>
      <c r="S20" s="27"/>
      <c r="T20" s="49">
        <v>645</v>
      </c>
      <c r="U20" s="26" t="str">
        <f>"366,4245"</f>
        <v>366,4245</v>
      </c>
      <c r="V20" s="17" t="s">
        <v>1302</v>
      </c>
    </row>
    <row r="21" spans="1:22" ht="12.75">
      <c r="A21" s="26" t="s">
        <v>933</v>
      </c>
      <c r="B21" s="17" t="s">
        <v>1297</v>
      </c>
      <c r="C21" s="17" t="s">
        <v>268</v>
      </c>
      <c r="D21" s="17" t="s">
        <v>269</v>
      </c>
      <c r="E21" s="17" t="str">
        <f>"0,5640"</f>
        <v>0,5640</v>
      </c>
      <c r="F21" s="17" t="s">
        <v>15</v>
      </c>
      <c r="G21" s="17" t="s">
        <v>270</v>
      </c>
      <c r="H21" s="29" t="s">
        <v>67</v>
      </c>
      <c r="I21" s="29" t="s">
        <v>90</v>
      </c>
      <c r="J21" s="29" t="s">
        <v>33</v>
      </c>
      <c r="K21" s="27"/>
      <c r="L21" s="29" t="s">
        <v>34</v>
      </c>
      <c r="M21" s="29" t="s">
        <v>271</v>
      </c>
      <c r="N21" s="30" t="s">
        <v>202</v>
      </c>
      <c r="O21" s="27"/>
      <c r="P21" s="29" t="s">
        <v>96</v>
      </c>
      <c r="Q21" s="29" t="s">
        <v>103</v>
      </c>
      <c r="R21" s="30" t="s">
        <v>264</v>
      </c>
      <c r="S21" s="27"/>
      <c r="T21" s="49">
        <v>610</v>
      </c>
      <c r="U21" s="26" t="str">
        <f>"362,9300"</f>
        <v>362,9300</v>
      </c>
      <c r="V21" s="17" t="s">
        <v>272</v>
      </c>
    </row>
    <row r="23" spans="1:21" ht="15.75">
      <c r="A23"/>
      <c r="B23" s="97" t="s">
        <v>98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</row>
    <row r="24" spans="1:22" ht="12.75">
      <c r="A24" s="26" t="s">
        <v>933</v>
      </c>
      <c r="B24" s="17" t="s">
        <v>1298</v>
      </c>
      <c r="C24" s="17" t="s">
        <v>273</v>
      </c>
      <c r="D24" s="17" t="s">
        <v>274</v>
      </c>
      <c r="E24" s="17" t="str">
        <f>"0,5562"</f>
        <v>0,5562</v>
      </c>
      <c r="F24" s="17" t="s">
        <v>15</v>
      </c>
      <c r="G24" s="17" t="s">
        <v>275</v>
      </c>
      <c r="H24" s="29" t="s">
        <v>78</v>
      </c>
      <c r="I24" s="30" t="s">
        <v>276</v>
      </c>
      <c r="J24" s="30" t="s">
        <v>276</v>
      </c>
      <c r="K24" s="27"/>
      <c r="L24" s="29" t="s">
        <v>19</v>
      </c>
      <c r="M24" s="30" t="s">
        <v>67</v>
      </c>
      <c r="N24" s="30" t="s">
        <v>67</v>
      </c>
      <c r="O24" s="27"/>
      <c r="P24" s="29" t="s">
        <v>91</v>
      </c>
      <c r="Q24" s="29" t="s">
        <v>96</v>
      </c>
      <c r="R24" s="30" t="s">
        <v>246</v>
      </c>
      <c r="S24" s="27"/>
      <c r="T24" s="49">
        <v>650</v>
      </c>
      <c r="U24" s="26" t="str">
        <f>"361,5625"</f>
        <v>361,5625</v>
      </c>
      <c r="V24" s="17" t="s">
        <v>55</v>
      </c>
    </row>
    <row r="25" spans="1:22" ht="12.75">
      <c r="A25" s="26" t="s">
        <v>933</v>
      </c>
      <c r="B25" s="17" t="s">
        <v>1299</v>
      </c>
      <c r="C25" s="17" t="s">
        <v>277</v>
      </c>
      <c r="D25" s="17" t="s">
        <v>278</v>
      </c>
      <c r="E25" s="17" t="str">
        <f>"0,5541"</f>
        <v>0,5541</v>
      </c>
      <c r="F25" s="17" t="s">
        <v>1301</v>
      </c>
      <c r="G25" s="17" t="s">
        <v>1239</v>
      </c>
      <c r="H25" s="29" t="s">
        <v>37</v>
      </c>
      <c r="I25" s="29" t="s">
        <v>75</v>
      </c>
      <c r="J25" s="30" t="s">
        <v>77</v>
      </c>
      <c r="K25" s="27"/>
      <c r="L25" s="29" t="s">
        <v>19</v>
      </c>
      <c r="M25" s="29" t="s">
        <v>42</v>
      </c>
      <c r="N25" s="30" t="s">
        <v>90</v>
      </c>
      <c r="O25" s="27"/>
      <c r="P25" s="29" t="s">
        <v>91</v>
      </c>
      <c r="Q25" s="29" t="s">
        <v>96</v>
      </c>
      <c r="R25" s="29" t="s">
        <v>83</v>
      </c>
      <c r="S25" s="27"/>
      <c r="T25" s="49">
        <v>650</v>
      </c>
      <c r="U25" s="26" t="str">
        <f>"360,1975"</f>
        <v>360,1975</v>
      </c>
      <c r="V25" s="17" t="s">
        <v>1302</v>
      </c>
    </row>
    <row r="27" spans="1:21" ht="15.75">
      <c r="A27"/>
      <c r="B27" s="97" t="s">
        <v>279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</row>
    <row r="28" spans="1:22" ht="12.75">
      <c r="A28" s="26" t="s">
        <v>933</v>
      </c>
      <c r="B28" s="17" t="s">
        <v>1300</v>
      </c>
      <c r="C28" s="17" t="s">
        <v>280</v>
      </c>
      <c r="D28" s="17" t="s">
        <v>281</v>
      </c>
      <c r="E28" s="17" t="str">
        <f>"0,5433"</f>
        <v>0,5433</v>
      </c>
      <c r="F28" s="17" t="s">
        <v>15</v>
      </c>
      <c r="G28" s="17" t="s">
        <v>282</v>
      </c>
      <c r="H28" s="29" t="s">
        <v>264</v>
      </c>
      <c r="I28" s="29" t="s">
        <v>250</v>
      </c>
      <c r="J28" s="27"/>
      <c r="K28" s="27"/>
      <c r="L28" s="29" t="s">
        <v>18</v>
      </c>
      <c r="M28" s="30" t="s">
        <v>42</v>
      </c>
      <c r="N28" s="30" t="s">
        <v>42</v>
      </c>
      <c r="O28" s="27"/>
      <c r="P28" s="29" t="s">
        <v>96</v>
      </c>
      <c r="Q28" s="29" t="s">
        <v>105</v>
      </c>
      <c r="R28" s="29" t="s">
        <v>106</v>
      </c>
      <c r="S28" s="27"/>
      <c r="T28" s="49">
        <v>775</v>
      </c>
      <c r="U28" s="26" t="str">
        <f>"421,0265"</f>
        <v>421,0265</v>
      </c>
      <c r="V28" s="17" t="s">
        <v>55</v>
      </c>
    </row>
    <row r="30" spans="2:3" ht="18">
      <c r="B30" s="19" t="s">
        <v>108</v>
      </c>
      <c r="C30" s="19"/>
    </row>
    <row r="31" spans="2:3" ht="15.75">
      <c r="B31" s="20" t="s">
        <v>117</v>
      </c>
      <c r="C31" s="20"/>
    </row>
    <row r="32" spans="2:3" ht="13.5">
      <c r="B32" s="22"/>
      <c r="C32" s="23" t="s">
        <v>209</v>
      </c>
    </row>
    <row r="33" spans="2:6" ht="13.5">
      <c r="B33" s="24" t="s">
        <v>111</v>
      </c>
      <c r="C33" s="24" t="s">
        <v>112</v>
      </c>
      <c r="D33" s="24" t="s">
        <v>113</v>
      </c>
      <c r="E33" s="24" t="s">
        <v>114</v>
      </c>
      <c r="F33" s="24" t="s">
        <v>115</v>
      </c>
    </row>
    <row r="34" spans="1:6" ht="12.75">
      <c r="A34" s="28" t="s">
        <v>933</v>
      </c>
      <c r="B34" s="21" t="s">
        <v>253</v>
      </c>
      <c r="C34" s="46" t="s">
        <v>110</v>
      </c>
      <c r="D34" s="46" t="s">
        <v>129</v>
      </c>
      <c r="E34" s="28" t="s">
        <v>283</v>
      </c>
      <c r="F34" s="28" t="s">
        <v>284</v>
      </c>
    </row>
    <row r="35" spans="1:6" ht="12.75">
      <c r="A35" s="28" t="s">
        <v>935</v>
      </c>
      <c r="B35" s="21" t="s">
        <v>261</v>
      </c>
      <c r="C35" s="46" t="s">
        <v>110</v>
      </c>
      <c r="D35" s="46" t="s">
        <v>118</v>
      </c>
      <c r="E35" s="28" t="s">
        <v>285</v>
      </c>
      <c r="F35" s="28" t="s">
        <v>286</v>
      </c>
    </row>
    <row r="36" spans="1:6" ht="12.75">
      <c r="A36" s="28" t="s">
        <v>936</v>
      </c>
      <c r="B36" s="21" t="s">
        <v>243</v>
      </c>
      <c r="C36" s="46" t="s">
        <v>110</v>
      </c>
      <c r="D36" s="46" t="s">
        <v>119</v>
      </c>
      <c r="E36" s="28" t="s">
        <v>287</v>
      </c>
      <c r="F36" s="28" t="s">
        <v>288</v>
      </c>
    </row>
  </sheetData>
  <sheetProtection/>
  <mergeCells count="21">
    <mergeCell ref="B18:U18"/>
    <mergeCell ref="V3:V4"/>
    <mergeCell ref="B27:U27"/>
    <mergeCell ref="A3:A4"/>
    <mergeCell ref="T3:T4"/>
    <mergeCell ref="U3:U4"/>
    <mergeCell ref="G3:G4"/>
    <mergeCell ref="H3:K3"/>
    <mergeCell ref="P3:S3"/>
    <mergeCell ref="B5:U5"/>
    <mergeCell ref="B14:U14"/>
    <mergeCell ref="B23:U23"/>
    <mergeCell ref="B1:V2"/>
    <mergeCell ref="B3:B4"/>
    <mergeCell ref="C3:C4"/>
    <mergeCell ref="D3:D4"/>
    <mergeCell ref="E3:E4"/>
    <mergeCell ref="B11:U11"/>
    <mergeCell ref="F3:F4"/>
    <mergeCell ref="L3:O3"/>
    <mergeCell ref="B8:U8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V55"/>
  <sheetViews>
    <sheetView workbookViewId="0" topLeftCell="B19">
      <selection activeCell="B21" sqref="B21:U21"/>
    </sheetView>
  </sheetViews>
  <sheetFormatPr defaultColWidth="8.75390625" defaultRowHeight="12.75"/>
  <cols>
    <col min="1" max="1" width="7.875" style="28" bestFit="1" customWidth="1"/>
    <col min="2" max="2" width="22.375" style="16" customWidth="1"/>
    <col min="3" max="3" width="26.00390625" style="16" bestFit="1" customWidth="1"/>
    <col min="4" max="4" width="10.625" style="16" bestFit="1" customWidth="1"/>
    <col min="5" max="5" width="8.375" style="16" bestFit="1" customWidth="1"/>
    <col min="6" max="6" width="16.00390625" style="16" customWidth="1"/>
    <col min="7" max="7" width="33.00390625" style="16" customWidth="1"/>
    <col min="8" max="10" width="5.625" style="28" bestFit="1" customWidth="1"/>
    <col min="11" max="11" width="5.125" style="28" bestFit="1" customWidth="1"/>
    <col min="12" max="14" width="5.625" style="28" bestFit="1" customWidth="1"/>
    <col min="15" max="15" width="5.125" style="28" bestFit="1" customWidth="1"/>
    <col min="16" max="18" width="5.625" style="28" bestFit="1" customWidth="1"/>
    <col min="19" max="19" width="5.125" style="28" bestFit="1" customWidth="1"/>
    <col min="20" max="20" width="9.25390625" style="28" bestFit="1" customWidth="1"/>
    <col min="21" max="21" width="8.625" style="28" bestFit="1" customWidth="1"/>
    <col min="22" max="22" width="18.75390625" style="16" customWidth="1"/>
  </cols>
  <sheetData>
    <row r="1" spans="2:22" s="1" customFormat="1" ht="15" customHeight="1">
      <c r="B1" s="86" t="s">
        <v>1284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102"/>
    </row>
    <row r="2" spans="2:22" s="1" customFormat="1" ht="108.75" customHeight="1" thickBot="1">
      <c r="B2" s="88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103"/>
    </row>
    <row r="3" spans="1:22" s="4" customFormat="1" ht="12.75" customHeight="1">
      <c r="A3" s="98" t="s">
        <v>932</v>
      </c>
      <c r="B3" s="90" t="s">
        <v>0</v>
      </c>
      <c r="C3" s="92" t="s">
        <v>1</v>
      </c>
      <c r="D3" s="92" t="s">
        <v>1226</v>
      </c>
      <c r="E3" s="94" t="s">
        <v>11</v>
      </c>
      <c r="F3" s="94" t="s">
        <v>2</v>
      </c>
      <c r="G3" s="94" t="s">
        <v>1227</v>
      </c>
      <c r="H3" s="94" t="s">
        <v>4</v>
      </c>
      <c r="I3" s="94"/>
      <c r="J3" s="94"/>
      <c r="K3" s="94"/>
      <c r="L3" s="94" t="s">
        <v>5</v>
      </c>
      <c r="M3" s="94"/>
      <c r="N3" s="94"/>
      <c r="O3" s="94"/>
      <c r="P3" s="94" t="s">
        <v>6</v>
      </c>
      <c r="Q3" s="94"/>
      <c r="R3" s="94"/>
      <c r="S3" s="94"/>
      <c r="T3" s="90" t="s">
        <v>8</v>
      </c>
      <c r="U3" s="94" t="s">
        <v>9</v>
      </c>
      <c r="V3" s="100" t="s">
        <v>10</v>
      </c>
    </row>
    <row r="4" spans="1:22" s="4" customFormat="1" ht="23.25" customHeight="1" thickBot="1">
      <c r="A4" s="99"/>
      <c r="B4" s="91"/>
      <c r="C4" s="93"/>
      <c r="D4" s="93"/>
      <c r="E4" s="93"/>
      <c r="F4" s="93"/>
      <c r="G4" s="93"/>
      <c r="H4" s="7">
        <v>1</v>
      </c>
      <c r="I4" s="7">
        <v>2</v>
      </c>
      <c r="J4" s="7">
        <v>3</v>
      </c>
      <c r="K4" s="7" t="s">
        <v>7</v>
      </c>
      <c r="L4" s="7">
        <v>1</v>
      </c>
      <c r="M4" s="7">
        <v>2</v>
      </c>
      <c r="N4" s="7">
        <v>3</v>
      </c>
      <c r="O4" s="7" t="s">
        <v>7</v>
      </c>
      <c r="P4" s="7">
        <v>1</v>
      </c>
      <c r="Q4" s="7">
        <v>2</v>
      </c>
      <c r="R4" s="7">
        <v>3</v>
      </c>
      <c r="S4" s="7" t="s">
        <v>7</v>
      </c>
      <c r="T4" s="91"/>
      <c r="U4" s="93"/>
      <c r="V4" s="101"/>
    </row>
    <row r="5" spans="1:21" ht="15.75">
      <c r="A5"/>
      <c r="B5" s="104" t="s">
        <v>130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</row>
    <row r="6" spans="1:22" ht="12.75">
      <c r="A6" s="26" t="s">
        <v>933</v>
      </c>
      <c r="B6" s="17" t="s">
        <v>131</v>
      </c>
      <c r="C6" s="17" t="s">
        <v>132</v>
      </c>
      <c r="D6" s="17" t="s">
        <v>133</v>
      </c>
      <c r="E6" s="17" t="str">
        <f>"1,1790"</f>
        <v>1,1790</v>
      </c>
      <c r="F6" s="17" t="s">
        <v>1509</v>
      </c>
      <c r="G6" s="17" t="s">
        <v>1253</v>
      </c>
      <c r="H6" s="29" t="s">
        <v>134</v>
      </c>
      <c r="I6" s="29" t="s">
        <v>135</v>
      </c>
      <c r="J6" s="29" t="s">
        <v>136</v>
      </c>
      <c r="K6" s="27"/>
      <c r="L6" s="29" t="s">
        <v>137</v>
      </c>
      <c r="M6" s="30" t="s">
        <v>138</v>
      </c>
      <c r="N6" s="30" t="s">
        <v>138</v>
      </c>
      <c r="O6" s="27"/>
      <c r="P6" s="30" t="s">
        <v>22</v>
      </c>
      <c r="Q6" s="29" t="s">
        <v>22</v>
      </c>
      <c r="R6" s="29" t="s">
        <v>53</v>
      </c>
      <c r="S6" s="27"/>
      <c r="T6" s="49">
        <v>240</v>
      </c>
      <c r="U6" s="26" t="str">
        <f>"282,9600"</f>
        <v>282,9600</v>
      </c>
      <c r="V6" s="17" t="s">
        <v>139</v>
      </c>
    </row>
    <row r="8" spans="1:21" ht="15.75">
      <c r="A8"/>
      <c r="B8" s="97" t="s">
        <v>140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</row>
    <row r="9" spans="1:22" ht="12.75">
      <c r="A9" s="26" t="s">
        <v>933</v>
      </c>
      <c r="B9" s="17" t="s">
        <v>141</v>
      </c>
      <c r="C9" s="17" t="s">
        <v>142</v>
      </c>
      <c r="D9" s="17" t="s">
        <v>143</v>
      </c>
      <c r="E9" s="17" t="str">
        <f>"1,1282"</f>
        <v>1,1282</v>
      </c>
      <c r="F9" s="17" t="s">
        <v>15</v>
      </c>
      <c r="G9" s="17" t="s">
        <v>1247</v>
      </c>
      <c r="H9" s="30" t="s">
        <v>144</v>
      </c>
      <c r="I9" s="29" t="s">
        <v>53</v>
      </c>
      <c r="J9" s="30" t="s">
        <v>145</v>
      </c>
      <c r="K9" s="27"/>
      <c r="L9" s="29" t="s">
        <v>146</v>
      </c>
      <c r="M9" s="29" t="s">
        <v>147</v>
      </c>
      <c r="N9" s="29" t="s">
        <v>148</v>
      </c>
      <c r="O9" s="27"/>
      <c r="P9" s="29" t="s">
        <v>149</v>
      </c>
      <c r="Q9" s="30" t="s">
        <v>150</v>
      </c>
      <c r="R9" s="32" t="s">
        <v>150</v>
      </c>
      <c r="S9" s="27"/>
      <c r="T9" s="49">
        <v>315</v>
      </c>
      <c r="U9" s="26" t="str">
        <f>"355,3830"</f>
        <v>355,3830</v>
      </c>
      <c r="V9" s="17" t="s">
        <v>151</v>
      </c>
    </row>
    <row r="10" spans="1:22" ht="12.75">
      <c r="A10" s="26"/>
      <c r="B10" s="17" t="s">
        <v>152</v>
      </c>
      <c r="C10" s="17" t="s">
        <v>153</v>
      </c>
      <c r="D10" s="17" t="s">
        <v>154</v>
      </c>
      <c r="E10" s="17" t="str">
        <f>"1,1370"</f>
        <v>1,1370</v>
      </c>
      <c r="F10" s="17" t="s">
        <v>15</v>
      </c>
      <c r="G10" s="17" t="s">
        <v>16</v>
      </c>
      <c r="H10" s="29" t="s">
        <v>155</v>
      </c>
      <c r="I10" s="30" t="s">
        <v>156</v>
      </c>
      <c r="J10" s="30" t="s">
        <v>156</v>
      </c>
      <c r="K10" s="27"/>
      <c r="L10" s="30" t="s">
        <v>146</v>
      </c>
      <c r="M10" s="30" t="s">
        <v>148</v>
      </c>
      <c r="N10" s="30" t="s">
        <v>148</v>
      </c>
      <c r="O10" s="30"/>
      <c r="P10" s="27" t="s">
        <v>209</v>
      </c>
      <c r="Q10" s="30"/>
      <c r="R10" s="30"/>
      <c r="S10" s="30"/>
      <c r="T10" s="49">
        <v>0</v>
      </c>
      <c r="U10" s="26" t="str">
        <f>"0,0000"</f>
        <v>0,0000</v>
      </c>
      <c r="V10" s="17" t="s">
        <v>1290</v>
      </c>
    </row>
    <row r="12" spans="1:21" ht="15.75">
      <c r="A12"/>
      <c r="B12" s="97" t="s">
        <v>158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</row>
    <row r="13" spans="1:22" ht="12.75">
      <c r="A13" s="26"/>
      <c r="B13" s="17" t="s">
        <v>159</v>
      </c>
      <c r="C13" s="17" t="s">
        <v>160</v>
      </c>
      <c r="D13" s="17" t="s">
        <v>161</v>
      </c>
      <c r="E13" s="17" t="str">
        <f>"0,9323"</f>
        <v>0,9323</v>
      </c>
      <c r="F13" s="52" t="s">
        <v>162</v>
      </c>
      <c r="G13" s="17" t="s">
        <v>163</v>
      </c>
      <c r="H13" s="30" t="s">
        <v>164</v>
      </c>
      <c r="I13" s="30" t="s">
        <v>164</v>
      </c>
      <c r="J13" s="30" t="s">
        <v>164</v>
      </c>
      <c r="K13" s="30"/>
      <c r="L13" s="27" t="s">
        <v>209</v>
      </c>
      <c r="M13" s="30"/>
      <c r="N13" s="30"/>
      <c r="O13" s="30"/>
      <c r="P13" s="27" t="s">
        <v>209</v>
      </c>
      <c r="Q13" s="30"/>
      <c r="R13" s="30"/>
      <c r="S13" s="30"/>
      <c r="T13" s="49">
        <v>0</v>
      </c>
      <c r="U13" s="26" t="str">
        <f>"0,0000"</f>
        <v>0,0000</v>
      </c>
      <c r="V13" s="17" t="s">
        <v>1052</v>
      </c>
    </row>
    <row r="15" spans="1:21" ht="15.75">
      <c r="A15"/>
      <c r="B15" s="97" t="s">
        <v>27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</row>
    <row r="16" spans="1:22" ht="12.75">
      <c r="A16" s="26" t="s">
        <v>933</v>
      </c>
      <c r="B16" s="17" t="s">
        <v>165</v>
      </c>
      <c r="C16" s="17" t="s">
        <v>166</v>
      </c>
      <c r="D16" s="17" t="s">
        <v>167</v>
      </c>
      <c r="E16" s="17" t="str">
        <f>"0,8461"</f>
        <v>0,8461</v>
      </c>
      <c r="F16" s="52" t="s">
        <v>168</v>
      </c>
      <c r="G16" s="17" t="s">
        <v>1247</v>
      </c>
      <c r="H16" s="29" t="s">
        <v>169</v>
      </c>
      <c r="I16" s="30" t="s">
        <v>21</v>
      </c>
      <c r="J16" s="29" t="s">
        <v>22</v>
      </c>
      <c r="K16" s="27"/>
      <c r="L16" s="29" t="s">
        <v>170</v>
      </c>
      <c r="M16" s="29" t="s">
        <v>137</v>
      </c>
      <c r="N16" s="30" t="s">
        <v>171</v>
      </c>
      <c r="O16" s="27"/>
      <c r="P16" s="29" t="s">
        <v>22</v>
      </c>
      <c r="Q16" s="29" t="s">
        <v>53</v>
      </c>
      <c r="R16" s="29" t="s">
        <v>172</v>
      </c>
      <c r="S16" s="27"/>
      <c r="T16" s="49">
        <v>270</v>
      </c>
      <c r="U16" s="26" t="str">
        <f>"228,4335"</f>
        <v>228,4335</v>
      </c>
      <c r="V16" s="17" t="s">
        <v>173</v>
      </c>
    </row>
    <row r="18" spans="1:21" ht="15.75">
      <c r="A18"/>
      <c r="B18" s="97" t="s">
        <v>174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</row>
    <row r="19" spans="1:22" ht="12.75">
      <c r="A19" s="26" t="s">
        <v>933</v>
      </c>
      <c r="B19" s="17" t="s">
        <v>175</v>
      </c>
      <c r="C19" s="17" t="s">
        <v>176</v>
      </c>
      <c r="D19" s="17" t="s">
        <v>177</v>
      </c>
      <c r="E19" s="17" t="str">
        <f>"0,6844"</f>
        <v>0,6844</v>
      </c>
      <c r="F19" s="52" t="s">
        <v>178</v>
      </c>
      <c r="G19" s="17" t="s">
        <v>1247</v>
      </c>
      <c r="H19" s="29" t="s">
        <v>19</v>
      </c>
      <c r="I19" s="29" t="s">
        <v>67</v>
      </c>
      <c r="J19" s="29" t="s">
        <v>42</v>
      </c>
      <c r="K19" s="27"/>
      <c r="L19" s="29" t="s">
        <v>155</v>
      </c>
      <c r="M19" s="29" t="s">
        <v>179</v>
      </c>
      <c r="N19" s="30" t="s">
        <v>156</v>
      </c>
      <c r="O19" s="27"/>
      <c r="P19" s="29" t="s">
        <v>149</v>
      </c>
      <c r="Q19" s="29" t="s">
        <v>150</v>
      </c>
      <c r="R19" s="29" t="s">
        <v>36</v>
      </c>
      <c r="S19" s="27"/>
      <c r="T19" s="49">
        <v>407.5</v>
      </c>
      <c r="U19" s="26" t="str">
        <f>"278,9134"</f>
        <v>278,9134</v>
      </c>
      <c r="V19" s="17" t="s">
        <v>55</v>
      </c>
    </row>
    <row r="20" ht="12.75">
      <c r="F20" s="25"/>
    </row>
    <row r="21" spans="1:21" ht="15.75">
      <c r="A21"/>
      <c r="B21" s="97" t="s">
        <v>158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</row>
    <row r="22" spans="1:22" ht="12.75">
      <c r="A22" s="26" t="s">
        <v>933</v>
      </c>
      <c r="B22" s="17" t="s">
        <v>180</v>
      </c>
      <c r="C22" s="17" t="s">
        <v>181</v>
      </c>
      <c r="D22" s="17" t="s">
        <v>161</v>
      </c>
      <c r="E22" s="17" t="str">
        <f>"0,7786"</f>
        <v>0,7786</v>
      </c>
      <c r="F22" s="17" t="s">
        <v>15</v>
      </c>
      <c r="G22" s="17" t="s">
        <v>1247</v>
      </c>
      <c r="H22" s="29" t="s">
        <v>46</v>
      </c>
      <c r="I22" s="30" t="s">
        <v>182</v>
      </c>
      <c r="J22" s="29" t="s">
        <v>182</v>
      </c>
      <c r="K22" s="27"/>
      <c r="L22" s="29" t="s">
        <v>183</v>
      </c>
      <c r="M22" s="30" t="s">
        <v>21</v>
      </c>
      <c r="N22" s="30" t="s">
        <v>21</v>
      </c>
      <c r="O22" s="27"/>
      <c r="P22" s="29" t="s">
        <v>23</v>
      </c>
      <c r="Q22" s="29" t="s">
        <v>43</v>
      </c>
      <c r="R22" s="29" t="s">
        <v>37</v>
      </c>
      <c r="S22" s="27"/>
      <c r="T22" s="49">
        <v>420</v>
      </c>
      <c r="U22" s="26" t="str">
        <f>"327,0120"</f>
        <v>327,0120</v>
      </c>
      <c r="V22" s="17" t="s">
        <v>55</v>
      </c>
    </row>
    <row r="24" spans="1:21" ht="15.75">
      <c r="A24"/>
      <c r="B24" s="97" t="s">
        <v>27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</row>
    <row r="25" spans="1:22" ht="12.75">
      <c r="A25" s="26" t="s">
        <v>933</v>
      </c>
      <c r="B25" s="17" t="s">
        <v>184</v>
      </c>
      <c r="C25" s="17" t="s">
        <v>185</v>
      </c>
      <c r="D25" s="17" t="s">
        <v>186</v>
      </c>
      <c r="E25" s="17" t="str">
        <f>"0,6947"</f>
        <v>0,6947</v>
      </c>
      <c r="F25" s="17" t="s">
        <v>15</v>
      </c>
      <c r="G25" s="17" t="s">
        <v>1247</v>
      </c>
      <c r="H25" s="29" t="s">
        <v>17</v>
      </c>
      <c r="I25" s="29" t="s">
        <v>67</v>
      </c>
      <c r="J25" s="30" t="s">
        <v>31</v>
      </c>
      <c r="K25" s="27"/>
      <c r="L25" s="29" t="s">
        <v>53</v>
      </c>
      <c r="M25" s="29" t="s">
        <v>172</v>
      </c>
      <c r="N25" s="30" t="s">
        <v>187</v>
      </c>
      <c r="O25" s="27"/>
      <c r="P25" s="29" t="s">
        <v>82</v>
      </c>
      <c r="Q25" s="30" t="s">
        <v>77</v>
      </c>
      <c r="R25" s="30" t="s">
        <v>77</v>
      </c>
      <c r="S25" s="27"/>
      <c r="T25" s="49">
        <v>500</v>
      </c>
      <c r="U25" s="26" t="str">
        <f>"347,3500"</f>
        <v>347,3500</v>
      </c>
      <c r="V25" s="17" t="s">
        <v>1291</v>
      </c>
    </row>
    <row r="26" spans="1:22" ht="12.75">
      <c r="A26" s="26" t="s">
        <v>933</v>
      </c>
      <c r="B26" s="17" t="s">
        <v>184</v>
      </c>
      <c r="C26" s="17" t="s">
        <v>188</v>
      </c>
      <c r="D26" s="17" t="s">
        <v>186</v>
      </c>
      <c r="E26" s="17" t="str">
        <f>"0,6947"</f>
        <v>0,6947</v>
      </c>
      <c r="F26" s="17" t="s">
        <v>15</v>
      </c>
      <c r="G26" s="17" t="s">
        <v>1247</v>
      </c>
      <c r="H26" s="29" t="s">
        <v>17</v>
      </c>
      <c r="I26" s="29" t="s">
        <v>67</v>
      </c>
      <c r="J26" s="30" t="s">
        <v>31</v>
      </c>
      <c r="K26" s="27"/>
      <c r="L26" s="29" t="s">
        <v>53</v>
      </c>
      <c r="M26" s="29" t="s">
        <v>172</v>
      </c>
      <c r="N26" s="30" t="s">
        <v>187</v>
      </c>
      <c r="O26" s="27"/>
      <c r="P26" s="29" t="s">
        <v>82</v>
      </c>
      <c r="Q26" s="30" t="s">
        <v>77</v>
      </c>
      <c r="R26" s="30" t="s">
        <v>77</v>
      </c>
      <c r="S26" s="27"/>
      <c r="T26" s="49">
        <v>500</v>
      </c>
      <c r="U26" s="26" t="str">
        <f>"347,3500"</f>
        <v>347,3500</v>
      </c>
      <c r="V26" s="17" t="s">
        <v>1291</v>
      </c>
    </row>
    <row r="28" spans="1:21" ht="15.75">
      <c r="A28"/>
      <c r="B28" s="97" t="s">
        <v>12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</row>
    <row r="29" spans="1:22" ht="12.75">
      <c r="A29" s="26" t="s">
        <v>933</v>
      </c>
      <c r="B29" s="17" t="s">
        <v>1288</v>
      </c>
      <c r="C29" s="17" t="s">
        <v>189</v>
      </c>
      <c r="D29" s="17" t="s">
        <v>190</v>
      </c>
      <c r="E29" s="17" t="str">
        <f>"0,6535"</f>
        <v>0,6535</v>
      </c>
      <c r="F29" s="52" t="s">
        <v>1285</v>
      </c>
      <c r="G29" s="17" t="s">
        <v>1247</v>
      </c>
      <c r="H29" s="29" t="s">
        <v>34</v>
      </c>
      <c r="I29" s="29" t="s">
        <v>17</v>
      </c>
      <c r="J29" s="29" t="s">
        <v>191</v>
      </c>
      <c r="K29" s="27"/>
      <c r="L29" s="29" t="s">
        <v>45</v>
      </c>
      <c r="M29" s="30" t="s">
        <v>187</v>
      </c>
      <c r="N29" s="30" t="s">
        <v>187</v>
      </c>
      <c r="O29" s="27"/>
      <c r="P29" s="29" t="s">
        <v>36</v>
      </c>
      <c r="Q29" s="29" t="s">
        <v>52</v>
      </c>
      <c r="R29" s="29" t="s">
        <v>25</v>
      </c>
      <c r="S29" s="27"/>
      <c r="T29" s="49">
        <v>462.5</v>
      </c>
      <c r="U29" s="26" t="str">
        <f>"302,2206"</f>
        <v>302,2206</v>
      </c>
      <c r="V29" s="17" t="s">
        <v>97</v>
      </c>
    </row>
    <row r="30" spans="1:22" ht="12.75">
      <c r="A30" s="26" t="s">
        <v>933</v>
      </c>
      <c r="B30" s="17" t="s">
        <v>192</v>
      </c>
      <c r="C30" s="17" t="s">
        <v>193</v>
      </c>
      <c r="D30" s="17" t="s">
        <v>194</v>
      </c>
      <c r="E30" s="17" t="str">
        <f>"0,6550"</f>
        <v>0,6550</v>
      </c>
      <c r="F30" s="52" t="s">
        <v>1286</v>
      </c>
      <c r="G30" s="17" t="s">
        <v>195</v>
      </c>
      <c r="H30" s="30" t="s">
        <v>149</v>
      </c>
      <c r="I30" s="29" t="s">
        <v>149</v>
      </c>
      <c r="J30" s="30" t="s">
        <v>34</v>
      </c>
      <c r="K30" s="27"/>
      <c r="L30" s="30" t="s">
        <v>53</v>
      </c>
      <c r="M30" s="29" t="s">
        <v>172</v>
      </c>
      <c r="N30" s="30" t="s">
        <v>196</v>
      </c>
      <c r="O30" s="27"/>
      <c r="P30" s="29" t="s">
        <v>35</v>
      </c>
      <c r="Q30" s="29" t="s">
        <v>17</v>
      </c>
      <c r="R30" s="29" t="s">
        <v>18</v>
      </c>
      <c r="S30" s="27"/>
      <c r="T30" s="49">
        <v>415</v>
      </c>
      <c r="U30" s="26" t="str">
        <f>"271,8457"</f>
        <v>271,8457</v>
      </c>
      <c r="V30" s="17" t="s">
        <v>97</v>
      </c>
    </row>
    <row r="32" spans="1:21" ht="15.75">
      <c r="A32"/>
      <c r="B32" s="97" t="s">
        <v>61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</row>
    <row r="33" spans="1:22" ht="12.75">
      <c r="A33" s="26" t="s">
        <v>933</v>
      </c>
      <c r="B33" s="17" t="s">
        <v>62</v>
      </c>
      <c r="C33" s="17" t="s">
        <v>63</v>
      </c>
      <c r="D33" s="17" t="s">
        <v>64</v>
      </c>
      <c r="E33" s="17" t="str">
        <f>"0,6133"</f>
        <v>0,6133</v>
      </c>
      <c r="F33" s="17" t="s">
        <v>15</v>
      </c>
      <c r="G33" s="17" t="s">
        <v>1245</v>
      </c>
      <c r="H33" s="29" t="s">
        <v>38</v>
      </c>
      <c r="I33" s="29" t="s">
        <v>66</v>
      </c>
      <c r="J33" s="30" t="s">
        <v>77</v>
      </c>
      <c r="K33" s="27"/>
      <c r="L33" s="30" t="s">
        <v>67</v>
      </c>
      <c r="M33" s="29" t="s">
        <v>67</v>
      </c>
      <c r="N33" s="30" t="s">
        <v>42</v>
      </c>
      <c r="O33" s="27"/>
      <c r="P33" s="29" t="s">
        <v>96</v>
      </c>
      <c r="Q33" s="29" t="s">
        <v>197</v>
      </c>
      <c r="R33" s="29" t="s">
        <v>68</v>
      </c>
      <c r="S33" s="27"/>
      <c r="T33" s="49">
        <v>670</v>
      </c>
      <c r="U33" s="26" t="str">
        <f>"410,9445"</f>
        <v>410,9445</v>
      </c>
      <c r="V33" s="17" t="s">
        <v>69</v>
      </c>
    </row>
    <row r="34" spans="1:22" ht="12.75">
      <c r="A34" s="26" t="s">
        <v>935</v>
      </c>
      <c r="B34" s="17" t="s">
        <v>198</v>
      </c>
      <c r="C34" s="17" t="s">
        <v>199</v>
      </c>
      <c r="D34" s="17" t="s">
        <v>200</v>
      </c>
      <c r="E34" s="17" t="str">
        <f>"0,6326"</f>
        <v>0,6326</v>
      </c>
      <c r="F34" s="17" t="s">
        <v>15</v>
      </c>
      <c r="G34" s="17" t="s">
        <v>201</v>
      </c>
      <c r="H34" s="29" t="s">
        <v>149</v>
      </c>
      <c r="I34" s="29" t="s">
        <v>35</v>
      </c>
      <c r="J34" s="30" t="s">
        <v>202</v>
      </c>
      <c r="K34" s="27"/>
      <c r="L34" s="29" t="s">
        <v>164</v>
      </c>
      <c r="M34" s="29" t="s">
        <v>22</v>
      </c>
      <c r="N34" s="30" t="s">
        <v>203</v>
      </c>
      <c r="O34" s="27"/>
      <c r="P34" s="29" t="s">
        <v>35</v>
      </c>
      <c r="Q34" s="29" t="s">
        <v>18</v>
      </c>
      <c r="R34" s="29" t="s">
        <v>67</v>
      </c>
      <c r="S34" s="27"/>
      <c r="T34" s="49">
        <v>415</v>
      </c>
      <c r="U34" s="26" t="str">
        <f>"262,5290"</f>
        <v>262,5290</v>
      </c>
      <c r="V34" s="17" t="s">
        <v>204</v>
      </c>
    </row>
    <row r="36" spans="1:21" ht="15.75">
      <c r="A36"/>
      <c r="B36" s="97" t="s">
        <v>87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</row>
    <row r="37" spans="1:22" ht="12.75">
      <c r="A37" s="26" t="s">
        <v>933</v>
      </c>
      <c r="B37" s="17" t="s">
        <v>205</v>
      </c>
      <c r="C37" s="17" t="s">
        <v>206</v>
      </c>
      <c r="D37" s="17" t="s">
        <v>207</v>
      </c>
      <c r="E37" s="17" t="str">
        <f>"0,5905"</f>
        <v>0,5905</v>
      </c>
      <c r="F37" s="17" t="s">
        <v>1287</v>
      </c>
      <c r="G37" s="17" t="s">
        <v>1289</v>
      </c>
      <c r="H37" s="29" t="s">
        <v>67</v>
      </c>
      <c r="I37" s="30" t="s">
        <v>32</v>
      </c>
      <c r="J37" s="30" t="s">
        <v>32</v>
      </c>
      <c r="K37" s="27"/>
      <c r="L37" s="29" t="s">
        <v>208</v>
      </c>
      <c r="M37" s="30" t="s">
        <v>35</v>
      </c>
      <c r="N37" s="30" t="s">
        <v>35</v>
      </c>
      <c r="O37" s="27"/>
      <c r="P37" s="29" t="s">
        <v>18</v>
      </c>
      <c r="Q37" s="29" t="s">
        <v>31</v>
      </c>
      <c r="R37" s="29" t="s">
        <v>32</v>
      </c>
      <c r="S37" s="27"/>
      <c r="T37" s="49">
        <v>490</v>
      </c>
      <c r="U37" s="26" t="str">
        <f>"289,3450"</f>
        <v>289,3450</v>
      </c>
      <c r="V37" s="17" t="s">
        <v>55</v>
      </c>
    </row>
    <row r="38" spans="1:22" ht="12.75">
      <c r="A38" s="26" t="s">
        <v>933</v>
      </c>
      <c r="B38" s="17" t="s">
        <v>210</v>
      </c>
      <c r="C38" s="17" t="s">
        <v>211</v>
      </c>
      <c r="D38" s="17" t="s">
        <v>212</v>
      </c>
      <c r="E38" s="17" t="str">
        <f>"0,5925"</f>
        <v>0,5925</v>
      </c>
      <c r="F38" s="17" t="s">
        <v>1287</v>
      </c>
      <c r="G38" s="17" t="s">
        <v>1289</v>
      </c>
      <c r="H38" s="29" t="s">
        <v>22</v>
      </c>
      <c r="I38" s="30" t="s">
        <v>172</v>
      </c>
      <c r="J38" s="29" t="s">
        <v>208</v>
      </c>
      <c r="K38" s="27"/>
      <c r="L38" s="29" t="s">
        <v>208</v>
      </c>
      <c r="M38" s="29" t="s">
        <v>36</v>
      </c>
      <c r="N38" s="29" t="s">
        <v>18</v>
      </c>
      <c r="O38" s="27"/>
      <c r="P38" s="29" t="s">
        <v>34</v>
      </c>
      <c r="Q38" s="29" t="s">
        <v>18</v>
      </c>
      <c r="R38" s="29" t="s">
        <v>42</v>
      </c>
      <c r="S38" s="27"/>
      <c r="T38" s="49">
        <v>465</v>
      </c>
      <c r="U38" s="26" t="str">
        <f>"275,5357"</f>
        <v>275,5357</v>
      </c>
      <c r="V38" s="17" t="s">
        <v>55</v>
      </c>
    </row>
    <row r="39" spans="1:22" ht="12.75">
      <c r="A39" s="26" t="s">
        <v>935</v>
      </c>
      <c r="B39" s="17" t="s">
        <v>213</v>
      </c>
      <c r="C39" s="17" t="s">
        <v>214</v>
      </c>
      <c r="D39" s="17" t="s">
        <v>215</v>
      </c>
      <c r="E39" s="17" t="str">
        <f>"0,5949"</f>
        <v>0,5949</v>
      </c>
      <c r="F39" s="17" t="s">
        <v>1287</v>
      </c>
      <c r="G39" s="17" t="s">
        <v>1289</v>
      </c>
      <c r="H39" s="29" t="s">
        <v>136</v>
      </c>
      <c r="I39" s="29" t="s">
        <v>172</v>
      </c>
      <c r="J39" s="29" t="s">
        <v>149</v>
      </c>
      <c r="K39" s="27"/>
      <c r="L39" s="29" t="s">
        <v>22</v>
      </c>
      <c r="M39" s="30" t="s">
        <v>172</v>
      </c>
      <c r="N39" s="30" t="s">
        <v>172</v>
      </c>
      <c r="O39" s="27"/>
      <c r="P39" s="29" t="s">
        <v>22</v>
      </c>
      <c r="Q39" s="30" t="s">
        <v>34</v>
      </c>
      <c r="R39" s="27"/>
      <c r="S39" s="27"/>
      <c r="T39" s="49">
        <v>335</v>
      </c>
      <c r="U39" s="26" t="str">
        <f>"199,2915"</f>
        <v>199,2915</v>
      </c>
      <c r="V39" s="17" t="s">
        <v>55</v>
      </c>
    </row>
    <row r="40" spans="1:22" ht="12.75">
      <c r="A40" s="26" t="s">
        <v>936</v>
      </c>
      <c r="B40" s="17" t="s">
        <v>216</v>
      </c>
      <c r="C40" s="17" t="s">
        <v>217</v>
      </c>
      <c r="D40" s="17" t="s">
        <v>218</v>
      </c>
      <c r="E40" s="17" t="str">
        <f>"0,5813"</f>
        <v>0,5813</v>
      </c>
      <c r="F40" s="17" t="s">
        <v>1287</v>
      </c>
      <c r="G40" s="17" t="s">
        <v>1289</v>
      </c>
      <c r="H40" s="30" t="s">
        <v>136</v>
      </c>
      <c r="I40" s="29" t="s">
        <v>136</v>
      </c>
      <c r="J40" s="27"/>
      <c r="K40" s="27"/>
      <c r="L40" s="29" t="s">
        <v>136</v>
      </c>
      <c r="M40" s="27"/>
      <c r="N40" s="27"/>
      <c r="O40" s="27"/>
      <c r="P40" s="30" t="s">
        <v>22</v>
      </c>
      <c r="Q40" s="29" t="s">
        <v>22</v>
      </c>
      <c r="R40" s="30" t="s">
        <v>37</v>
      </c>
      <c r="S40" s="27"/>
      <c r="T40" s="49">
        <v>260</v>
      </c>
      <c r="U40" s="26" t="str">
        <f>"151,1380"</f>
        <v>151,1380</v>
      </c>
      <c r="V40" s="17" t="s">
        <v>55</v>
      </c>
    </row>
    <row r="42" spans="1:21" ht="15.75">
      <c r="A42"/>
      <c r="B42" s="97" t="s">
        <v>93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</row>
    <row r="43" spans="1:22" ht="12.75">
      <c r="A43" s="26" t="s">
        <v>933</v>
      </c>
      <c r="B43" s="17" t="s">
        <v>219</v>
      </c>
      <c r="C43" s="17" t="s">
        <v>220</v>
      </c>
      <c r="D43" s="17" t="s">
        <v>221</v>
      </c>
      <c r="E43" s="17" t="str">
        <f>"0,5792"</f>
        <v>0,5792</v>
      </c>
      <c r="F43" s="17" t="s">
        <v>1287</v>
      </c>
      <c r="G43" s="17" t="s">
        <v>1289</v>
      </c>
      <c r="H43" s="29" t="s">
        <v>36</v>
      </c>
      <c r="I43" s="30" t="s">
        <v>18</v>
      </c>
      <c r="J43" s="30" t="s">
        <v>18</v>
      </c>
      <c r="K43" s="27"/>
      <c r="L43" s="29" t="s">
        <v>172</v>
      </c>
      <c r="M43" s="30" t="s">
        <v>208</v>
      </c>
      <c r="N43" s="30" t="s">
        <v>208</v>
      </c>
      <c r="O43" s="27"/>
      <c r="P43" s="29" t="s">
        <v>42</v>
      </c>
      <c r="Q43" s="29" t="s">
        <v>32</v>
      </c>
      <c r="R43" s="29" t="s">
        <v>222</v>
      </c>
      <c r="S43" s="27"/>
      <c r="T43" s="49">
        <v>475</v>
      </c>
      <c r="U43" s="26" t="str">
        <f>"275,0963"</f>
        <v>275,0963</v>
      </c>
      <c r="V43" s="17" t="s">
        <v>55</v>
      </c>
    </row>
    <row r="44" spans="1:22" ht="12.75">
      <c r="A44" s="26" t="s">
        <v>935</v>
      </c>
      <c r="B44" s="17" t="s">
        <v>223</v>
      </c>
      <c r="C44" s="17" t="s">
        <v>224</v>
      </c>
      <c r="D44" s="17" t="s">
        <v>225</v>
      </c>
      <c r="E44" s="17" t="str">
        <f>"0,5663"</f>
        <v>0,5663</v>
      </c>
      <c r="F44" s="17" t="s">
        <v>1287</v>
      </c>
      <c r="G44" s="17" t="s">
        <v>1289</v>
      </c>
      <c r="H44" s="29" t="s">
        <v>137</v>
      </c>
      <c r="I44" s="27"/>
      <c r="J44" s="27"/>
      <c r="K44" s="27"/>
      <c r="L44" s="29" t="s">
        <v>36</v>
      </c>
      <c r="M44" s="29" t="s">
        <v>18</v>
      </c>
      <c r="N44" s="30" t="s">
        <v>32</v>
      </c>
      <c r="O44" s="27"/>
      <c r="P44" s="29" t="s">
        <v>208</v>
      </c>
      <c r="Q44" s="27"/>
      <c r="R44" s="27"/>
      <c r="S44" s="27"/>
      <c r="T44" s="49">
        <v>340</v>
      </c>
      <c r="U44" s="26" t="str">
        <f>"192,5420"</f>
        <v>192,5420</v>
      </c>
      <c r="V44" s="17" t="s">
        <v>55</v>
      </c>
    </row>
    <row r="46" spans="1:21" ht="15.75">
      <c r="A46"/>
      <c r="B46" s="97" t="s">
        <v>98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</row>
    <row r="47" spans="1:22" ht="12.75">
      <c r="A47" s="26" t="s">
        <v>933</v>
      </c>
      <c r="B47" s="17" t="s">
        <v>226</v>
      </c>
      <c r="C47" s="17" t="s">
        <v>227</v>
      </c>
      <c r="D47" s="17" t="s">
        <v>228</v>
      </c>
      <c r="E47" s="17" t="str">
        <f>"0,5560"</f>
        <v>0,5560</v>
      </c>
      <c r="F47" s="17" t="s">
        <v>1287</v>
      </c>
      <c r="G47" s="17" t="s">
        <v>1289</v>
      </c>
      <c r="H47" s="30" t="s">
        <v>31</v>
      </c>
      <c r="I47" s="29" t="s">
        <v>32</v>
      </c>
      <c r="J47" s="29" t="s">
        <v>222</v>
      </c>
      <c r="K47" s="27"/>
      <c r="L47" s="29" t="s">
        <v>18</v>
      </c>
      <c r="M47" s="29" t="s">
        <v>67</v>
      </c>
      <c r="N47" s="29" t="s">
        <v>31</v>
      </c>
      <c r="O47" s="27"/>
      <c r="P47" s="29" t="s">
        <v>38</v>
      </c>
      <c r="Q47" s="29" t="s">
        <v>78</v>
      </c>
      <c r="R47" s="29" t="s">
        <v>92</v>
      </c>
      <c r="S47" s="27"/>
      <c r="T47" s="49">
        <v>630</v>
      </c>
      <c r="U47" s="26" t="str">
        <f>"350,2800"</f>
        <v>350,2800</v>
      </c>
      <c r="V47" s="17" t="s">
        <v>55</v>
      </c>
    </row>
    <row r="49" spans="2:3" ht="18">
      <c r="B49" s="19" t="s">
        <v>108</v>
      </c>
      <c r="C49" s="19"/>
    </row>
    <row r="50" spans="2:3" ht="15.75">
      <c r="B50" s="20" t="s">
        <v>117</v>
      </c>
      <c r="C50" s="20"/>
    </row>
    <row r="51" spans="2:3" ht="13.5">
      <c r="B51" s="22"/>
      <c r="C51" s="23" t="s">
        <v>209</v>
      </c>
    </row>
    <row r="52" spans="2:6" ht="13.5">
      <c r="B52" s="24" t="s">
        <v>111</v>
      </c>
      <c r="C52" s="24" t="s">
        <v>112</v>
      </c>
      <c r="D52" s="24" t="s">
        <v>113</v>
      </c>
      <c r="E52" s="24" t="s">
        <v>114</v>
      </c>
      <c r="F52" s="24" t="s">
        <v>115</v>
      </c>
    </row>
    <row r="53" spans="1:6" ht="12.75">
      <c r="A53" s="28" t="s">
        <v>933</v>
      </c>
      <c r="B53" s="21" t="s">
        <v>62</v>
      </c>
      <c r="C53" s="46" t="s">
        <v>110</v>
      </c>
      <c r="D53" s="46" t="s">
        <v>119</v>
      </c>
      <c r="E53" s="28" t="s">
        <v>120</v>
      </c>
      <c r="F53" s="28" t="s">
        <v>121</v>
      </c>
    </row>
    <row r="54" spans="1:6" ht="12.75">
      <c r="A54" s="28" t="s">
        <v>935</v>
      </c>
      <c r="B54" s="21" t="s">
        <v>226</v>
      </c>
      <c r="C54" s="46" t="s">
        <v>110</v>
      </c>
      <c r="D54" s="46" t="s">
        <v>122</v>
      </c>
      <c r="E54" s="28" t="s">
        <v>231</v>
      </c>
      <c r="F54" s="28" t="s">
        <v>232</v>
      </c>
    </row>
    <row r="55" spans="1:6" ht="12.75">
      <c r="A55" s="28" t="s">
        <v>936</v>
      </c>
      <c r="B55" s="21" t="s">
        <v>184</v>
      </c>
      <c r="C55" s="46" t="s">
        <v>110</v>
      </c>
      <c r="D55" s="46" t="s">
        <v>127</v>
      </c>
      <c r="E55" s="28" t="s">
        <v>229</v>
      </c>
      <c r="F55" s="28" t="s">
        <v>230</v>
      </c>
    </row>
  </sheetData>
  <sheetProtection/>
  <mergeCells count="26">
    <mergeCell ref="B36:U36"/>
    <mergeCell ref="B42:U42"/>
    <mergeCell ref="B46:U46"/>
    <mergeCell ref="A3:A4"/>
    <mergeCell ref="B15:U15"/>
    <mergeCell ref="B18:U18"/>
    <mergeCell ref="B21:U21"/>
    <mergeCell ref="B24:U24"/>
    <mergeCell ref="B28:U28"/>
    <mergeCell ref="B32:U32"/>
    <mergeCell ref="T3:T4"/>
    <mergeCell ref="U3:U4"/>
    <mergeCell ref="V3:V4"/>
    <mergeCell ref="B5:U5"/>
    <mergeCell ref="B8:U8"/>
    <mergeCell ref="B12:U12"/>
    <mergeCell ref="B1:V2"/>
    <mergeCell ref="B3:B4"/>
    <mergeCell ref="C3:C4"/>
    <mergeCell ref="D3:D4"/>
    <mergeCell ref="E3:E4"/>
    <mergeCell ref="F3:F4"/>
    <mergeCell ref="G3:G4"/>
    <mergeCell ref="H3:K3"/>
    <mergeCell ref="L3:O3"/>
    <mergeCell ref="P3:S3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tabSelected="1" workbookViewId="0" topLeftCell="B3">
      <selection activeCell="H16" sqref="H16:J16"/>
    </sheetView>
  </sheetViews>
  <sheetFormatPr defaultColWidth="9.125" defaultRowHeight="12.75"/>
  <cols>
    <col min="1" max="1" width="7.875" style="42" bestFit="1" customWidth="1"/>
    <col min="2" max="2" width="23.375" style="35" customWidth="1"/>
    <col min="3" max="3" width="26.125" style="2" customWidth="1"/>
    <col min="4" max="4" width="10.625" style="2" bestFit="1" customWidth="1"/>
    <col min="5" max="5" width="8.375" style="2" bestFit="1" customWidth="1"/>
    <col min="6" max="6" width="11.125" style="5" customWidth="1"/>
    <col min="7" max="7" width="32.00390625" style="5" customWidth="1"/>
    <col min="8" max="10" width="5.625" style="42" bestFit="1" customWidth="1"/>
    <col min="11" max="11" width="5.125" style="42" bestFit="1" customWidth="1"/>
    <col min="12" max="14" width="5.625" style="42" bestFit="1" customWidth="1"/>
    <col min="15" max="15" width="5.125" style="42" bestFit="1" customWidth="1"/>
    <col min="16" max="18" width="5.625" style="42" bestFit="1" customWidth="1"/>
    <col min="19" max="19" width="5.125" style="42" bestFit="1" customWidth="1"/>
    <col min="20" max="20" width="9.25390625" style="42" bestFit="1" customWidth="1"/>
    <col min="21" max="21" width="8.625" style="42" bestFit="1" customWidth="1"/>
    <col min="22" max="22" width="21.125" style="5" bestFit="1" customWidth="1"/>
    <col min="23" max="16384" width="9.125" style="1" customWidth="1"/>
  </cols>
  <sheetData>
    <row r="1" spans="1:22" ht="15" customHeight="1">
      <c r="A1" s="1"/>
      <c r="B1" s="86" t="s">
        <v>1272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102"/>
    </row>
    <row r="2" spans="1:22" ht="76.5" customHeight="1" thickBot="1">
      <c r="A2" s="1"/>
      <c r="B2" s="88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103"/>
    </row>
    <row r="3" spans="1:22" s="4" customFormat="1" ht="12.75" customHeight="1">
      <c r="A3" s="98" t="s">
        <v>932</v>
      </c>
      <c r="B3" s="90" t="s">
        <v>0</v>
      </c>
      <c r="C3" s="92" t="s">
        <v>1</v>
      </c>
      <c r="D3" s="92" t="s">
        <v>1226</v>
      </c>
      <c r="E3" s="94" t="s">
        <v>11</v>
      </c>
      <c r="F3" s="94" t="s">
        <v>2</v>
      </c>
      <c r="G3" s="95" t="s">
        <v>1227</v>
      </c>
      <c r="H3" s="98" t="s">
        <v>4</v>
      </c>
      <c r="I3" s="94"/>
      <c r="J3" s="94"/>
      <c r="K3" s="100"/>
      <c r="L3" s="98" t="s">
        <v>5</v>
      </c>
      <c r="M3" s="94"/>
      <c r="N3" s="94"/>
      <c r="O3" s="100"/>
      <c r="P3" s="98" t="s">
        <v>6</v>
      </c>
      <c r="Q3" s="94"/>
      <c r="R3" s="94"/>
      <c r="S3" s="100"/>
      <c r="T3" s="90" t="s">
        <v>8</v>
      </c>
      <c r="U3" s="94" t="s">
        <v>9</v>
      </c>
      <c r="V3" s="100" t="s">
        <v>10</v>
      </c>
    </row>
    <row r="4" spans="1:22" s="4" customFormat="1" ht="23.25" customHeight="1" thickBot="1">
      <c r="A4" s="99"/>
      <c r="B4" s="91"/>
      <c r="C4" s="93"/>
      <c r="D4" s="93"/>
      <c r="E4" s="93"/>
      <c r="F4" s="93"/>
      <c r="G4" s="96"/>
      <c r="H4" s="6">
        <v>1</v>
      </c>
      <c r="I4" s="7">
        <v>2</v>
      </c>
      <c r="J4" s="7">
        <v>3</v>
      </c>
      <c r="K4" s="8" t="s">
        <v>7</v>
      </c>
      <c r="L4" s="6">
        <v>1</v>
      </c>
      <c r="M4" s="7">
        <v>2</v>
      </c>
      <c r="N4" s="7">
        <v>3</v>
      </c>
      <c r="O4" s="8" t="s">
        <v>7</v>
      </c>
      <c r="P4" s="6">
        <v>1</v>
      </c>
      <c r="Q4" s="7">
        <v>2</v>
      </c>
      <c r="R4" s="7">
        <v>3</v>
      </c>
      <c r="S4" s="8" t="s">
        <v>7</v>
      </c>
      <c r="T4" s="91"/>
      <c r="U4" s="93"/>
      <c r="V4" s="101"/>
    </row>
    <row r="5" spans="2:22" s="2" customFormat="1" ht="15.75">
      <c r="B5" s="106" t="s">
        <v>12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5"/>
    </row>
    <row r="6" spans="1:22" s="2" customFormat="1" ht="12.75">
      <c r="A6" s="40" t="s">
        <v>933</v>
      </c>
      <c r="B6" s="34" t="s">
        <v>816</v>
      </c>
      <c r="C6" s="9" t="s">
        <v>13</v>
      </c>
      <c r="D6" s="9" t="s">
        <v>14</v>
      </c>
      <c r="E6" s="9" t="str">
        <f>"0,8089"</f>
        <v>0,8089</v>
      </c>
      <c r="F6" s="10" t="s">
        <v>15</v>
      </c>
      <c r="G6" s="10" t="s">
        <v>16</v>
      </c>
      <c r="H6" s="29" t="s">
        <v>17</v>
      </c>
      <c r="I6" s="29" t="s">
        <v>18</v>
      </c>
      <c r="J6" s="29" t="s">
        <v>19</v>
      </c>
      <c r="K6" s="41"/>
      <c r="L6" s="29" t="s">
        <v>20</v>
      </c>
      <c r="M6" s="29" t="s">
        <v>21</v>
      </c>
      <c r="N6" s="43" t="s">
        <v>22</v>
      </c>
      <c r="O6" s="41"/>
      <c r="P6" s="29" t="s">
        <v>23</v>
      </c>
      <c r="Q6" s="29" t="s">
        <v>24</v>
      </c>
      <c r="R6" s="43" t="s">
        <v>25</v>
      </c>
      <c r="S6" s="41"/>
      <c r="T6" s="54">
        <v>440</v>
      </c>
      <c r="U6" s="40" t="str">
        <f>"355,9160"</f>
        <v>355,9160</v>
      </c>
      <c r="V6" s="10" t="s">
        <v>26</v>
      </c>
    </row>
    <row r="7" spans="1:22" s="2" customFormat="1" ht="12.75">
      <c r="A7" s="42"/>
      <c r="B7" s="35"/>
      <c r="F7" s="5"/>
      <c r="G7" s="5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5"/>
    </row>
    <row r="8" spans="1:21" ht="15.75">
      <c r="A8" s="1"/>
      <c r="B8" s="105" t="s">
        <v>27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</row>
    <row r="9" spans="1:22" ht="12.75">
      <c r="A9" s="40" t="s">
        <v>933</v>
      </c>
      <c r="B9" s="34" t="s">
        <v>1258</v>
      </c>
      <c r="C9" s="9" t="s">
        <v>28</v>
      </c>
      <c r="D9" s="9" t="s">
        <v>29</v>
      </c>
      <c r="E9" s="9" t="str">
        <f>"0,6940"</f>
        <v>0,6940</v>
      </c>
      <c r="F9" s="34" t="s">
        <v>15</v>
      </c>
      <c r="G9" s="10" t="s">
        <v>30</v>
      </c>
      <c r="H9" s="29" t="s">
        <v>31</v>
      </c>
      <c r="I9" s="43" t="s">
        <v>32</v>
      </c>
      <c r="J9" s="29" t="s">
        <v>33</v>
      </c>
      <c r="K9" s="41"/>
      <c r="L9" s="29" t="s">
        <v>34</v>
      </c>
      <c r="M9" s="29" t="s">
        <v>35</v>
      </c>
      <c r="N9" s="29" t="s">
        <v>36</v>
      </c>
      <c r="O9" s="41"/>
      <c r="P9" s="29" t="s">
        <v>37</v>
      </c>
      <c r="Q9" s="43" t="s">
        <v>38</v>
      </c>
      <c r="R9" s="43" t="s">
        <v>38</v>
      </c>
      <c r="S9" s="41"/>
      <c r="T9" s="54">
        <v>542.5</v>
      </c>
      <c r="U9" s="40" t="str">
        <f>"376,4950"</f>
        <v>376,4950</v>
      </c>
      <c r="V9" s="10" t="s">
        <v>1281</v>
      </c>
    </row>
    <row r="10" spans="1:22" ht="12.75">
      <c r="A10" s="40" t="s">
        <v>935</v>
      </c>
      <c r="B10" s="34" t="s">
        <v>1274</v>
      </c>
      <c r="C10" s="9" t="s">
        <v>39</v>
      </c>
      <c r="D10" s="9" t="s">
        <v>40</v>
      </c>
      <c r="E10" s="9" t="str">
        <f>"0,6899"</f>
        <v>0,6899</v>
      </c>
      <c r="F10" s="34" t="s">
        <v>15</v>
      </c>
      <c r="G10" s="10" t="s">
        <v>41</v>
      </c>
      <c r="H10" s="29" t="s">
        <v>42</v>
      </c>
      <c r="I10" s="29" t="s">
        <v>25</v>
      </c>
      <c r="J10" s="29" t="s">
        <v>43</v>
      </c>
      <c r="K10" s="41"/>
      <c r="L10" s="29" t="s">
        <v>44</v>
      </c>
      <c r="M10" s="29" t="s">
        <v>45</v>
      </c>
      <c r="N10" s="29" t="s">
        <v>46</v>
      </c>
      <c r="O10" s="41"/>
      <c r="P10" s="29" t="s">
        <v>31</v>
      </c>
      <c r="Q10" s="29" t="s">
        <v>32</v>
      </c>
      <c r="R10" s="29" t="s">
        <v>47</v>
      </c>
      <c r="S10" s="41"/>
      <c r="T10" s="54">
        <v>507.5</v>
      </c>
      <c r="U10" s="40" t="str">
        <f>"350,1242"</f>
        <v>350,1242</v>
      </c>
      <c r="V10" s="10" t="s">
        <v>48</v>
      </c>
    </row>
    <row r="11" spans="1:22" ht="12.75">
      <c r="A11" s="40" t="s">
        <v>936</v>
      </c>
      <c r="B11" s="34" t="s">
        <v>1275</v>
      </c>
      <c r="C11" s="9" t="s">
        <v>49</v>
      </c>
      <c r="D11" s="9" t="s">
        <v>50</v>
      </c>
      <c r="E11" s="9" t="str">
        <f>"0,6990"</f>
        <v>0,6990</v>
      </c>
      <c r="F11" s="34" t="s">
        <v>51</v>
      </c>
      <c r="G11" s="10" t="s">
        <v>73</v>
      </c>
      <c r="H11" s="29" t="s">
        <v>18</v>
      </c>
      <c r="I11" s="29" t="s">
        <v>52</v>
      </c>
      <c r="J11" s="43" t="s">
        <v>23</v>
      </c>
      <c r="K11" s="41"/>
      <c r="L11" s="29" t="s">
        <v>53</v>
      </c>
      <c r="M11" s="29" t="s">
        <v>45</v>
      </c>
      <c r="N11" s="43" t="s">
        <v>46</v>
      </c>
      <c r="O11" s="41"/>
      <c r="P11" s="29" t="s">
        <v>37</v>
      </c>
      <c r="Q11" s="29" t="s">
        <v>54</v>
      </c>
      <c r="R11" s="41"/>
      <c r="S11" s="41"/>
      <c r="T11" s="54">
        <v>497.5</v>
      </c>
      <c r="U11" s="40" t="str">
        <f>"347,7525"</f>
        <v>347,7525</v>
      </c>
      <c r="V11" s="10" t="s">
        <v>55</v>
      </c>
    </row>
    <row r="13" spans="1:21" ht="15.75">
      <c r="A13" s="1"/>
      <c r="B13" s="105" t="s">
        <v>61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</row>
    <row r="14" spans="1:22" ht="12.75">
      <c r="A14" s="40" t="s">
        <v>933</v>
      </c>
      <c r="B14" s="34" t="s">
        <v>1260</v>
      </c>
      <c r="C14" s="9" t="s">
        <v>63</v>
      </c>
      <c r="D14" s="9" t="s">
        <v>64</v>
      </c>
      <c r="E14" s="9" t="str">
        <f>"0,6133"</f>
        <v>0,6133</v>
      </c>
      <c r="F14" s="10" t="s">
        <v>15</v>
      </c>
      <c r="G14" s="10" t="s">
        <v>1245</v>
      </c>
      <c r="H14" s="29" t="s">
        <v>66</v>
      </c>
      <c r="I14" s="41"/>
      <c r="J14" s="41"/>
      <c r="K14" s="41"/>
      <c r="L14" s="29" t="s">
        <v>67</v>
      </c>
      <c r="M14" s="41"/>
      <c r="N14" s="41"/>
      <c r="O14" s="41"/>
      <c r="P14" s="29" t="s">
        <v>68</v>
      </c>
      <c r="Q14" s="41"/>
      <c r="R14" s="41"/>
      <c r="S14" s="41"/>
      <c r="T14" s="54">
        <v>670</v>
      </c>
      <c r="U14" s="40" t="str">
        <f>"410,9445"</f>
        <v>410,9445</v>
      </c>
      <c r="V14" s="10" t="s">
        <v>69</v>
      </c>
    </row>
    <row r="15" spans="1:22" ht="12.75">
      <c r="A15" s="40" t="s">
        <v>935</v>
      </c>
      <c r="B15" s="34" t="s">
        <v>1276</v>
      </c>
      <c r="C15" s="9" t="s">
        <v>71</v>
      </c>
      <c r="D15" s="9" t="s">
        <v>72</v>
      </c>
      <c r="E15" s="9" t="str">
        <f>"0,6387"</f>
        <v>0,6387</v>
      </c>
      <c r="F15" s="34" t="s">
        <v>51</v>
      </c>
      <c r="G15" s="10" t="s">
        <v>73</v>
      </c>
      <c r="H15" s="29" t="s">
        <v>74</v>
      </c>
      <c r="I15" s="29" t="s">
        <v>75</v>
      </c>
      <c r="J15" s="29" t="s">
        <v>76</v>
      </c>
      <c r="K15" s="41"/>
      <c r="L15" s="29" t="s">
        <v>18</v>
      </c>
      <c r="M15" s="29" t="s">
        <v>67</v>
      </c>
      <c r="N15" s="43" t="s">
        <v>42</v>
      </c>
      <c r="O15" s="41"/>
      <c r="P15" s="29" t="s">
        <v>38</v>
      </c>
      <c r="Q15" s="29" t="s">
        <v>77</v>
      </c>
      <c r="R15" s="43" t="s">
        <v>78</v>
      </c>
      <c r="S15" s="41"/>
      <c r="T15" s="54">
        <v>622.5</v>
      </c>
      <c r="U15" s="40" t="str">
        <f>"397,5908"</f>
        <v>397,5908</v>
      </c>
      <c r="V15" s="10" t="s">
        <v>1282</v>
      </c>
    </row>
    <row r="16" spans="1:22" ht="12.75">
      <c r="A16" s="40" t="s">
        <v>936</v>
      </c>
      <c r="B16" s="34" t="s">
        <v>1277</v>
      </c>
      <c r="C16" s="9" t="s">
        <v>80</v>
      </c>
      <c r="D16" s="9" t="s">
        <v>81</v>
      </c>
      <c r="E16" s="9" t="str">
        <f>"0,6201"</f>
        <v>0,6201</v>
      </c>
      <c r="F16" s="10" t="s">
        <v>15</v>
      </c>
      <c r="G16" s="10" t="s">
        <v>1273</v>
      </c>
      <c r="H16" s="29" t="s">
        <v>82</v>
      </c>
      <c r="I16" s="43" t="s">
        <v>66</v>
      </c>
      <c r="J16" s="43" t="s">
        <v>66</v>
      </c>
      <c r="K16" s="41"/>
      <c r="L16" s="29" t="s">
        <v>35</v>
      </c>
      <c r="M16" s="29" t="s">
        <v>17</v>
      </c>
      <c r="N16" s="43" t="s">
        <v>18</v>
      </c>
      <c r="O16" s="41"/>
      <c r="P16" s="29" t="s">
        <v>77</v>
      </c>
      <c r="Q16" s="43" t="s">
        <v>83</v>
      </c>
      <c r="R16" s="43" t="s">
        <v>83</v>
      </c>
      <c r="S16" s="41"/>
      <c r="T16" s="54">
        <v>595</v>
      </c>
      <c r="U16" s="40" t="str">
        <f>"368,9595"</f>
        <v>368,9595</v>
      </c>
      <c r="V16" s="10" t="s">
        <v>1283</v>
      </c>
    </row>
    <row r="17" spans="1:22" ht="12.75">
      <c r="A17" s="40"/>
      <c r="B17" s="34" t="s">
        <v>84</v>
      </c>
      <c r="C17" s="9" t="s">
        <v>85</v>
      </c>
      <c r="D17" s="9" t="s">
        <v>86</v>
      </c>
      <c r="E17" s="9" t="str">
        <f>"0,6137"</f>
        <v>0,6137</v>
      </c>
      <c r="F17" s="10" t="s">
        <v>15</v>
      </c>
      <c r="G17" s="10" t="s">
        <v>1273</v>
      </c>
      <c r="H17" s="43" t="s">
        <v>82</v>
      </c>
      <c r="I17" s="41"/>
      <c r="J17" s="41"/>
      <c r="K17" s="41"/>
      <c r="L17" s="43" t="s">
        <v>34</v>
      </c>
      <c r="M17" s="41"/>
      <c r="N17" s="41"/>
      <c r="O17" s="41"/>
      <c r="P17" s="43" t="s">
        <v>77</v>
      </c>
      <c r="Q17" s="41"/>
      <c r="R17" s="41"/>
      <c r="S17" s="41"/>
      <c r="T17" s="54">
        <v>0</v>
      </c>
      <c r="U17" s="40" t="str">
        <f>"0,0000"</f>
        <v>0,0000</v>
      </c>
      <c r="V17" s="10" t="s">
        <v>55</v>
      </c>
    </row>
    <row r="19" spans="1:21" ht="15.75">
      <c r="A19" s="1"/>
      <c r="B19" s="105" t="s">
        <v>87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</row>
    <row r="20" spans="1:22" ht="12.75">
      <c r="A20" s="40" t="s">
        <v>933</v>
      </c>
      <c r="B20" s="34" t="s">
        <v>1278</v>
      </c>
      <c r="C20" s="9" t="s">
        <v>88</v>
      </c>
      <c r="D20" s="9" t="s">
        <v>89</v>
      </c>
      <c r="E20" s="9" t="str">
        <f>"0,5968"</f>
        <v>0,5968</v>
      </c>
      <c r="F20" s="10" t="s">
        <v>15</v>
      </c>
      <c r="G20" s="10" t="s">
        <v>981</v>
      </c>
      <c r="H20" s="43" t="s">
        <v>37</v>
      </c>
      <c r="I20" s="29" t="s">
        <v>37</v>
      </c>
      <c r="J20" s="29" t="s">
        <v>75</v>
      </c>
      <c r="K20" s="41"/>
      <c r="L20" s="43" t="s">
        <v>31</v>
      </c>
      <c r="M20" s="29" t="s">
        <v>31</v>
      </c>
      <c r="N20" s="29" t="s">
        <v>90</v>
      </c>
      <c r="O20" s="41"/>
      <c r="P20" s="29" t="s">
        <v>77</v>
      </c>
      <c r="Q20" s="29" t="s">
        <v>91</v>
      </c>
      <c r="R20" s="29" t="s">
        <v>92</v>
      </c>
      <c r="S20" s="41"/>
      <c r="T20" s="54">
        <v>645</v>
      </c>
      <c r="U20" s="40" t="str">
        <f>"384,9038"</f>
        <v>384,9038</v>
      </c>
      <c r="V20" s="10" t="s">
        <v>55</v>
      </c>
    </row>
    <row r="22" spans="1:21" ht="15.75">
      <c r="A22" s="1"/>
      <c r="B22" s="105" t="s">
        <v>93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</row>
    <row r="23" spans="1:22" ht="12.75">
      <c r="A23" s="40" t="s">
        <v>933</v>
      </c>
      <c r="B23" s="34" t="s">
        <v>1279</v>
      </c>
      <c r="C23" s="9" t="s">
        <v>94</v>
      </c>
      <c r="D23" s="9" t="s">
        <v>95</v>
      </c>
      <c r="E23" s="9" t="str">
        <f>"0,5706"</f>
        <v>0,5706</v>
      </c>
      <c r="F23" s="10" t="s">
        <v>15</v>
      </c>
      <c r="G23" s="10" t="s">
        <v>1273</v>
      </c>
      <c r="H23" s="29" t="s">
        <v>82</v>
      </c>
      <c r="I23" s="29" t="s">
        <v>66</v>
      </c>
      <c r="J23" s="43" t="s">
        <v>77</v>
      </c>
      <c r="K23" s="41"/>
      <c r="L23" s="29" t="s">
        <v>67</v>
      </c>
      <c r="M23" s="29" t="s">
        <v>31</v>
      </c>
      <c r="N23" s="29" t="s">
        <v>90</v>
      </c>
      <c r="O23" s="41"/>
      <c r="P23" s="29" t="s">
        <v>77</v>
      </c>
      <c r="Q23" s="43" t="s">
        <v>92</v>
      </c>
      <c r="R23" s="43" t="s">
        <v>96</v>
      </c>
      <c r="S23" s="41"/>
      <c r="T23" s="54">
        <v>640</v>
      </c>
      <c r="U23" s="40" t="str">
        <f>"365,2160"</f>
        <v>365,2160</v>
      </c>
      <c r="V23" s="10" t="s">
        <v>97</v>
      </c>
    </row>
    <row r="25" spans="1:21" ht="15.75">
      <c r="A25" s="1"/>
      <c r="B25" s="105" t="s">
        <v>98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</row>
    <row r="26" spans="1:22" ht="12.75">
      <c r="A26" s="40" t="s">
        <v>933</v>
      </c>
      <c r="B26" s="34" t="s">
        <v>1280</v>
      </c>
      <c r="C26" s="9" t="s">
        <v>100</v>
      </c>
      <c r="D26" s="9" t="s">
        <v>101</v>
      </c>
      <c r="E26" s="9" t="str">
        <f>"0,5476"</f>
        <v>0,5476</v>
      </c>
      <c r="F26" s="34" t="s">
        <v>1231</v>
      </c>
      <c r="G26" s="10" t="s">
        <v>102</v>
      </c>
      <c r="H26" s="43" t="s">
        <v>103</v>
      </c>
      <c r="I26" s="29" t="s">
        <v>103</v>
      </c>
      <c r="J26" s="43" t="s">
        <v>104</v>
      </c>
      <c r="K26" s="43"/>
      <c r="L26" s="29" t="s">
        <v>67</v>
      </c>
      <c r="M26" s="29" t="s">
        <v>90</v>
      </c>
      <c r="N26" s="43" t="s">
        <v>37</v>
      </c>
      <c r="O26" s="41"/>
      <c r="P26" s="29" t="s">
        <v>103</v>
      </c>
      <c r="Q26" s="29" t="s">
        <v>105</v>
      </c>
      <c r="R26" s="43" t="s">
        <v>106</v>
      </c>
      <c r="S26" s="41"/>
      <c r="T26" s="54">
        <v>745</v>
      </c>
      <c r="U26" s="40" t="str">
        <f>"407,9992"</f>
        <v>407,9992</v>
      </c>
      <c r="V26" s="10" t="s">
        <v>107</v>
      </c>
    </row>
    <row r="28" spans="2:3" ht="18">
      <c r="B28" s="36" t="s">
        <v>108</v>
      </c>
      <c r="C28" s="11"/>
    </row>
    <row r="29" spans="2:3" ht="15.75">
      <c r="B29" s="37" t="s">
        <v>117</v>
      </c>
      <c r="C29" s="12"/>
    </row>
    <row r="30" spans="2:3" ht="13.5">
      <c r="B30" s="38"/>
      <c r="C30" s="13" t="s">
        <v>209</v>
      </c>
    </row>
    <row r="31" spans="2:6" ht="13.5">
      <c r="B31" s="14" t="s">
        <v>111</v>
      </c>
      <c r="C31" s="14" t="s">
        <v>112</v>
      </c>
      <c r="D31" s="14" t="s">
        <v>113</v>
      </c>
      <c r="E31" s="14" t="s">
        <v>114</v>
      </c>
      <c r="F31" s="14" t="s">
        <v>115</v>
      </c>
    </row>
    <row r="32" spans="2:6" ht="12.75">
      <c r="B32" s="39" t="s">
        <v>62</v>
      </c>
      <c r="C32" s="2" t="s">
        <v>110</v>
      </c>
      <c r="D32" s="2" t="s">
        <v>119</v>
      </c>
      <c r="E32" s="42" t="s">
        <v>120</v>
      </c>
      <c r="F32" s="3" t="s">
        <v>121</v>
      </c>
    </row>
    <row r="33" spans="2:6" ht="12.75">
      <c r="B33" s="39" t="s">
        <v>99</v>
      </c>
      <c r="C33" s="2" t="s">
        <v>110</v>
      </c>
      <c r="D33" s="2" t="s">
        <v>122</v>
      </c>
      <c r="E33" s="42" t="s">
        <v>123</v>
      </c>
      <c r="F33" s="3" t="s">
        <v>124</v>
      </c>
    </row>
    <row r="34" spans="2:6" ht="12.75">
      <c r="B34" s="39" t="s">
        <v>70</v>
      </c>
      <c r="C34" s="2" t="s">
        <v>110</v>
      </c>
      <c r="D34" s="2" t="s">
        <v>119</v>
      </c>
      <c r="E34" s="42" t="s">
        <v>125</v>
      </c>
      <c r="F34" s="3" t="s">
        <v>126</v>
      </c>
    </row>
  </sheetData>
  <sheetProtection/>
  <mergeCells count="20">
    <mergeCell ref="B13:U13"/>
    <mergeCell ref="B19:U19"/>
    <mergeCell ref="B22:U22"/>
    <mergeCell ref="B25:U25"/>
    <mergeCell ref="A3:A4"/>
    <mergeCell ref="V3:V4"/>
    <mergeCell ref="G3:G4"/>
    <mergeCell ref="F3:F4"/>
    <mergeCell ref="B5:U5"/>
    <mergeCell ref="B8:U8"/>
    <mergeCell ref="E3:E4"/>
    <mergeCell ref="T3:T4"/>
    <mergeCell ref="U3:U4"/>
    <mergeCell ref="B1:V2"/>
    <mergeCell ref="H3:K3"/>
    <mergeCell ref="L3:O3"/>
    <mergeCell ref="P3:S3"/>
    <mergeCell ref="B3:B4"/>
    <mergeCell ref="C3:C4"/>
    <mergeCell ref="D3:D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65"/>
  <headerFooter alignWithMargins="0">
    <oddFooter>&amp;L&amp;G&amp;R&amp;D&amp;T&amp;P</oddFooter>
  </headerFooter>
  <legacyDrawingHF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10"/>
  <sheetViews>
    <sheetView workbookViewId="0" topLeftCell="A1">
      <selection activeCell="A1" sqref="A1:M1"/>
    </sheetView>
  </sheetViews>
  <sheetFormatPr defaultColWidth="11.00390625" defaultRowHeight="12.75"/>
  <cols>
    <col min="13" max="13" width="53.125" style="0" customWidth="1"/>
  </cols>
  <sheetData>
    <row r="1" spans="1:13" ht="115.5" customHeight="1">
      <c r="A1" s="116" t="s">
        <v>1507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8"/>
    </row>
    <row r="2" spans="1:13" ht="30" thickBot="1">
      <c r="A2" s="134" t="s">
        <v>1502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6"/>
    </row>
    <row r="4" spans="1:13" ht="15.75">
      <c r="A4" s="83" t="s">
        <v>1499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3" ht="15.75">
      <c r="A5" s="83" t="s">
        <v>1500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</row>
    <row r="6" spans="1:13" ht="15.75">
      <c r="A6" s="83" t="s">
        <v>1504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</row>
    <row r="7" spans="1:13" ht="15.75">
      <c r="A7" s="83" t="s">
        <v>1501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</row>
    <row r="8" spans="1:13" ht="15.75">
      <c r="A8" s="83" t="s">
        <v>1503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</row>
    <row r="9" spans="1:13" ht="15.75">
      <c r="A9" s="83" t="s">
        <v>1506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</row>
    <row r="10" spans="1:13" ht="15.75">
      <c r="A10" s="83" t="s">
        <v>1505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</row>
  </sheetData>
  <sheetProtection/>
  <mergeCells count="2">
    <mergeCell ref="A1:M1"/>
    <mergeCell ref="A2:M2"/>
  </mergeCells>
  <printOptions/>
  <pageMargins left="0.75" right="0.75" top="1" bottom="1" header="0.5" footer="0.5"/>
  <pageSetup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F18" sqref="F18"/>
    </sheetView>
  </sheetViews>
  <sheetFormatPr defaultColWidth="11.00390625" defaultRowHeight="12.75"/>
  <cols>
    <col min="13" max="13" width="30.25390625" style="0" customWidth="1"/>
  </cols>
  <sheetData>
    <row r="1" spans="1:13" ht="87" customHeight="1">
      <c r="A1" s="116" t="s">
        <v>1511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8"/>
    </row>
    <row r="2" spans="1:13" ht="30" thickBot="1">
      <c r="A2" s="134" t="s">
        <v>1502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6"/>
    </row>
    <row r="5" spans="1:4" ht="12.75">
      <c r="A5" t="s">
        <v>1497</v>
      </c>
      <c r="D5">
        <v>91</v>
      </c>
    </row>
    <row r="6" spans="1:4" ht="12.75">
      <c r="A6" s="52" t="s">
        <v>178</v>
      </c>
      <c r="D6">
        <v>58</v>
      </c>
    </row>
    <row r="7" spans="1:4" ht="12.75">
      <c r="A7" t="s">
        <v>1452</v>
      </c>
      <c r="D7">
        <v>51</v>
      </c>
    </row>
    <row r="8" spans="1:4" ht="12.75">
      <c r="A8" t="s">
        <v>1478</v>
      </c>
      <c r="D8">
        <v>43</v>
      </c>
    </row>
    <row r="9" spans="1:4" ht="12.75">
      <c r="A9" t="s">
        <v>1523</v>
      </c>
      <c r="D9">
        <v>36</v>
      </c>
    </row>
    <row r="10" spans="1:4" ht="12.75">
      <c r="A10" t="s">
        <v>1241</v>
      </c>
      <c r="D10">
        <v>29</v>
      </c>
    </row>
    <row r="11" spans="1:4" ht="12.75">
      <c r="A11" t="s">
        <v>1518</v>
      </c>
      <c r="D11">
        <v>29</v>
      </c>
    </row>
    <row r="12" spans="1:4" ht="12.75">
      <c r="A12" t="s">
        <v>1524</v>
      </c>
      <c r="D12">
        <v>24</v>
      </c>
    </row>
    <row r="13" spans="1:4" ht="12.75">
      <c r="A13" t="s">
        <v>1508</v>
      </c>
      <c r="D13">
        <v>23</v>
      </c>
    </row>
    <row r="14" spans="1:4" ht="12.75">
      <c r="A14" t="s">
        <v>1516</v>
      </c>
      <c r="D14">
        <v>22</v>
      </c>
    </row>
    <row r="15" spans="1:4" ht="12.75">
      <c r="A15" t="s">
        <v>1512</v>
      </c>
      <c r="D15">
        <v>22</v>
      </c>
    </row>
    <row r="16" spans="1:4" ht="12.75">
      <c r="A16" t="s">
        <v>1287</v>
      </c>
      <c r="D16">
        <v>19</v>
      </c>
    </row>
    <row r="17" spans="1:4" ht="12.75">
      <c r="A17" t="s">
        <v>1286</v>
      </c>
      <c r="D17">
        <v>12</v>
      </c>
    </row>
    <row r="18" spans="1:4" ht="12.75">
      <c r="A18" t="s">
        <v>1517</v>
      </c>
      <c r="D18">
        <v>9</v>
      </c>
    </row>
    <row r="19" spans="1:4" ht="12.75">
      <c r="A19" t="s">
        <v>1510</v>
      </c>
      <c r="D19">
        <v>8</v>
      </c>
    </row>
    <row r="20" spans="1:4" ht="12.75">
      <c r="A20" t="s">
        <v>1526</v>
      </c>
      <c r="D20">
        <v>7</v>
      </c>
    </row>
    <row r="21" spans="1:4" ht="12.75">
      <c r="A21" t="s">
        <v>1525</v>
      </c>
      <c r="D21">
        <v>6</v>
      </c>
    </row>
    <row r="22" spans="1:4" ht="12.75">
      <c r="A22" t="s">
        <v>1514</v>
      </c>
      <c r="D22">
        <v>5</v>
      </c>
    </row>
    <row r="23" spans="1:4" ht="12.75">
      <c r="A23" t="s">
        <v>1509</v>
      </c>
      <c r="D23">
        <v>5</v>
      </c>
    </row>
    <row r="24" spans="1:4" ht="12.75">
      <c r="A24" t="s">
        <v>1522</v>
      </c>
      <c r="D24">
        <v>5</v>
      </c>
    </row>
    <row r="25" spans="1:4" ht="12.75">
      <c r="A25" t="s">
        <v>1519</v>
      </c>
      <c r="D25">
        <v>4</v>
      </c>
    </row>
  </sheetData>
  <sheetProtection/>
  <mergeCells count="2">
    <mergeCell ref="A1:M1"/>
    <mergeCell ref="A2:M2"/>
  </mergeCells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6"/>
  <sheetViews>
    <sheetView workbookViewId="0" topLeftCell="A6">
      <selection activeCell="E48" sqref="E48"/>
    </sheetView>
  </sheetViews>
  <sheetFormatPr defaultColWidth="9.125" defaultRowHeight="12.75"/>
  <cols>
    <col min="1" max="1" width="7.875" style="3" customWidth="1"/>
    <col min="2" max="2" width="21.25390625" style="35" customWidth="1"/>
    <col min="3" max="3" width="25.00390625" style="2" customWidth="1"/>
    <col min="4" max="4" width="10.625" style="2" bestFit="1" customWidth="1"/>
    <col min="5" max="5" width="18.125" style="2" customWidth="1"/>
    <col min="6" max="6" width="30.625" style="5" customWidth="1"/>
    <col min="7" max="7" width="13.875" style="5" customWidth="1"/>
    <col min="8" max="8" width="20.625" style="42" customWidth="1"/>
    <col min="9" max="16384" width="9.125" style="1" customWidth="1"/>
  </cols>
  <sheetData>
    <row r="1" spans="1:8" ht="15" customHeight="1">
      <c r="A1" s="47"/>
      <c r="B1" s="86" t="s">
        <v>1242</v>
      </c>
      <c r="C1" s="87"/>
      <c r="D1" s="87"/>
      <c r="E1" s="87"/>
      <c r="F1" s="87"/>
      <c r="G1" s="87"/>
      <c r="H1" s="87"/>
    </row>
    <row r="2" spans="1:8" ht="106.5" customHeight="1" thickBot="1">
      <c r="A2" s="47"/>
      <c r="B2" s="88"/>
      <c r="C2" s="89"/>
      <c r="D2" s="89"/>
      <c r="E2" s="89"/>
      <c r="F2" s="89"/>
      <c r="G2" s="89"/>
      <c r="H2" s="89"/>
    </row>
    <row r="3" spans="1:8" s="4" customFormat="1" ht="12.75" customHeight="1">
      <c r="A3" s="98" t="s">
        <v>932</v>
      </c>
      <c r="B3" s="90" t="s">
        <v>0</v>
      </c>
      <c r="C3" s="92" t="s">
        <v>1</v>
      </c>
      <c r="D3" s="92" t="s">
        <v>1226</v>
      </c>
      <c r="E3" s="94" t="s">
        <v>2</v>
      </c>
      <c r="F3" s="95" t="s">
        <v>1227</v>
      </c>
      <c r="G3" s="90" t="s">
        <v>934</v>
      </c>
      <c r="H3" s="100" t="s">
        <v>10</v>
      </c>
    </row>
    <row r="4" spans="1:8" s="4" customFormat="1" ht="23.25" customHeight="1" thickBot="1">
      <c r="A4" s="99"/>
      <c r="B4" s="91"/>
      <c r="C4" s="93"/>
      <c r="D4" s="93"/>
      <c r="E4" s="93"/>
      <c r="F4" s="96"/>
      <c r="G4" s="91"/>
      <c r="H4" s="101"/>
    </row>
    <row r="5" spans="1:8" s="2" customFormat="1" ht="15.75">
      <c r="A5" s="42"/>
      <c r="B5" s="106" t="s">
        <v>331</v>
      </c>
      <c r="C5" s="104"/>
      <c r="D5" s="104"/>
      <c r="E5" s="104"/>
      <c r="F5" s="104"/>
      <c r="G5" s="104"/>
      <c r="H5" s="104"/>
    </row>
    <row r="6" spans="1:8" s="2" customFormat="1" ht="12.75">
      <c r="A6" s="40" t="s">
        <v>933</v>
      </c>
      <c r="B6" s="34" t="s">
        <v>1120</v>
      </c>
      <c r="C6" s="9" t="s">
        <v>1121</v>
      </c>
      <c r="D6" s="9" t="s">
        <v>509</v>
      </c>
      <c r="E6" s="10" t="s">
        <v>15</v>
      </c>
      <c r="F6" s="10" t="s">
        <v>468</v>
      </c>
      <c r="G6" s="54">
        <v>43</v>
      </c>
      <c r="H6" s="10" t="s">
        <v>1122</v>
      </c>
    </row>
    <row r="7" spans="1:8" s="2" customFormat="1" ht="12.75">
      <c r="A7" s="3"/>
      <c r="B7" s="35"/>
      <c r="F7" s="5"/>
      <c r="G7" s="5"/>
      <c r="H7" s="42"/>
    </row>
    <row r="8" spans="1:8" ht="15.75">
      <c r="A8" s="47"/>
      <c r="B8" s="105" t="s">
        <v>1123</v>
      </c>
      <c r="C8" s="97"/>
      <c r="D8" s="97"/>
      <c r="E8" s="97"/>
      <c r="F8" s="97"/>
      <c r="G8" s="97"/>
      <c r="H8" s="97"/>
    </row>
    <row r="9" spans="1:8" ht="12.75">
      <c r="A9" s="40" t="s">
        <v>933</v>
      </c>
      <c r="B9" s="34" t="s">
        <v>983</v>
      </c>
      <c r="C9" s="9" t="s">
        <v>967</v>
      </c>
      <c r="D9" s="9" t="s">
        <v>548</v>
      </c>
      <c r="E9" s="52" t="s">
        <v>1231</v>
      </c>
      <c r="F9" s="10" t="s">
        <v>1244</v>
      </c>
      <c r="G9" s="54">
        <v>40.5</v>
      </c>
      <c r="H9" s="10" t="s">
        <v>1243</v>
      </c>
    </row>
    <row r="11" spans="1:8" ht="15.75">
      <c r="A11" s="47"/>
      <c r="B11" s="105" t="s">
        <v>1124</v>
      </c>
      <c r="C11" s="97"/>
      <c r="D11" s="97"/>
      <c r="E11" s="97"/>
      <c r="F11" s="97"/>
      <c r="G11" s="97"/>
      <c r="H11" s="97"/>
    </row>
    <row r="12" spans="1:8" ht="12.75">
      <c r="A12" s="40" t="s">
        <v>933</v>
      </c>
      <c r="B12" s="34" t="s">
        <v>1125</v>
      </c>
      <c r="C12" s="9" t="s">
        <v>1126</v>
      </c>
      <c r="D12" s="9" t="s">
        <v>1127</v>
      </c>
      <c r="E12" s="34" t="s">
        <v>168</v>
      </c>
      <c r="F12" s="10" t="s">
        <v>1244</v>
      </c>
      <c r="G12" s="54">
        <v>43</v>
      </c>
      <c r="H12" s="10" t="s">
        <v>1022</v>
      </c>
    </row>
    <row r="14" spans="1:8" ht="15.75">
      <c r="A14" s="47"/>
      <c r="B14" s="105" t="s">
        <v>1128</v>
      </c>
      <c r="C14" s="97"/>
      <c r="D14" s="97"/>
      <c r="E14" s="97"/>
      <c r="F14" s="97"/>
      <c r="G14" s="97"/>
      <c r="H14" s="97"/>
    </row>
    <row r="15" spans="1:8" ht="12.75">
      <c r="A15" s="40" t="s">
        <v>933</v>
      </c>
      <c r="B15" s="34" t="s">
        <v>809</v>
      </c>
      <c r="C15" s="9" t="s">
        <v>810</v>
      </c>
      <c r="D15" s="9" t="s">
        <v>1129</v>
      </c>
      <c r="E15" s="10" t="s">
        <v>15</v>
      </c>
      <c r="F15" s="10" t="s">
        <v>1244</v>
      </c>
      <c r="G15" s="54">
        <v>53</v>
      </c>
      <c r="H15" s="10" t="s">
        <v>812</v>
      </c>
    </row>
    <row r="17" spans="1:8" ht="15.75">
      <c r="A17" s="47"/>
      <c r="B17" s="105" t="s">
        <v>1123</v>
      </c>
      <c r="C17" s="97"/>
      <c r="D17" s="97"/>
      <c r="E17" s="97"/>
      <c r="F17" s="97"/>
      <c r="G17" s="97"/>
      <c r="H17" s="97"/>
    </row>
    <row r="18" spans="1:8" ht="12.75">
      <c r="A18" s="40" t="s">
        <v>933</v>
      </c>
      <c r="B18" s="34" t="s">
        <v>1130</v>
      </c>
      <c r="C18" s="9" t="s">
        <v>1131</v>
      </c>
      <c r="D18" s="9" t="s">
        <v>1132</v>
      </c>
      <c r="E18" s="34" t="s">
        <v>875</v>
      </c>
      <c r="F18" s="10" t="s">
        <v>876</v>
      </c>
      <c r="G18" s="54">
        <v>43</v>
      </c>
      <c r="H18" s="10" t="s">
        <v>1133</v>
      </c>
    </row>
    <row r="19" spans="1:8" ht="12.75">
      <c r="A19" s="40" t="s">
        <v>933</v>
      </c>
      <c r="B19" s="34" t="s">
        <v>1134</v>
      </c>
      <c r="C19" s="9" t="s">
        <v>1135</v>
      </c>
      <c r="D19" s="9" t="s">
        <v>1136</v>
      </c>
      <c r="E19" s="10" t="s">
        <v>15</v>
      </c>
      <c r="F19" s="10" t="s">
        <v>1137</v>
      </c>
      <c r="G19" s="54">
        <v>53</v>
      </c>
      <c r="H19" s="10" t="s">
        <v>1243</v>
      </c>
    </row>
    <row r="21" spans="1:8" ht="15.75">
      <c r="A21" s="47"/>
      <c r="B21" s="105" t="s">
        <v>1124</v>
      </c>
      <c r="C21" s="97"/>
      <c r="D21" s="97"/>
      <c r="E21" s="97"/>
      <c r="F21" s="97"/>
      <c r="G21" s="97"/>
      <c r="H21" s="97"/>
    </row>
    <row r="22" spans="1:8" ht="12.75">
      <c r="A22" s="40" t="s">
        <v>933</v>
      </c>
      <c r="B22" s="34" t="s">
        <v>1138</v>
      </c>
      <c r="C22" s="9" t="s">
        <v>1139</v>
      </c>
      <c r="D22" s="9" t="s">
        <v>1140</v>
      </c>
      <c r="E22" s="10" t="s">
        <v>1241</v>
      </c>
      <c r="F22" s="10" t="s">
        <v>275</v>
      </c>
      <c r="G22" s="54">
        <v>80.5</v>
      </c>
      <c r="H22" s="10" t="s">
        <v>1141</v>
      </c>
    </row>
    <row r="23" spans="1:8" ht="12.75">
      <c r="A23" s="40" t="s">
        <v>935</v>
      </c>
      <c r="B23" s="34" t="s">
        <v>1142</v>
      </c>
      <c r="C23" s="9" t="s">
        <v>1143</v>
      </c>
      <c r="D23" s="9" t="s">
        <v>14</v>
      </c>
      <c r="E23" s="10" t="s">
        <v>15</v>
      </c>
      <c r="F23" s="10" t="s">
        <v>1144</v>
      </c>
      <c r="G23" s="54">
        <v>73</v>
      </c>
      <c r="H23" s="10" t="s">
        <v>55</v>
      </c>
    </row>
    <row r="25" spans="1:8" ht="15.75">
      <c r="A25" s="47"/>
      <c r="B25" s="105" t="s">
        <v>61</v>
      </c>
      <c r="C25" s="97"/>
      <c r="D25" s="97"/>
      <c r="E25" s="97"/>
      <c r="F25" s="97"/>
      <c r="G25" s="97"/>
      <c r="H25" s="97"/>
    </row>
    <row r="26" spans="1:8" ht="12.75">
      <c r="A26" s="40" t="s">
        <v>933</v>
      </c>
      <c r="B26" s="34" t="s">
        <v>1145</v>
      </c>
      <c r="C26" s="9" t="s">
        <v>1146</v>
      </c>
      <c r="D26" s="9" t="s">
        <v>815</v>
      </c>
      <c r="E26" s="34" t="s">
        <v>975</v>
      </c>
      <c r="F26" s="10" t="s">
        <v>1245</v>
      </c>
      <c r="G26" s="54">
        <v>88</v>
      </c>
      <c r="H26" s="10" t="s">
        <v>55</v>
      </c>
    </row>
    <row r="27" spans="1:8" ht="12.75">
      <c r="A27" s="40" t="s">
        <v>935</v>
      </c>
      <c r="B27" s="34" t="s">
        <v>1147</v>
      </c>
      <c r="C27" s="9" t="s">
        <v>1148</v>
      </c>
      <c r="D27" s="9" t="s">
        <v>1062</v>
      </c>
      <c r="E27" s="10" t="s">
        <v>15</v>
      </c>
      <c r="F27" s="10" t="s">
        <v>532</v>
      </c>
      <c r="G27" s="54">
        <v>88</v>
      </c>
      <c r="H27" s="10" t="s">
        <v>1243</v>
      </c>
    </row>
    <row r="28" spans="1:8" ht="12.75">
      <c r="A28" s="40" t="s">
        <v>936</v>
      </c>
      <c r="B28" s="34" t="s">
        <v>1149</v>
      </c>
      <c r="C28" s="9" t="s">
        <v>1150</v>
      </c>
      <c r="D28" s="9" t="s">
        <v>617</v>
      </c>
      <c r="E28" s="10" t="s">
        <v>1241</v>
      </c>
      <c r="F28" s="10" t="s">
        <v>1233</v>
      </c>
      <c r="G28" s="54">
        <v>83</v>
      </c>
      <c r="H28" s="10" t="s">
        <v>1151</v>
      </c>
    </row>
    <row r="29" spans="1:8" ht="12.75">
      <c r="A29" s="40" t="s">
        <v>933</v>
      </c>
      <c r="B29" s="34" t="s">
        <v>1152</v>
      </c>
      <c r="C29" s="9" t="s">
        <v>1153</v>
      </c>
      <c r="D29" s="9" t="s">
        <v>1016</v>
      </c>
      <c r="E29" s="10" t="s">
        <v>15</v>
      </c>
      <c r="F29" s="10" t="s">
        <v>972</v>
      </c>
      <c r="G29" s="54">
        <v>73</v>
      </c>
      <c r="H29" s="10" t="s">
        <v>55</v>
      </c>
    </row>
    <row r="31" spans="1:8" ht="15.75">
      <c r="A31" s="47"/>
      <c r="B31" s="105" t="s">
        <v>87</v>
      </c>
      <c r="C31" s="97"/>
      <c r="D31" s="97"/>
      <c r="E31" s="97"/>
      <c r="F31" s="97"/>
      <c r="G31" s="97"/>
      <c r="H31" s="97"/>
    </row>
    <row r="32" spans="1:8" ht="12.75">
      <c r="A32" s="40" t="s">
        <v>933</v>
      </c>
      <c r="B32" s="34" t="s">
        <v>988</v>
      </c>
      <c r="C32" s="9" t="s">
        <v>973</v>
      </c>
      <c r="D32" s="9" t="s">
        <v>974</v>
      </c>
      <c r="E32" s="34" t="s">
        <v>975</v>
      </c>
      <c r="F32" s="10" t="s">
        <v>976</v>
      </c>
      <c r="G32" s="54">
        <v>88</v>
      </c>
      <c r="H32" s="10" t="s">
        <v>1243</v>
      </c>
    </row>
    <row r="33" spans="1:8" ht="12.75">
      <c r="A33" s="40" t="s">
        <v>935</v>
      </c>
      <c r="B33" s="34" t="s">
        <v>1154</v>
      </c>
      <c r="C33" s="9" t="s">
        <v>1155</v>
      </c>
      <c r="D33" s="9" t="s">
        <v>249</v>
      </c>
      <c r="E33" s="10" t="s">
        <v>15</v>
      </c>
      <c r="F33" s="10" t="s">
        <v>1156</v>
      </c>
      <c r="G33" s="54">
        <v>85.5</v>
      </c>
      <c r="H33" s="10" t="s">
        <v>55</v>
      </c>
    </row>
    <row r="34" spans="1:8" ht="12.75">
      <c r="A34" s="40" t="s">
        <v>936</v>
      </c>
      <c r="B34" s="34" t="s">
        <v>1157</v>
      </c>
      <c r="C34" s="9" t="s">
        <v>1158</v>
      </c>
      <c r="D34" s="9" t="s">
        <v>218</v>
      </c>
      <c r="E34" s="10" t="s">
        <v>1241</v>
      </c>
      <c r="F34" s="10" t="s">
        <v>275</v>
      </c>
      <c r="G34" s="54">
        <v>73</v>
      </c>
      <c r="H34" s="10" t="s">
        <v>1243</v>
      </c>
    </row>
    <row r="35" spans="1:8" ht="12.75">
      <c r="A35" s="40" t="s">
        <v>938</v>
      </c>
      <c r="B35" s="34" t="s">
        <v>1159</v>
      </c>
      <c r="C35" s="9" t="s">
        <v>1160</v>
      </c>
      <c r="D35" s="9" t="s">
        <v>1161</v>
      </c>
      <c r="E35" s="10" t="s">
        <v>15</v>
      </c>
      <c r="F35" s="10" t="s">
        <v>16</v>
      </c>
      <c r="G35" s="54">
        <v>68</v>
      </c>
      <c r="H35" s="10" t="s">
        <v>55</v>
      </c>
    </row>
    <row r="37" spans="1:8" ht="15.75">
      <c r="A37" s="47"/>
      <c r="B37" s="105" t="s">
        <v>93</v>
      </c>
      <c r="C37" s="97"/>
      <c r="D37" s="97"/>
      <c r="E37" s="97"/>
      <c r="F37" s="97"/>
      <c r="G37" s="97"/>
      <c r="H37" s="97"/>
    </row>
    <row r="38" spans="1:8" ht="12.75">
      <c r="A38" s="40" t="s">
        <v>933</v>
      </c>
      <c r="B38" s="34" t="s">
        <v>1162</v>
      </c>
      <c r="C38" s="9" t="s">
        <v>1163</v>
      </c>
      <c r="D38" s="9" t="s">
        <v>1164</v>
      </c>
      <c r="E38" s="10" t="s">
        <v>15</v>
      </c>
      <c r="F38" s="10" t="s">
        <v>1156</v>
      </c>
      <c r="G38" s="54">
        <v>93</v>
      </c>
      <c r="H38" s="10" t="s">
        <v>55</v>
      </c>
    </row>
    <row r="39" spans="1:8" ht="12.75">
      <c r="A39" s="40" t="s">
        <v>935</v>
      </c>
      <c r="B39" s="34" t="s">
        <v>1166</v>
      </c>
      <c r="C39" s="9" t="s">
        <v>1167</v>
      </c>
      <c r="D39" s="9" t="s">
        <v>1168</v>
      </c>
      <c r="E39" s="10" t="s">
        <v>15</v>
      </c>
      <c r="F39" s="10" t="s">
        <v>1244</v>
      </c>
      <c r="G39" s="54">
        <v>90.5</v>
      </c>
      <c r="H39" s="10" t="s">
        <v>1243</v>
      </c>
    </row>
    <row r="40" spans="1:8" ht="12.75">
      <c r="A40" s="40" t="s">
        <v>936</v>
      </c>
      <c r="B40" s="34" t="s">
        <v>1170</v>
      </c>
      <c r="C40" s="9" t="s">
        <v>1171</v>
      </c>
      <c r="D40" s="9" t="s">
        <v>1172</v>
      </c>
      <c r="E40" s="10" t="s">
        <v>15</v>
      </c>
      <c r="F40" s="10" t="s">
        <v>1173</v>
      </c>
      <c r="G40" s="54">
        <v>83</v>
      </c>
      <c r="H40" s="10" t="s">
        <v>1174</v>
      </c>
    </row>
    <row r="41" spans="1:8" ht="12.75">
      <c r="A41" s="40" t="s">
        <v>933</v>
      </c>
      <c r="B41" s="34" t="s">
        <v>1170</v>
      </c>
      <c r="C41" s="9" t="s">
        <v>1175</v>
      </c>
      <c r="D41" s="9" t="s">
        <v>1172</v>
      </c>
      <c r="E41" s="10" t="s">
        <v>15</v>
      </c>
      <c r="F41" s="10" t="s">
        <v>1173</v>
      </c>
      <c r="G41" s="54">
        <v>83</v>
      </c>
      <c r="H41" s="10" t="s">
        <v>1174</v>
      </c>
    </row>
    <row r="43" spans="1:8" ht="15.75">
      <c r="A43" s="47"/>
      <c r="B43" s="105" t="s">
        <v>98</v>
      </c>
      <c r="C43" s="97"/>
      <c r="D43" s="97"/>
      <c r="E43" s="97"/>
      <c r="F43" s="97"/>
      <c r="G43" s="97"/>
      <c r="H43" s="97"/>
    </row>
    <row r="44" spans="1:8" ht="12.75">
      <c r="A44" s="40" t="s">
        <v>933</v>
      </c>
      <c r="B44" s="34" t="s">
        <v>1176</v>
      </c>
      <c r="C44" s="9" t="s">
        <v>1177</v>
      </c>
      <c r="D44" s="9" t="s">
        <v>1178</v>
      </c>
      <c r="E44" s="10" t="s">
        <v>1241</v>
      </c>
      <c r="F44" s="10" t="s">
        <v>275</v>
      </c>
      <c r="G44" s="54">
        <v>90.5</v>
      </c>
      <c r="H44" s="10" t="s">
        <v>1243</v>
      </c>
    </row>
    <row r="45" spans="1:8" ht="12.75">
      <c r="A45" s="40" t="s">
        <v>935</v>
      </c>
      <c r="B45" s="34" t="s">
        <v>1179</v>
      </c>
      <c r="C45" s="9" t="s">
        <v>1180</v>
      </c>
      <c r="D45" s="9" t="s">
        <v>1181</v>
      </c>
      <c r="E45" s="34" t="s">
        <v>15</v>
      </c>
      <c r="F45" s="10" t="s">
        <v>1156</v>
      </c>
      <c r="G45" s="54">
        <v>88</v>
      </c>
      <c r="H45" s="10" t="s">
        <v>55</v>
      </c>
    </row>
    <row r="46" spans="1:8" ht="12.75">
      <c r="A46" s="40" t="s">
        <v>936</v>
      </c>
      <c r="B46" s="34" t="s">
        <v>450</v>
      </c>
      <c r="C46" s="9" t="s">
        <v>451</v>
      </c>
      <c r="D46" s="9" t="s">
        <v>1182</v>
      </c>
      <c r="E46" s="34" t="s">
        <v>168</v>
      </c>
      <c r="F46" s="10" t="s">
        <v>1244</v>
      </c>
      <c r="G46" s="54">
        <v>73</v>
      </c>
      <c r="H46" s="10" t="s">
        <v>1243</v>
      </c>
    </row>
    <row r="47" spans="1:8" ht="12.75">
      <c r="A47" s="40" t="s">
        <v>933</v>
      </c>
      <c r="B47" s="34" t="s">
        <v>1176</v>
      </c>
      <c r="C47" s="9" t="s">
        <v>1183</v>
      </c>
      <c r="D47" s="9" t="s">
        <v>1178</v>
      </c>
      <c r="E47" s="10" t="s">
        <v>1241</v>
      </c>
      <c r="F47" s="10" t="s">
        <v>275</v>
      </c>
      <c r="G47" s="54">
        <v>90.5</v>
      </c>
      <c r="H47" s="10" t="s">
        <v>1243</v>
      </c>
    </row>
    <row r="48" spans="1:8" ht="12.75">
      <c r="A48" s="40" t="s">
        <v>935</v>
      </c>
      <c r="B48" s="34" t="s">
        <v>450</v>
      </c>
      <c r="C48" s="9" t="s">
        <v>1184</v>
      </c>
      <c r="D48" s="9" t="s">
        <v>452</v>
      </c>
      <c r="E48" s="34" t="s">
        <v>168</v>
      </c>
      <c r="F48" s="10" t="s">
        <v>1244</v>
      </c>
      <c r="G48" s="54">
        <v>73</v>
      </c>
      <c r="H48" s="10" t="s">
        <v>1243</v>
      </c>
    </row>
    <row r="50" spans="2:3" ht="18">
      <c r="B50" s="36" t="s">
        <v>108</v>
      </c>
      <c r="C50" s="11"/>
    </row>
    <row r="51" spans="2:3" ht="15.75">
      <c r="B51" s="37" t="s">
        <v>117</v>
      </c>
      <c r="C51" s="12"/>
    </row>
    <row r="52" spans="2:3" ht="13.5">
      <c r="B52" s="38"/>
      <c r="C52" s="13" t="s">
        <v>209</v>
      </c>
    </row>
    <row r="53" spans="1:7" ht="13.5">
      <c r="A53" s="42"/>
      <c r="B53" s="14" t="s">
        <v>111</v>
      </c>
      <c r="C53" s="14" t="s">
        <v>112</v>
      </c>
      <c r="D53" s="14" t="s">
        <v>113</v>
      </c>
      <c r="E53" s="14" t="s">
        <v>934</v>
      </c>
      <c r="G53" s="2"/>
    </row>
    <row r="54" spans="1:7" ht="12.75">
      <c r="A54" s="42" t="s">
        <v>933</v>
      </c>
      <c r="B54" s="39" t="s">
        <v>1162</v>
      </c>
      <c r="C54" s="2" t="s">
        <v>110</v>
      </c>
      <c r="D54" s="2" t="s">
        <v>118</v>
      </c>
      <c r="E54" s="42" t="s">
        <v>1165</v>
      </c>
      <c r="G54" s="2"/>
    </row>
    <row r="55" spans="1:7" ht="12.75">
      <c r="A55" s="42" t="s">
        <v>935</v>
      </c>
      <c r="B55" s="39" t="s">
        <v>1166</v>
      </c>
      <c r="C55" s="2" t="s">
        <v>110</v>
      </c>
      <c r="D55" s="2" t="s">
        <v>118</v>
      </c>
      <c r="E55" s="42" t="s">
        <v>1169</v>
      </c>
      <c r="G55" s="2"/>
    </row>
    <row r="56" spans="1:7" ht="12.75">
      <c r="A56" s="42" t="s">
        <v>936</v>
      </c>
      <c r="B56" s="39" t="s">
        <v>1176</v>
      </c>
      <c r="C56" s="2" t="s">
        <v>110</v>
      </c>
      <c r="D56" s="2" t="s">
        <v>122</v>
      </c>
      <c r="E56" s="42" t="s">
        <v>1169</v>
      </c>
      <c r="G56" s="2"/>
    </row>
  </sheetData>
  <sheetProtection/>
  <mergeCells count="19">
    <mergeCell ref="B5:H5"/>
    <mergeCell ref="B8:H8"/>
    <mergeCell ref="B11:H11"/>
    <mergeCell ref="B1:H2"/>
    <mergeCell ref="B3:B4"/>
    <mergeCell ref="C3:C4"/>
    <mergeCell ref="D3:D4"/>
    <mergeCell ref="E3:E4"/>
    <mergeCell ref="F3:F4"/>
    <mergeCell ref="B43:H43"/>
    <mergeCell ref="A3:A4"/>
    <mergeCell ref="B14:H14"/>
    <mergeCell ref="B17:H17"/>
    <mergeCell ref="B21:H21"/>
    <mergeCell ref="B25:H25"/>
    <mergeCell ref="B31:H31"/>
    <mergeCell ref="B37:H37"/>
    <mergeCell ref="G3:G4"/>
    <mergeCell ref="H3:H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8"/>
  <sheetViews>
    <sheetView workbookViewId="0" topLeftCell="A1">
      <selection activeCell="G24" sqref="G24"/>
    </sheetView>
  </sheetViews>
  <sheetFormatPr defaultColWidth="9.125" defaultRowHeight="12.75"/>
  <cols>
    <col min="1" max="1" width="7.625" style="42" customWidth="1"/>
    <col min="2" max="2" width="22.25390625" style="35" customWidth="1"/>
    <col min="3" max="3" width="26.00390625" style="2" customWidth="1"/>
    <col min="4" max="4" width="10.625" style="2" bestFit="1" customWidth="1"/>
    <col min="5" max="5" width="8.375" style="2" bestFit="1" customWidth="1"/>
    <col min="6" max="6" width="16.875" style="5" customWidth="1"/>
    <col min="7" max="7" width="33.375" style="5" customWidth="1"/>
    <col min="8" max="10" width="5.625" style="42" bestFit="1" customWidth="1"/>
    <col min="11" max="11" width="5.125" style="42" bestFit="1" customWidth="1"/>
    <col min="12" max="12" width="5.75390625" style="42" customWidth="1"/>
    <col min="13" max="14" width="6.375" style="42" customWidth="1"/>
    <col min="15" max="15" width="6.75390625" style="42" customWidth="1"/>
    <col min="16" max="16" width="9.25390625" style="42" bestFit="1" customWidth="1"/>
    <col min="17" max="17" width="8.625" style="42" bestFit="1" customWidth="1"/>
    <col min="18" max="18" width="18.625" style="5" bestFit="1" customWidth="1"/>
    <col min="19" max="21" width="9.125" style="1" hidden="1" customWidth="1"/>
    <col min="22" max="16384" width="9.125" style="1" customWidth="1"/>
  </cols>
  <sheetData>
    <row r="1" spans="1:21" ht="15" customHeight="1">
      <c r="A1" s="1"/>
      <c r="B1" s="86" t="s">
        <v>1266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</row>
    <row r="2" spans="1:21" ht="111.75" customHeight="1" thickBot="1">
      <c r="A2" s="1"/>
      <c r="B2" s="88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</row>
    <row r="3" spans="1:18" s="4" customFormat="1" ht="12.75" customHeight="1">
      <c r="A3" s="98" t="s">
        <v>932</v>
      </c>
      <c r="B3" s="90" t="s">
        <v>0</v>
      </c>
      <c r="C3" s="92" t="s">
        <v>1</v>
      </c>
      <c r="D3" s="92" t="s">
        <v>1226</v>
      </c>
      <c r="E3" s="94" t="s">
        <v>11</v>
      </c>
      <c r="F3" s="94" t="s">
        <v>2</v>
      </c>
      <c r="G3" s="95" t="s">
        <v>1227</v>
      </c>
      <c r="H3" s="98" t="s">
        <v>941</v>
      </c>
      <c r="I3" s="94"/>
      <c r="J3" s="94"/>
      <c r="K3" s="100"/>
      <c r="L3" s="98" t="s">
        <v>942</v>
      </c>
      <c r="M3" s="94"/>
      <c r="N3" s="94"/>
      <c r="O3" s="100"/>
      <c r="P3" s="90" t="s">
        <v>8</v>
      </c>
      <c r="Q3" s="94" t="s">
        <v>9</v>
      </c>
      <c r="R3" s="100" t="s">
        <v>10</v>
      </c>
    </row>
    <row r="4" spans="1:18" s="4" customFormat="1" ht="23.25" customHeight="1" thickBot="1">
      <c r="A4" s="99"/>
      <c r="B4" s="91"/>
      <c r="C4" s="93"/>
      <c r="D4" s="93"/>
      <c r="E4" s="93"/>
      <c r="F4" s="93"/>
      <c r="G4" s="96"/>
      <c r="H4" s="6">
        <v>1</v>
      </c>
      <c r="I4" s="7">
        <v>2</v>
      </c>
      <c r="J4" s="7">
        <v>3</v>
      </c>
      <c r="K4" s="8" t="s">
        <v>7</v>
      </c>
      <c r="L4" s="6">
        <v>1</v>
      </c>
      <c r="M4" s="7">
        <v>2</v>
      </c>
      <c r="N4" s="7">
        <v>3</v>
      </c>
      <c r="O4" s="8" t="s">
        <v>7</v>
      </c>
      <c r="P4" s="91"/>
      <c r="Q4" s="93"/>
      <c r="R4" s="101"/>
    </row>
    <row r="5" spans="2:18" s="2" customFormat="1" ht="15.75">
      <c r="B5" s="106" t="s">
        <v>331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5"/>
    </row>
    <row r="6" spans="1:18" s="2" customFormat="1" ht="12.75">
      <c r="A6" s="40" t="s">
        <v>933</v>
      </c>
      <c r="B6" s="34" t="s">
        <v>1267</v>
      </c>
      <c r="C6" s="9" t="s">
        <v>943</v>
      </c>
      <c r="D6" s="9" t="s">
        <v>944</v>
      </c>
      <c r="E6" s="9" t="str">
        <f>"1,0051"</f>
        <v>1,0051</v>
      </c>
      <c r="F6" s="34" t="s">
        <v>875</v>
      </c>
      <c r="G6" s="10" t="s">
        <v>876</v>
      </c>
      <c r="H6" s="29" t="s">
        <v>945</v>
      </c>
      <c r="I6" s="43" t="s">
        <v>772</v>
      </c>
      <c r="J6" s="29" t="s">
        <v>772</v>
      </c>
      <c r="K6" s="41"/>
      <c r="L6" s="29" t="s">
        <v>946</v>
      </c>
      <c r="M6" s="43" t="s">
        <v>947</v>
      </c>
      <c r="N6" s="43" t="s">
        <v>948</v>
      </c>
      <c r="O6" s="41"/>
      <c r="P6" s="54">
        <v>60</v>
      </c>
      <c r="Q6" s="40" t="str">
        <f>"60,3060"</f>
        <v>60,3060</v>
      </c>
      <c r="R6" s="10" t="s">
        <v>949</v>
      </c>
    </row>
    <row r="7" spans="1:18" s="2" customFormat="1" ht="12.75">
      <c r="A7" s="42"/>
      <c r="B7" s="35"/>
      <c r="F7" s="5"/>
      <c r="G7" s="5"/>
      <c r="H7" s="42"/>
      <c r="I7" s="42"/>
      <c r="J7" s="42"/>
      <c r="K7" s="42"/>
      <c r="L7" s="42"/>
      <c r="M7" s="42"/>
      <c r="N7" s="42"/>
      <c r="O7" s="42"/>
      <c r="P7" s="42"/>
      <c r="Q7" s="42"/>
      <c r="R7" s="5"/>
    </row>
    <row r="8" spans="1:17" ht="15.75">
      <c r="A8" s="1"/>
      <c r="B8" s="105" t="s">
        <v>12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</row>
    <row r="9" spans="1:18" ht="12.75">
      <c r="A9" s="40" t="s">
        <v>933</v>
      </c>
      <c r="B9" s="34" t="s">
        <v>1268</v>
      </c>
      <c r="C9" s="9" t="s">
        <v>950</v>
      </c>
      <c r="D9" s="9" t="s">
        <v>951</v>
      </c>
      <c r="E9" s="9" t="str">
        <f>"0,6524"</f>
        <v>0,6524</v>
      </c>
      <c r="F9" s="34" t="s">
        <v>400</v>
      </c>
      <c r="G9" s="10" t="s">
        <v>952</v>
      </c>
      <c r="H9" s="43" t="s">
        <v>156</v>
      </c>
      <c r="I9" s="29" t="s">
        <v>183</v>
      </c>
      <c r="J9" s="29" t="s">
        <v>20</v>
      </c>
      <c r="K9" s="41"/>
      <c r="L9" s="29" t="s">
        <v>339</v>
      </c>
      <c r="M9" s="29" t="s">
        <v>134</v>
      </c>
      <c r="N9" s="29" t="s">
        <v>588</v>
      </c>
      <c r="O9" s="41"/>
      <c r="P9" s="54">
        <v>165</v>
      </c>
      <c r="Q9" s="40" t="str">
        <f>"107,6378"</f>
        <v>107,6378</v>
      </c>
      <c r="R9" s="10" t="s">
        <v>55</v>
      </c>
    </row>
    <row r="10" spans="1:18" ht="12.75">
      <c r="A10" s="40" t="s">
        <v>935</v>
      </c>
      <c r="B10" s="34" t="s">
        <v>488</v>
      </c>
      <c r="C10" s="9" t="s">
        <v>953</v>
      </c>
      <c r="D10" s="9" t="s">
        <v>296</v>
      </c>
      <c r="E10" s="9" t="str">
        <f>"0,6529"</f>
        <v>0,6529</v>
      </c>
      <c r="F10" s="34" t="s">
        <v>400</v>
      </c>
      <c r="G10" s="10" t="s">
        <v>275</v>
      </c>
      <c r="H10" s="43" t="s">
        <v>136</v>
      </c>
      <c r="I10" s="29" t="s">
        <v>156</v>
      </c>
      <c r="J10" s="29" t="s">
        <v>183</v>
      </c>
      <c r="K10" s="41"/>
      <c r="L10" s="29" t="s">
        <v>137</v>
      </c>
      <c r="M10" s="29" t="s">
        <v>138</v>
      </c>
      <c r="N10" s="29" t="s">
        <v>146</v>
      </c>
      <c r="O10" s="41"/>
      <c r="P10" s="54">
        <v>145</v>
      </c>
      <c r="Q10" s="40" t="str">
        <f>"94,6705"</f>
        <v>94,6705</v>
      </c>
      <c r="R10" s="10" t="s">
        <v>55</v>
      </c>
    </row>
    <row r="11" spans="1:18" ht="12.75">
      <c r="A11" s="40" t="s">
        <v>936</v>
      </c>
      <c r="B11" s="34" t="s">
        <v>1269</v>
      </c>
      <c r="C11" s="9" t="s">
        <v>954</v>
      </c>
      <c r="D11" s="9" t="s">
        <v>955</v>
      </c>
      <c r="E11" s="9" t="str">
        <f>"0,6670"</f>
        <v>0,6670</v>
      </c>
      <c r="F11" s="10" t="s">
        <v>15</v>
      </c>
      <c r="G11" s="10" t="s">
        <v>16</v>
      </c>
      <c r="H11" s="29" t="s">
        <v>588</v>
      </c>
      <c r="I11" s="29" t="s">
        <v>135</v>
      </c>
      <c r="J11" s="43" t="s">
        <v>155</v>
      </c>
      <c r="K11" s="41"/>
      <c r="L11" s="29" t="s">
        <v>138</v>
      </c>
      <c r="M11" s="29" t="s">
        <v>146</v>
      </c>
      <c r="N11" s="43" t="s">
        <v>147</v>
      </c>
      <c r="O11" s="41"/>
      <c r="P11" s="54">
        <v>132.5</v>
      </c>
      <c r="Q11" s="40" t="str">
        <f>"88,3775"</f>
        <v>88,3775</v>
      </c>
      <c r="R11" s="10" t="s">
        <v>55</v>
      </c>
    </row>
    <row r="13" spans="1:17" ht="15.75">
      <c r="A13" s="1"/>
      <c r="B13" s="105" t="s">
        <v>61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</row>
    <row r="14" spans="1:18" ht="12.75">
      <c r="A14" s="40" t="s">
        <v>933</v>
      </c>
      <c r="B14" s="34" t="s">
        <v>1260</v>
      </c>
      <c r="C14" s="9" t="s">
        <v>63</v>
      </c>
      <c r="D14" s="9" t="s">
        <v>64</v>
      </c>
      <c r="E14" s="9" t="str">
        <f>"0,6133"</f>
        <v>0,6133</v>
      </c>
      <c r="F14" s="10" t="s">
        <v>15</v>
      </c>
      <c r="G14" s="10" t="s">
        <v>1245</v>
      </c>
      <c r="H14" s="29" t="s">
        <v>22</v>
      </c>
      <c r="I14" s="29" t="s">
        <v>144</v>
      </c>
      <c r="J14" s="29" t="s">
        <v>44</v>
      </c>
      <c r="K14" s="41"/>
      <c r="L14" s="29" t="s">
        <v>339</v>
      </c>
      <c r="M14" s="43" t="s">
        <v>134</v>
      </c>
      <c r="N14" s="43" t="s">
        <v>134</v>
      </c>
      <c r="O14" s="41"/>
      <c r="P14" s="54">
        <v>177.5</v>
      </c>
      <c r="Q14" s="40" t="str">
        <f>"108,8696"</f>
        <v>108,8696</v>
      </c>
      <c r="R14" s="10" t="s">
        <v>69</v>
      </c>
    </row>
    <row r="15" spans="1:18" ht="12.75">
      <c r="A15" s="40" t="s">
        <v>935</v>
      </c>
      <c r="B15" s="34" t="s">
        <v>1270</v>
      </c>
      <c r="C15" s="9" t="s">
        <v>956</v>
      </c>
      <c r="D15" s="9" t="s">
        <v>881</v>
      </c>
      <c r="E15" s="9" t="str">
        <f>"0,6161"</f>
        <v>0,6161</v>
      </c>
      <c r="F15" s="10" t="s">
        <v>15</v>
      </c>
      <c r="G15" s="10" t="s">
        <v>957</v>
      </c>
      <c r="H15" s="43" t="s">
        <v>136</v>
      </c>
      <c r="I15" s="43" t="s">
        <v>136</v>
      </c>
      <c r="J15" s="29" t="s">
        <v>136</v>
      </c>
      <c r="K15" s="41"/>
      <c r="L15" s="29" t="s">
        <v>138</v>
      </c>
      <c r="M15" s="43" t="s">
        <v>147</v>
      </c>
      <c r="N15" s="29" t="s">
        <v>147</v>
      </c>
      <c r="O15" s="41"/>
      <c r="P15" s="54">
        <v>140</v>
      </c>
      <c r="Q15" s="40" t="str">
        <f>"86,2470"</f>
        <v>86,2470</v>
      </c>
      <c r="R15" s="10" t="s">
        <v>55</v>
      </c>
    </row>
    <row r="16" spans="1:18" ht="12.75">
      <c r="A16" s="40" t="s">
        <v>936</v>
      </c>
      <c r="B16" s="34" t="s">
        <v>1271</v>
      </c>
      <c r="C16" s="9" t="s">
        <v>199</v>
      </c>
      <c r="D16" s="9" t="s">
        <v>200</v>
      </c>
      <c r="E16" s="9" t="str">
        <f>"0,6326"</f>
        <v>0,6326</v>
      </c>
      <c r="F16" s="10" t="s">
        <v>15</v>
      </c>
      <c r="G16" s="10" t="s">
        <v>201</v>
      </c>
      <c r="H16" s="29" t="s">
        <v>170</v>
      </c>
      <c r="I16" s="29" t="s">
        <v>138</v>
      </c>
      <c r="J16" s="29" t="s">
        <v>339</v>
      </c>
      <c r="K16" s="41"/>
      <c r="L16" s="29" t="s">
        <v>506</v>
      </c>
      <c r="M16" s="29" t="s">
        <v>137</v>
      </c>
      <c r="N16" s="29" t="s">
        <v>146</v>
      </c>
      <c r="O16" s="41"/>
      <c r="P16" s="54">
        <v>122.5</v>
      </c>
      <c r="Q16" s="40" t="str">
        <f>"77,4935"</f>
        <v>77,4935</v>
      </c>
      <c r="R16" s="10" t="s">
        <v>204</v>
      </c>
    </row>
    <row r="18" spans="1:17" ht="15.75">
      <c r="A18" s="1"/>
      <c r="B18" s="105" t="s">
        <v>87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</row>
    <row r="19" spans="1:18" ht="12.75">
      <c r="A19" s="40" t="s">
        <v>933</v>
      </c>
      <c r="B19" s="34" t="s">
        <v>958</v>
      </c>
      <c r="C19" s="9" t="s">
        <v>959</v>
      </c>
      <c r="D19" s="9" t="s">
        <v>960</v>
      </c>
      <c r="E19" s="9" t="str">
        <f>"0,5846"</f>
        <v>0,5846</v>
      </c>
      <c r="F19" s="34" t="s">
        <v>875</v>
      </c>
      <c r="G19" s="10" t="s">
        <v>876</v>
      </c>
      <c r="H19" s="29" t="s">
        <v>339</v>
      </c>
      <c r="I19" s="43" t="s">
        <v>135</v>
      </c>
      <c r="J19" s="43" t="s">
        <v>135</v>
      </c>
      <c r="K19" s="41"/>
      <c r="L19" s="29" t="s">
        <v>137</v>
      </c>
      <c r="M19" s="29" t="s">
        <v>138</v>
      </c>
      <c r="N19" s="29" t="s">
        <v>146</v>
      </c>
      <c r="O19" s="41"/>
      <c r="P19" s="54">
        <v>122.5</v>
      </c>
      <c r="Q19" s="40" t="str">
        <f>"71,6074"</f>
        <v>71,6074</v>
      </c>
      <c r="R19" s="10" t="s">
        <v>1240</v>
      </c>
    </row>
    <row r="20" spans="1:18" ht="12.75">
      <c r="A20" s="40" t="s">
        <v>933</v>
      </c>
      <c r="B20" s="34" t="s">
        <v>1133</v>
      </c>
      <c r="C20" s="9" t="s">
        <v>961</v>
      </c>
      <c r="D20" s="9" t="s">
        <v>960</v>
      </c>
      <c r="E20" s="9" t="str">
        <f>"0,5846"</f>
        <v>0,5846</v>
      </c>
      <c r="F20" s="34" t="s">
        <v>875</v>
      </c>
      <c r="G20" s="10" t="s">
        <v>876</v>
      </c>
      <c r="H20" s="29" t="s">
        <v>339</v>
      </c>
      <c r="I20" s="43" t="s">
        <v>135</v>
      </c>
      <c r="J20" s="43" t="s">
        <v>135</v>
      </c>
      <c r="K20" s="41"/>
      <c r="L20" s="29" t="s">
        <v>137</v>
      </c>
      <c r="M20" s="29" t="s">
        <v>138</v>
      </c>
      <c r="N20" s="29" t="s">
        <v>146</v>
      </c>
      <c r="O20" s="41"/>
      <c r="P20" s="54">
        <v>122.5</v>
      </c>
      <c r="Q20" s="40" t="str">
        <f>"71,6074"</f>
        <v>71,6074</v>
      </c>
      <c r="R20" s="10" t="s">
        <v>1240</v>
      </c>
    </row>
    <row r="22" spans="2:3" ht="18">
      <c r="B22" s="36" t="s">
        <v>108</v>
      </c>
      <c r="C22" s="11"/>
    </row>
    <row r="23" spans="2:3" ht="15.75">
      <c r="B23" s="37" t="s">
        <v>117</v>
      </c>
      <c r="C23" s="12"/>
    </row>
    <row r="24" spans="2:3" ht="13.5">
      <c r="B24" s="38"/>
      <c r="C24" s="13" t="s">
        <v>209</v>
      </c>
    </row>
    <row r="25" spans="2:6" ht="13.5">
      <c r="B25" s="14" t="s">
        <v>111</v>
      </c>
      <c r="C25" s="14" t="s">
        <v>112</v>
      </c>
      <c r="D25" s="14" t="s">
        <v>113</v>
      </c>
      <c r="E25" s="14" t="s">
        <v>114</v>
      </c>
      <c r="F25" s="14" t="s">
        <v>115</v>
      </c>
    </row>
    <row r="26" spans="1:6" ht="12.75">
      <c r="A26" s="42" t="s">
        <v>933</v>
      </c>
      <c r="B26" s="39" t="s">
        <v>62</v>
      </c>
      <c r="C26" s="2" t="s">
        <v>110</v>
      </c>
      <c r="D26" s="2" t="s">
        <v>119</v>
      </c>
      <c r="E26" s="42" t="s">
        <v>24</v>
      </c>
      <c r="F26" s="42" t="s">
        <v>962</v>
      </c>
    </row>
    <row r="27" spans="1:6" ht="12.75">
      <c r="A27" s="42" t="s">
        <v>935</v>
      </c>
      <c r="B27" s="39" t="s">
        <v>963</v>
      </c>
      <c r="C27" s="2" t="s">
        <v>110</v>
      </c>
      <c r="D27" s="2" t="s">
        <v>116</v>
      </c>
      <c r="E27" s="42" t="s">
        <v>19</v>
      </c>
      <c r="F27" s="42" t="s">
        <v>964</v>
      </c>
    </row>
    <row r="28" spans="1:6" ht="12.75">
      <c r="A28" s="42" t="s">
        <v>936</v>
      </c>
      <c r="B28" s="39" t="s">
        <v>965</v>
      </c>
      <c r="C28" s="2" t="s">
        <v>110</v>
      </c>
      <c r="D28" s="2" t="s">
        <v>116</v>
      </c>
      <c r="E28" s="42" t="s">
        <v>35</v>
      </c>
      <c r="F28" s="42" t="s">
        <v>966</v>
      </c>
    </row>
  </sheetData>
  <sheetProtection/>
  <mergeCells count="17">
    <mergeCell ref="L3:O3"/>
    <mergeCell ref="A3:A4"/>
    <mergeCell ref="B3:B4"/>
    <mergeCell ref="C3:C4"/>
    <mergeCell ref="D3:D4"/>
    <mergeCell ref="E3:E4"/>
    <mergeCell ref="F3:F4"/>
    <mergeCell ref="B18:Q18"/>
    <mergeCell ref="B1:U2"/>
    <mergeCell ref="P3:P4"/>
    <mergeCell ref="Q3:Q4"/>
    <mergeCell ref="R3:R4"/>
    <mergeCell ref="B5:Q5"/>
    <mergeCell ref="B8:Q8"/>
    <mergeCell ref="B13:Q13"/>
    <mergeCell ref="G3:G4"/>
    <mergeCell ref="H3:K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3"/>
  <sheetViews>
    <sheetView workbookViewId="0" topLeftCell="A1">
      <selection activeCell="X5" sqref="X5"/>
    </sheetView>
  </sheetViews>
  <sheetFormatPr defaultColWidth="9.125" defaultRowHeight="12.75"/>
  <cols>
    <col min="1" max="1" width="9.875" style="42" customWidth="1"/>
    <col min="2" max="2" width="20.125" style="35" customWidth="1"/>
    <col min="3" max="3" width="25.00390625" style="2" customWidth="1"/>
    <col min="4" max="4" width="10.625" style="2" bestFit="1" customWidth="1"/>
    <col min="5" max="5" width="8.375" style="2" bestFit="1" customWidth="1"/>
    <col min="6" max="6" width="13.125" style="5" customWidth="1"/>
    <col min="7" max="7" width="30.625" style="5" customWidth="1"/>
    <col min="8" max="15" width="5.875" style="42" customWidth="1"/>
    <col min="16" max="16" width="10.75390625" style="42" customWidth="1"/>
    <col min="17" max="17" width="8.125" style="42" customWidth="1"/>
    <col min="18" max="18" width="17.125" style="5" customWidth="1"/>
    <col min="19" max="19" width="9.125" style="1" hidden="1" customWidth="1"/>
    <col min="20" max="20" width="6.75390625" style="1" hidden="1" customWidth="1"/>
    <col min="21" max="21" width="12.125" style="1" hidden="1" customWidth="1"/>
    <col min="22" max="16384" width="9.125" style="1" customWidth="1"/>
  </cols>
  <sheetData>
    <row r="1" spans="1:21" ht="15" customHeight="1">
      <c r="A1" s="1"/>
      <c r="B1" s="86" t="s">
        <v>1256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</row>
    <row r="2" spans="1:21" ht="75" customHeight="1" thickBot="1">
      <c r="A2" s="1"/>
      <c r="B2" s="88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</row>
    <row r="3" spans="1:18" s="4" customFormat="1" ht="12.75" customHeight="1">
      <c r="A3" s="98" t="s">
        <v>932</v>
      </c>
      <c r="B3" s="90" t="s">
        <v>0</v>
      </c>
      <c r="C3" s="92" t="s">
        <v>1</v>
      </c>
      <c r="D3" s="92" t="s">
        <v>1226</v>
      </c>
      <c r="E3" s="94" t="s">
        <v>11</v>
      </c>
      <c r="F3" s="94" t="s">
        <v>2</v>
      </c>
      <c r="G3" s="95" t="s">
        <v>1227</v>
      </c>
      <c r="H3" s="94" t="s">
        <v>941</v>
      </c>
      <c r="I3" s="94"/>
      <c r="J3" s="94"/>
      <c r="K3" s="94"/>
      <c r="L3" s="94" t="s">
        <v>942</v>
      </c>
      <c r="M3" s="94"/>
      <c r="N3" s="94"/>
      <c r="O3" s="94"/>
      <c r="P3" s="90" t="s">
        <v>8</v>
      </c>
      <c r="Q3" s="94" t="s">
        <v>9</v>
      </c>
      <c r="R3" s="100" t="s">
        <v>10</v>
      </c>
    </row>
    <row r="4" spans="1:18" s="4" customFormat="1" ht="23.25" customHeight="1" thickBot="1">
      <c r="A4" s="99"/>
      <c r="B4" s="91"/>
      <c r="C4" s="93"/>
      <c r="D4" s="93"/>
      <c r="E4" s="93"/>
      <c r="F4" s="93"/>
      <c r="G4" s="96"/>
      <c r="H4" s="7">
        <v>1</v>
      </c>
      <c r="I4" s="7">
        <v>2</v>
      </c>
      <c r="J4" s="7">
        <v>3</v>
      </c>
      <c r="K4" s="7" t="s">
        <v>7</v>
      </c>
      <c r="L4" s="7">
        <v>1</v>
      </c>
      <c r="M4" s="7">
        <v>2</v>
      </c>
      <c r="N4" s="7">
        <v>3</v>
      </c>
      <c r="O4" s="7" t="s">
        <v>7</v>
      </c>
      <c r="P4" s="91"/>
      <c r="Q4" s="93"/>
      <c r="R4" s="101"/>
    </row>
    <row r="5" spans="2:18" s="2" customFormat="1" ht="15.75">
      <c r="B5" s="105" t="s">
        <v>158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5"/>
    </row>
    <row r="6" spans="1:18" s="2" customFormat="1" ht="12.75">
      <c r="A6" s="40" t="s">
        <v>933</v>
      </c>
      <c r="B6" s="34" t="s">
        <v>1257</v>
      </c>
      <c r="C6" s="9" t="s">
        <v>967</v>
      </c>
      <c r="D6" s="9" t="s">
        <v>548</v>
      </c>
      <c r="E6" s="9" t="str">
        <f>"0,9463"</f>
        <v>0,9463</v>
      </c>
      <c r="F6" s="34" t="s">
        <v>1231</v>
      </c>
      <c r="G6" s="10" t="s">
        <v>1247</v>
      </c>
      <c r="H6" s="29" t="s">
        <v>947</v>
      </c>
      <c r="I6" s="29" t="s">
        <v>945</v>
      </c>
      <c r="J6" s="29" t="s">
        <v>772</v>
      </c>
      <c r="K6" s="41"/>
      <c r="L6" s="29" t="s">
        <v>947</v>
      </c>
      <c r="M6" s="29" t="s">
        <v>945</v>
      </c>
      <c r="N6" s="43" t="s">
        <v>772</v>
      </c>
      <c r="O6" s="41"/>
      <c r="P6" s="54">
        <v>67.5</v>
      </c>
      <c r="Q6" s="40" t="str">
        <f>"63,8719"</f>
        <v>63,8719</v>
      </c>
      <c r="R6" s="10" t="s">
        <v>1243</v>
      </c>
    </row>
    <row r="7" spans="1:18" s="2" customFormat="1" ht="12.75">
      <c r="A7" s="42"/>
      <c r="B7" s="35"/>
      <c r="F7" s="5"/>
      <c r="G7" s="5"/>
      <c r="H7" s="42"/>
      <c r="I7" s="42"/>
      <c r="J7" s="42"/>
      <c r="K7" s="42"/>
      <c r="L7" s="42"/>
      <c r="M7" s="42"/>
      <c r="N7" s="42"/>
      <c r="O7" s="42"/>
      <c r="P7" s="42"/>
      <c r="Q7" s="42"/>
      <c r="R7" s="5"/>
    </row>
    <row r="8" spans="1:17" ht="15.75">
      <c r="A8" s="1"/>
      <c r="B8" s="105" t="s">
        <v>27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</row>
    <row r="9" spans="1:18" ht="12.75">
      <c r="A9" s="40" t="s">
        <v>933</v>
      </c>
      <c r="B9" s="34" t="s">
        <v>1258</v>
      </c>
      <c r="C9" s="9" t="s">
        <v>28</v>
      </c>
      <c r="D9" s="9" t="s">
        <v>29</v>
      </c>
      <c r="E9" s="9" t="str">
        <f>"0,6940"</f>
        <v>0,6940</v>
      </c>
      <c r="F9" s="10" t="s">
        <v>15</v>
      </c>
      <c r="G9" s="10" t="s">
        <v>30</v>
      </c>
      <c r="H9" s="29" t="s">
        <v>169</v>
      </c>
      <c r="I9" s="43" t="s">
        <v>164</v>
      </c>
      <c r="J9" s="43" t="s">
        <v>21</v>
      </c>
      <c r="K9" s="41"/>
      <c r="L9" s="29" t="s">
        <v>134</v>
      </c>
      <c r="M9" s="29" t="s">
        <v>135</v>
      </c>
      <c r="N9" s="43" t="s">
        <v>155</v>
      </c>
      <c r="O9" s="41"/>
      <c r="P9" s="54">
        <v>165</v>
      </c>
      <c r="Q9" s="40" t="str">
        <f>"114,5100"</f>
        <v>114,5100</v>
      </c>
      <c r="R9" s="10" t="s">
        <v>1264</v>
      </c>
    </row>
    <row r="11" spans="1:17" ht="15.75">
      <c r="A11" s="1"/>
      <c r="B11" s="105" t="s">
        <v>12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</row>
    <row r="12" spans="1:18" ht="12.75">
      <c r="A12" s="40" t="s">
        <v>933</v>
      </c>
      <c r="B12" s="34" t="s">
        <v>1259</v>
      </c>
      <c r="C12" s="9" t="s">
        <v>968</v>
      </c>
      <c r="D12" s="9" t="s">
        <v>969</v>
      </c>
      <c r="E12" s="9" t="str">
        <f>"0,6487"</f>
        <v>0,6487</v>
      </c>
      <c r="F12" s="34" t="s">
        <v>400</v>
      </c>
      <c r="G12" s="10" t="s">
        <v>1247</v>
      </c>
      <c r="H12" s="43" t="s">
        <v>169</v>
      </c>
      <c r="I12" s="29" t="s">
        <v>22</v>
      </c>
      <c r="J12" s="43" t="s">
        <v>53</v>
      </c>
      <c r="K12" s="41"/>
      <c r="L12" s="29" t="s">
        <v>134</v>
      </c>
      <c r="M12" s="43" t="s">
        <v>135</v>
      </c>
      <c r="N12" s="43" t="s">
        <v>135</v>
      </c>
      <c r="O12" s="41"/>
      <c r="P12" s="54">
        <v>170</v>
      </c>
      <c r="Q12" s="40" t="str">
        <f>"110,2790"</f>
        <v>110,2790</v>
      </c>
      <c r="R12" s="10" t="s">
        <v>55</v>
      </c>
    </row>
    <row r="14" spans="1:17" ht="15.75">
      <c r="A14" s="1"/>
      <c r="B14" s="105" t="s">
        <v>61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</row>
    <row r="15" spans="1:18" ht="12.75">
      <c r="A15" s="40" t="s">
        <v>933</v>
      </c>
      <c r="B15" s="34" t="s">
        <v>1260</v>
      </c>
      <c r="C15" s="9" t="s">
        <v>63</v>
      </c>
      <c r="D15" s="9" t="s">
        <v>64</v>
      </c>
      <c r="E15" s="9" t="str">
        <f>"0,6133"</f>
        <v>0,6133</v>
      </c>
      <c r="F15" s="10" t="s">
        <v>15</v>
      </c>
      <c r="G15" s="10" t="s">
        <v>1245</v>
      </c>
      <c r="H15" s="29" t="s">
        <v>22</v>
      </c>
      <c r="I15" s="29" t="s">
        <v>144</v>
      </c>
      <c r="J15" s="29" t="s">
        <v>44</v>
      </c>
      <c r="K15" s="41"/>
      <c r="L15" s="29" t="s">
        <v>339</v>
      </c>
      <c r="M15" s="43" t="s">
        <v>134</v>
      </c>
      <c r="N15" s="43" t="s">
        <v>134</v>
      </c>
      <c r="O15" s="41"/>
      <c r="P15" s="54">
        <v>177.5</v>
      </c>
      <c r="Q15" s="40" t="str">
        <f>"108,8696"</f>
        <v>108,8696</v>
      </c>
      <c r="R15" s="10" t="s">
        <v>69</v>
      </c>
    </row>
    <row r="16" spans="1:18" ht="12.75">
      <c r="A16" s="40" t="s">
        <v>935</v>
      </c>
      <c r="B16" s="34" t="s">
        <v>1261</v>
      </c>
      <c r="C16" s="9" t="s">
        <v>970</v>
      </c>
      <c r="D16" s="9" t="s">
        <v>971</v>
      </c>
      <c r="E16" s="9" t="str">
        <f>"0,6263"</f>
        <v>0,6263</v>
      </c>
      <c r="F16" s="34" t="s">
        <v>400</v>
      </c>
      <c r="G16" s="10" t="s">
        <v>972</v>
      </c>
      <c r="H16" s="29" t="s">
        <v>147</v>
      </c>
      <c r="I16" s="29" t="s">
        <v>134</v>
      </c>
      <c r="J16" s="29" t="s">
        <v>135</v>
      </c>
      <c r="K16" s="41"/>
      <c r="L16" s="29" t="s">
        <v>137</v>
      </c>
      <c r="M16" s="29" t="s">
        <v>148</v>
      </c>
      <c r="N16" s="29" t="s">
        <v>527</v>
      </c>
      <c r="O16" s="41"/>
      <c r="P16" s="54">
        <v>142.5</v>
      </c>
      <c r="Q16" s="40" t="str">
        <f>"89,2549"</f>
        <v>89,2549</v>
      </c>
      <c r="R16" s="10" t="s">
        <v>55</v>
      </c>
    </row>
    <row r="18" spans="1:17" ht="15.75">
      <c r="A18" s="1"/>
      <c r="B18" s="105" t="s">
        <v>87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</row>
    <row r="19" spans="1:18" ht="12.75">
      <c r="A19" s="40" t="s">
        <v>933</v>
      </c>
      <c r="B19" s="34" t="s">
        <v>1208</v>
      </c>
      <c r="C19" s="9" t="s">
        <v>973</v>
      </c>
      <c r="D19" s="9" t="s">
        <v>974</v>
      </c>
      <c r="E19" s="9" t="str">
        <f>"0,6010"</f>
        <v>0,6010</v>
      </c>
      <c r="F19" s="34" t="s">
        <v>975</v>
      </c>
      <c r="G19" s="10" t="s">
        <v>976</v>
      </c>
      <c r="H19" s="29" t="s">
        <v>169</v>
      </c>
      <c r="I19" s="29" t="s">
        <v>22</v>
      </c>
      <c r="J19" s="29" t="s">
        <v>144</v>
      </c>
      <c r="K19" s="41"/>
      <c r="L19" s="29" t="s">
        <v>134</v>
      </c>
      <c r="M19" s="29" t="s">
        <v>155</v>
      </c>
      <c r="N19" s="43" t="s">
        <v>136</v>
      </c>
      <c r="O19" s="41"/>
      <c r="P19" s="54">
        <v>185</v>
      </c>
      <c r="Q19" s="40" t="str">
        <f>"111,1758"</f>
        <v>111,1758</v>
      </c>
      <c r="R19" s="10" t="s">
        <v>55</v>
      </c>
    </row>
    <row r="21" spans="1:17" ht="15.75">
      <c r="A21" s="1"/>
      <c r="B21" s="105" t="s">
        <v>93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8" ht="12.75">
      <c r="A22" s="40" t="s">
        <v>933</v>
      </c>
      <c r="B22" s="34" t="s">
        <v>1262</v>
      </c>
      <c r="C22" s="9" t="s">
        <v>977</v>
      </c>
      <c r="D22" s="9" t="s">
        <v>978</v>
      </c>
      <c r="E22" s="9" t="str">
        <f>"0,5782"</f>
        <v>0,5782</v>
      </c>
      <c r="F22" s="34" t="s">
        <v>975</v>
      </c>
      <c r="G22" s="10" t="s">
        <v>1265</v>
      </c>
      <c r="H22" s="29" t="s">
        <v>134</v>
      </c>
      <c r="I22" s="29" t="s">
        <v>136</v>
      </c>
      <c r="J22" s="43" t="s">
        <v>169</v>
      </c>
      <c r="K22" s="41"/>
      <c r="L22" s="29" t="s">
        <v>134</v>
      </c>
      <c r="M22" s="43" t="s">
        <v>135</v>
      </c>
      <c r="N22" s="43" t="s">
        <v>135</v>
      </c>
      <c r="O22" s="41"/>
      <c r="P22" s="54">
        <v>150</v>
      </c>
      <c r="Q22" s="40" t="str">
        <f>"86,7375"</f>
        <v>86,7375</v>
      </c>
      <c r="R22" s="10" t="s">
        <v>55</v>
      </c>
    </row>
    <row r="24" spans="1:17" ht="15.75">
      <c r="A24" s="1"/>
      <c r="B24" s="105" t="s">
        <v>98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</row>
    <row r="25" spans="1:18" ht="12.75">
      <c r="A25" s="40" t="s">
        <v>933</v>
      </c>
      <c r="B25" s="34" t="s">
        <v>1263</v>
      </c>
      <c r="C25" s="9" t="s">
        <v>979</v>
      </c>
      <c r="D25" s="9" t="s">
        <v>980</v>
      </c>
      <c r="E25" s="9" t="str">
        <f>"0,5571"</f>
        <v>0,5571</v>
      </c>
      <c r="F25" s="10" t="s">
        <v>15</v>
      </c>
      <c r="G25" s="10" t="s">
        <v>981</v>
      </c>
      <c r="H25" s="43" t="s">
        <v>172</v>
      </c>
      <c r="I25" s="29" t="s">
        <v>187</v>
      </c>
      <c r="J25" s="43" t="s">
        <v>149</v>
      </c>
      <c r="K25" s="41"/>
      <c r="L25" s="29" t="s">
        <v>135</v>
      </c>
      <c r="M25" s="43" t="s">
        <v>136</v>
      </c>
      <c r="N25" s="29" t="s">
        <v>136</v>
      </c>
      <c r="O25" s="41"/>
      <c r="P25" s="54">
        <v>205</v>
      </c>
      <c r="Q25" s="40" t="str">
        <f>"114,2055"</f>
        <v>114,2055</v>
      </c>
      <c r="R25" s="10" t="s">
        <v>982</v>
      </c>
    </row>
    <row r="27" spans="2:3" ht="18">
      <c r="B27" s="36" t="s">
        <v>108</v>
      </c>
      <c r="C27" s="11"/>
    </row>
    <row r="28" spans="2:3" ht="15.75">
      <c r="B28" s="37" t="s">
        <v>117</v>
      </c>
      <c r="C28" s="12"/>
    </row>
    <row r="29" spans="2:3" ht="13.5">
      <c r="B29" s="38"/>
      <c r="C29" s="13" t="s">
        <v>209</v>
      </c>
    </row>
    <row r="30" spans="2:6" ht="13.5">
      <c r="B30" s="14" t="s">
        <v>111</v>
      </c>
      <c r="C30" s="14" t="s">
        <v>112</v>
      </c>
      <c r="D30" s="14" t="s">
        <v>113</v>
      </c>
      <c r="E30" s="14" t="s">
        <v>114</v>
      </c>
      <c r="F30" s="14" t="s">
        <v>115</v>
      </c>
    </row>
    <row r="31" spans="1:6" ht="12.75">
      <c r="A31" s="42" t="s">
        <v>933</v>
      </c>
      <c r="B31" s="39" t="s">
        <v>984</v>
      </c>
      <c r="C31" s="2" t="s">
        <v>110</v>
      </c>
      <c r="D31" s="2" t="s">
        <v>127</v>
      </c>
      <c r="E31" s="42" t="s">
        <v>19</v>
      </c>
      <c r="F31" s="42" t="s">
        <v>985</v>
      </c>
    </row>
    <row r="32" spans="1:6" ht="12.75">
      <c r="A32" s="42" t="s">
        <v>935</v>
      </c>
      <c r="B32" s="39" t="s">
        <v>986</v>
      </c>
      <c r="C32" s="2" t="s">
        <v>110</v>
      </c>
      <c r="D32" s="2" t="s">
        <v>122</v>
      </c>
      <c r="E32" s="42" t="s">
        <v>222</v>
      </c>
      <c r="F32" s="42" t="s">
        <v>987</v>
      </c>
    </row>
    <row r="33" spans="1:6" ht="12.75">
      <c r="A33" s="42" t="s">
        <v>936</v>
      </c>
      <c r="B33" s="39" t="s">
        <v>988</v>
      </c>
      <c r="C33" s="2" t="s">
        <v>110</v>
      </c>
      <c r="D33" s="2" t="s">
        <v>129</v>
      </c>
      <c r="E33" s="42" t="s">
        <v>90</v>
      </c>
      <c r="F33" s="42" t="s">
        <v>989</v>
      </c>
    </row>
  </sheetData>
  <sheetProtection/>
  <mergeCells count="20">
    <mergeCell ref="B14:Q14"/>
    <mergeCell ref="B3:B4"/>
    <mergeCell ref="C3:C4"/>
    <mergeCell ref="D3:D4"/>
    <mergeCell ref="E3:E4"/>
    <mergeCell ref="F3:F4"/>
    <mergeCell ref="G3:G4"/>
    <mergeCell ref="H3:K3"/>
    <mergeCell ref="L3:O3"/>
    <mergeCell ref="P3:P4"/>
    <mergeCell ref="B18:Q18"/>
    <mergeCell ref="B21:Q21"/>
    <mergeCell ref="B24:Q24"/>
    <mergeCell ref="A3:A4"/>
    <mergeCell ref="B1:U2"/>
    <mergeCell ref="Q3:Q4"/>
    <mergeCell ref="R3:R4"/>
    <mergeCell ref="B5:Q5"/>
    <mergeCell ref="B8:Q8"/>
    <mergeCell ref="B11:Q1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1"/>
  <sheetViews>
    <sheetView workbookViewId="0" topLeftCell="A1">
      <selection activeCell="F7" sqref="F7"/>
    </sheetView>
  </sheetViews>
  <sheetFormatPr defaultColWidth="11.00390625" defaultRowHeight="12.75"/>
  <cols>
    <col min="1" max="1" width="8.625" style="0" customWidth="1"/>
    <col min="2" max="2" width="21.125" style="0" customWidth="1"/>
    <col min="3" max="3" width="22.125" style="0" customWidth="1"/>
    <col min="4" max="4" width="11.375" style="0" customWidth="1"/>
    <col min="6" max="6" width="13.375" style="0" customWidth="1"/>
    <col min="7" max="7" width="30.875" style="0" customWidth="1"/>
    <col min="8" max="9" width="9.125" style="0" customWidth="1"/>
    <col min="10" max="10" width="8.125" style="0" customWidth="1"/>
    <col min="11" max="11" width="8.75390625" style="0" customWidth="1"/>
    <col min="12" max="12" width="10.00390625" style="0" customWidth="1"/>
    <col min="14" max="14" width="15.00390625" style="0" customWidth="1"/>
  </cols>
  <sheetData>
    <row r="1" spans="1:18" ht="12.75">
      <c r="A1" s="1"/>
      <c r="B1" s="86" t="s">
        <v>1412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1"/>
    </row>
    <row r="2" spans="1:18" ht="90" customHeight="1" thickBot="1">
      <c r="A2" s="1"/>
      <c r="B2" s="88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1"/>
    </row>
    <row r="3" spans="1:18" ht="13.5">
      <c r="A3" s="98" t="s">
        <v>932</v>
      </c>
      <c r="B3" s="90" t="s">
        <v>0</v>
      </c>
      <c r="C3" s="92" t="s">
        <v>1</v>
      </c>
      <c r="D3" s="92" t="s">
        <v>1226</v>
      </c>
      <c r="E3" s="94" t="s">
        <v>11</v>
      </c>
      <c r="F3" s="94" t="s">
        <v>2</v>
      </c>
      <c r="G3" s="95" t="s">
        <v>1227</v>
      </c>
      <c r="H3" s="94" t="s">
        <v>6</v>
      </c>
      <c r="I3" s="94"/>
      <c r="J3" s="94"/>
      <c r="K3" s="94"/>
      <c r="L3" s="90" t="s">
        <v>934</v>
      </c>
      <c r="M3" s="94" t="s">
        <v>9</v>
      </c>
      <c r="N3" s="100" t="s">
        <v>10</v>
      </c>
      <c r="O3" s="4"/>
      <c r="P3" s="4"/>
      <c r="Q3" s="4"/>
      <c r="R3" s="4"/>
    </row>
    <row r="4" spans="1:18" ht="15" thickBot="1">
      <c r="A4" s="99"/>
      <c r="B4" s="91"/>
      <c r="C4" s="93"/>
      <c r="D4" s="93"/>
      <c r="E4" s="93"/>
      <c r="F4" s="93"/>
      <c r="G4" s="96"/>
      <c r="H4" s="7">
        <v>1</v>
      </c>
      <c r="I4" s="7">
        <v>2</v>
      </c>
      <c r="J4" s="7">
        <v>3</v>
      </c>
      <c r="K4" s="7" t="s">
        <v>7</v>
      </c>
      <c r="L4" s="91"/>
      <c r="M4" s="93"/>
      <c r="N4" s="101"/>
      <c r="O4" s="4"/>
      <c r="P4" s="4"/>
      <c r="Q4" s="4"/>
      <c r="R4" s="4"/>
    </row>
    <row r="5" spans="2:14" ht="15.75">
      <c r="B5" s="104" t="s">
        <v>1413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6"/>
    </row>
    <row r="6" spans="1:14" ht="12.75">
      <c r="A6" s="26" t="s">
        <v>933</v>
      </c>
      <c r="B6" s="17" t="s">
        <v>1414</v>
      </c>
      <c r="C6" s="17" t="s">
        <v>1426</v>
      </c>
      <c r="D6" s="17" t="s">
        <v>1416</v>
      </c>
      <c r="E6" s="17" t="s">
        <v>1435</v>
      </c>
      <c r="F6" s="17" t="s">
        <v>1517</v>
      </c>
      <c r="G6" s="17" t="s">
        <v>60</v>
      </c>
      <c r="H6" s="60">
        <v>400</v>
      </c>
      <c r="I6" s="29" t="s">
        <v>1418</v>
      </c>
      <c r="J6" s="29" t="s">
        <v>1419</v>
      </c>
      <c r="K6" s="27"/>
      <c r="L6" s="49">
        <v>450</v>
      </c>
      <c r="M6" s="26" t="s">
        <v>1436</v>
      </c>
      <c r="N6" s="17" t="s">
        <v>55</v>
      </c>
    </row>
    <row r="7" spans="1:14" ht="12.75">
      <c r="A7" s="26" t="s">
        <v>933</v>
      </c>
      <c r="B7" s="17" t="s">
        <v>1415</v>
      </c>
      <c r="C7" s="17" t="s">
        <v>1428</v>
      </c>
      <c r="D7" s="17" t="s">
        <v>1417</v>
      </c>
      <c r="E7" s="17" t="s">
        <v>1434</v>
      </c>
      <c r="F7" s="17" t="s">
        <v>1517</v>
      </c>
      <c r="G7" s="17" t="s">
        <v>60</v>
      </c>
      <c r="H7" s="60">
        <v>400</v>
      </c>
      <c r="I7" s="29" t="s">
        <v>1418</v>
      </c>
      <c r="J7" s="29" t="s">
        <v>1419</v>
      </c>
      <c r="K7" s="27"/>
      <c r="L7" s="49">
        <v>450</v>
      </c>
      <c r="M7" s="26" t="s">
        <v>1436</v>
      </c>
      <c r="N7" s="17" t="s">
        <v>1243</v>
      </c>
    </row>
    <row r="8" spans="1:14" ht="12.75">
      <c r="A8" s="26" t="s">
        <v>935</v>
      </c>
      <c r="B8" s="17" t="s">
        <v>1420</v>
      </c>
      <c r="C8" s="17" t="s">
        <v>1427</v>
      </c>
      <c r="D8" s="17" t="s">
        <v>1422</v>
      </c>
      <c r="E8" s="17" t="s">
        <v>1433</v>
      </c>
      <c r="F8" s="17" t="s">
        <v>15</v>
      </c>
      <c r="G8" s="17" t="s">
        <v>1430</v>
      </c>
      <c r="H8" s="29" t="s">
        <v>759</v>
      </c>
      <c r="I8" s="29" t="s">
        <v>1424</v>
      </c>
      <c r="J8" s="29" t="s">
        <v>1425</v>
      </c>
      <c r="K8" s="27"/>
      <c r="L8" s="49">
        <v>442.5</v>
      </c>
      <c r="M8" s="26" t="s">
        <v>1431</v>
      </c>
      <c r="N8" s="17" t="s">
        <v>55</v>
      </c>
    </row>
    <row r="9" spans="1:14" ht="12.75">
      <c r="A9" s="26" t="s">
        <v>935</v>
      </c>
      <c r="B9" s="17" t="s">
        <v>1421</v>
      </c>
      <c r="C9" s="17" t="s">
        <v>1429</v>
      </c>
      <c r="D9" s="17" t="s">
        <v>1423</v>
      </c>
      <c r="E9" s="17" t="s">
        <v>1432</v>
      </c>
      <c r="F9" s="17" t="s">
        <v>15</v>
      </c>
      <c r="G9" s="17" t="s">
        <v>1430</v>
      </c>
      <c r="H9" s="29" t="s">
        <v>759</v>
      </c>
      <c r="I9" s="29" t="s">
        <v>1424</v>
      </c>
      <c r="J9" s="29" t="s">
        <v>1425</v>
      </c>
      <c r="K9" s="27"/>
      <c r="L9" s="49">
        <v>442.5</v>
      </c>
      <c r="M9" s="26" t="s">
        <v>1431</v>
      </c>
      <c r="N9" s="17" t="s">
        <v>1243</v>
      </c>
    </row>
    <row r="10" spans="1:14" ht="12.75">
      <c r="A10" s="28"/>
      <c r="B10" s="16"/>
      <c r="C10" s="16"/>
      <c r="D10" s="16"/>
      <c r="E10" s="16"/>
      <c r="F10" s="16"/>
      <c r="G10" s="16"/>
      <c r="H10" s="28"/>
      <c r="I10" s="28"/>
      <c r="J10" s="28"/>
      <c r="K10" s="28"/>
      <c r="L10" s="28"/>
      <c r="M10" s="28"/>
      <c r="N10" s="16"/>
    </row>
    <row r="11" spans="1:14" ht="12.75">
      <c r="A11" s="28"/>
      <c r="B11" s="16"/>
      <c r="C11" s="16"/>
      <c r="D11" s="16"/>
      <c r="E11" s="16"/>
      <c r="F11" s="16"/>
      <c r="G11" s="16"/>
      <c r="H11" s="28"/>
      <c r="I11" s="28"/>
      <c r="J11" s="28"/>
      <c r="K11" s="28"/>
      <c r="L11" s="28"/>
      <c r="M11" s="28"/>
      <c r="N11" s="16"/>
    </row>
  </sheetData>
  <sheetProtection/>
  <mergeCells count="13">
    <mergeCell ref="M3:M4"/>
    <mergeCell ref="N3:N4"/>
    <mergeCell ref="B5:M5"/>
    <mergeCell ref="B1:Q2"/>
    <mergeCell ref="A3:A4"/>
    <mergeCell ref="B3:B4"/>
    <mergeCell ref="C3:C4"/>
    <mergeCell ref="D3:D4"/>
    <mergeCell ref="E3:E4"/>
    <mergeCell ref="F3:F4"/>
    <mergeCell ref="G3:G4"/>
    <mergeCell ref="H3:K3"/>
    <mergeCell ref="L3:L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6"/>
  <sheetViews>
    <sheetView workbookViewId="0" topLeftCell="A1">
      <selection activeCell="B15" sqref="B15"/>
    </sheetView>
  </sheetViews>
  <sheetFormatPr defaultColWidth="8.75390625" defaultRowHeight="12.75"/>
  <cols>
    <col min="1" max="1" width="8.75390625" style="28" customWidth="1"/>
    <col min="2" max="2" width="24.875" style="16" customWidth="1"/>
    <col min="3" max="3" width="22.875" style="16" customWidth="1"/>
    <col min="4" max="4" width="10.625" style="16" bestFit="1" customWidth="1"/>
    <col min="5" max="5" width="8.375" style="16" bestFit="1" customWidth="1"/>
    <col min="6" max="6" width="15.375" style="16" customWidth="1"/>
    <col min="7" max="7" width="28.625" style="16" bestFit="1" customWidth="1"/>
    <col min="8" max="11" width="6.875" style="28" customWidth="1"/>
    <col min="12" max="12" width="12.875" style="28" customWidth="1"/>
    <col min="13" max="13" width="7.875" style="28" customWidth="1"/>
    <col min="14" max="14" width="15.75390625" style="16" bestFit="1" customWidth="1"/>
  </cols>
  <sheetData>
    <row r="1" spans="2:18" s="1" customFormat="1" ht="15" customHeight="1">
      <c r="B1" s="86" t="s">
        <v>1388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102"/>
    </row>
    <row r="2" spans="2:18" s="1" customFormat="1" ht="89.25" customHeight="1" thickBot="1">
      <c r="B2" s="88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103"/>
    </row>
    <row r="3" spans="1:14" s="4" customFormat="1" ht="12.75" customHeight="1">
      <c r="A3" s="98" t="s">
        <v>932</v>
      </c>
      <c r="B3" s="90" t="s">
        <v>0</v>
      </c>
      <c r="C3" s="92" t="s">
        <v>1</v>
      </c>
      <c r="D3" s="92" t="s">
        <v>1226</v>
      </c>
      <c r="E3" s="94" t="s">
        <v>11</v>
      </c>
      <c r="F3" s="94" t="s">
        <v>2</v>
      </c>
      <c r="G3" s="95" t="s">
        <v>1227</v>
      </c>
      <c r="H3" s="94" t="s">
        <v>6</v>
      </c>
      <c r="I3" s="94"/>
      <c r="J3" s="94"/>
      <c r="K3" s="94"/>
      <c r="L3" s="90" t="s">
        <v>934</v>
      </c>
      <c r="M3" s="94" t="s">
        <v>9</v>
      </c>
      <c r="N3" s="100" t="s">
        <v>10</v>
      </c>
    </row>
    <row r="4" spans="1:14" s="4" customFormat="1" ht="23.25" customHeight="1" thickBot="1">
      <c r="A4" s="99"/>
      <c r="B4" s="91"/>
      <c r="C4" s="93"/>
      <c r="D4" s="93"/>
      <c r="E4" s="93"/>
      <c r="F4" s="93"/>
      <c r="G4" s="96"/>
      <c r="H4" s="7">
        <v>1</v>
      </c>
      <c r="I4" s="7">
        <v>2</v>
      </c>
      <c r="J4" s="7">
        <v>3</v>
      </c>
      <c r="K4" s="7" t="s">
        <v>7</v>
      </c>
      <c r="L4" s="91"/>
      <c r="M4" s="93"/>
      <c r="N4" s="101"/>
    </row>
    <row r="5" spans="1:13" ht="15.75">
      <c r="A5"/>
      <c r="B5" s="104" t="s">
        <v>93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</row>
    <row r="6" spans="1:14" ht="12.75">
      <c r="A6" s="26" t="s">
        <v>933</v>
      </c>
      <c r="B6" s="17" t="s">
        <v>1312</v>
      </c>
      <c r="C6" s="17" t="s">
        <v>318</v>
      </c>
      <c r="D6" s="17" t="s">
        <v>319</v>
      </c>
      <c r="E6" s="17" t="str">
        <f>"0,5659"</f>
        <v>0,5659</v>
      </c>
      <c r="F6" s="17" t="s">
        <v>15</v>
      </c>
      <c r="G6" s="17" t="s">
        <v>320</v>
      </c>
      <c r="H6" s="29" t="s">
        <v>75</v>
      </c>
      <c r="I6" s="29" t="s">
        <v>66</v>
      </c>
      <c r="J6" s="27"/>
      <c r="K6" s="27"/>
      <c r="L6" s="49">
        <v>225</v>
      </c>
      <c r="M6" s="26" t="str">
        <f>"127,3387"</f>
        <v>127,3387</v>
      </c>
      <c r="N6" s="17" t="s">
        <v>55</v>
      </c>
    </row>
  </sheetData>
  <sheetProtection/>
  <mergeCells count="13">
    <mergeCell ref="L3:L4"/>
    <mergeCell ref="M3:M4"/>
    <mergeCell ref="N3:N4"/>
    <mergeCell ref="B5:M5"/>
    <mergeCell ref="B1:R2"/>
    <mergeCell ref="A3:A4"/>
    <mergeCell ref="B3:B4"/>
    <mergeCell ref="C3:C4"/>
    <mergeCell ref="D3:D4"/>
    <mergeCell ref="E3:E4"/>
    <mergeCell ref="F3:F4"/>
    <mergeCell ref="G3:G4"/>
    <mergeCell ref="H3:K3"/>
  </mergeCells>
  <printOptions/>
  <pageMargins left="0.7" right="0.7" top="0.75" bottom="0.75" header="0.3" footer="0.3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5"/>
  <sheetViews>
    <sheetView workbookViewId="0" topLeftCell="A1">
      <selection activeCell="C39" sqref="C39"/>
    </sheetView>
  </sheetViews>
  <sheetFormatPr defaultColWidth="8.75390625" defaultRowHeight="12.75"/>
  <cols>
    <col min="1" max="1" width="7.875" style="28" bestFit="1" customWidth="1"/>
    <col min="2" max="2" width="23.125" style="16" customWidth="1"/>
    <col min="3" max="3" width="22.625" style="16" customWidth="1"/>
    <col min="4" max="4" width="10.625" style="16" bestFit="1" customWidth="1"/>
    <col min="5" max="5" width="8.375" style="16" bestFit="1" customWidth="1"/>
    <col min="6" max="6" width="15.875" style="16" customWidth="1"/>
    <col min="7" max="7" width="34.00390625" style="16" bestFit="1" customWidth="1"/>
    <col min="8" max="10" width="5.625" style="28" bestFit="1" customWidth="1"/>
    <col min="11" max="11" width="5.125" style="28" bestFit="1" customWidth="1"/>
    <col min="12" max="12" width="11.625" style="28" customWidth="1"/>
    <col min="13" max="13" width="8.625" style="28" bestFit="1" customWidth="1"/>
    <col min="14" max="14" width="22.125" style="16" customWidth="1"/>
    <col min="15" max="15" width="0.2421875" style="0" hidden="1" customWidth="1"/>
    <col min="16" max="17" width="9.125" style="0" hidden="1" customWidth="1"/>
  </cols>
  <sheetData>
    <row r="1" spans="2:17" s="1" customFormat="1" ht="15" customHeight="1">
      <c r="B1" s="86" t="s">
        <v>1387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</row>
    <row r="2" spans="2:17" s="1" customFormat="1" ht="94.5" customHeight="1" thickBot="1">
      <c r="B2" s="88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1:14" s="4" customFormat="1" ht="12.75" customHeight="1">
      <c r="A3" s="98" t="s">
        <v>932</v>
      </c>
      <c r="B3" s="90" t="s">
        <v>0</v>
      </c>
      <c r="C3" s="92" t="s">
        <v>1</v>
      </c>
      <c r="D3" s="92" t="s">
        <v>1226</v>
      </c>
      <c r="E3" s="94" t="s">
        <v>11</v>
      </c>
      <c r="F3" s="94" t="s">
        <v>2</v>
      </c>
      <c r="G3" s="95" t="s">
        <v>1227</v>
      </c>
      <c r="H3" s="94" t="s">
        <v>6</v>
      </c>
      <c r="I3" s="94"/>
      <c r="J3" s="94"/>
      <c r="K3" s="94"/>
      <c r="L3" s="90" t="s">
        <v>934</v>
      </c>
      <c r="M3" s="94" t="s">
        <v>9</v>
      </c>
      <c r="N3" s="100" t="s">
        <v>10</v>
      </c>
    </row>
    <row r="4" spans="1:14" s="4" customFormat="1" ht="23.25" customHeight="1" thickBot="1">
      <c r="A4" s="99"/>
      <c r="B4" s="91"/>
      <c r="C4" s="93"/>
      <c r="D4" s="93"/>
      <c r="E4" s="93"/>
      <c r="F4" s="93"/>
      <c r="G4" s="96"/>
      <c r="H4" s="7">
        <v>1</v>
      </c>
      <c r="I4" s="7">
        <v>2</v>
      </c>
      <c r="J4" s="7">
        <v>3</v>
      </c>
      <c r="K4" s="7" t="s">
        <v>7</v>
      </c>
      <c r="L4" s="91"/>
      <c r="M4" s="93"/>
      <c r="N4" s="101"/>
    </row>
    <row r="5" spans="1:13" ht="15.75">
      <c r="A5"/>
      <c r="B5" s="104" t="s">
        <v>27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</row>
    <row r="6" spans="1:14" ht="12.75">
      <c r="A6" s="26" t="s">
        <v>933</v>
      </c>
      <c r="B6" s="17" t="s">
        <v>1385</v>
      </c>
      <c r="C6" s="17" t="s">
        <v>237</v>
      </c>
      <c r="D6" s="17" t="s">
        <v>238</v>
      </c>
      <c r="E6" s="17" t="str">
        <f>"0,8383"</f>
        <v>0,8383</v>
      </c>
      <c r="F6" s="17" t="s">
        <v>15</v>
      </c>
      <c r="G6" s="17" t="s">
        <v>195</v>
      </c>
      <c r="H6" s="29" t="s">
        <v>35</v>
      </c>
      <c r="I6" s="30" t="s">
        <v>17</v>
      </c>
      <c r="J6" s="27"/>
      <c r="K6" s="27"/>
      <c r="L6" s="49">
        <v>145</v>
      </c>
      <c r="M6" s="26" t="str">
        <f>"121,5607"</f>
        <v>121,5607</v>
      </c>
      <c r="N6" s="17" t="s">
        <v>239</v>
      </c>
    </row>
    <row r="8" spans="1:13" ht="15.75">
      <c r="A8"/>
      <c r="B8" s="97" t="s">
        <v>158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</row>
    <row r="9" spans="1:14" ht="12.75">
      <c r="A9" s="26" t="s">
        <v>933</v>
      </c>
      <c r="B9" s="17" t="s">
        <v>1386</v>
      </c>
      <c r="C9" s="17" t="s">
        <v>818</v>
      </c>
      <c r="D9" s="17" t="s">
        <v>819</v>
      </c>
      <c r="E9" s="17" t="str">
        <f>"0,7743"</f>
        <v>0,7743</v>
      </c>
      <c r="F9" s="17" t="s">
        <v>15</v>
      </c>
      <c r="G9" s="17" t="s">
        <v>1244</v>
      </c>
      <c r="H9" s="29" t="s">
        <v>34</v>
      </c>
      <c r="I9" s="29" t="s">
        <v>19</v>
      </c>
      <c r="J9" s="29" t="s">
        <v>42</v>
      </c>
      <c r="K9" s="27"/>
      <c r="L9" s="49">
        <v>175</v>
      </c>
      <c r="M9" s="26" t="str">
        <f>"135,5025"</f>
        <v>135,5025</v>
      </c>
      <c r="N9" s="17" t="s">
        <v>1251</v>
      </c>
    </row>
    <row r="11" spans="1:13" ht="15.75">
      <c r="A11"/>
      <c r="B11" s="97" t="s">
        <v>61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</row>
    <row r="12" spans="1:14" ht="12.75">
      <c r="A12" s="26" t="s">
        <v>933</v>
      </c>
      <c r="B12" s="17" t="s">
        <v>1260</v>
      </c>
      <c r="C12" s="17" t="s">
        <v>63</v>
      </c>
      <c r="D12" s="17" t="s">
        <v>64</v>
      </c>
      <c r="E12" s="17" t="str">
        <f>"0,6133"</f>
        <v>0,6133</v>
      </c>
      <c r="F12" s="17" t="s">
        <v>15</v>
      </c>
      <c r="G12" s="17" t="s">
        <v>1245</v>
      </c>
      <c r="H12" s="29" t="s">
        <v>68</v>
      </c>
      <c r="I12" s="27"/>
      <c r="J12" s="27"/>
      <c r="K12" s="27"/>
      <c r="L12" s="49">
        <v>275</v>
      </c>
      <c r="M12" s="26" t="str">
        <f>"168,6712"</f>
        <v>168,6712</v>
      </c>
      <c r="N12" s="17" t="s">
        <v>69</v>
      </c>
    </row>
    <row r="14" spans="1:13" ht="15.75">
      <c r="A14"/>
      <c r="B14" s="97" t="s">
        <v>93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</row>
    <row r="15" spans="1:14" ht="12.75">
      <c r="A15" s="26" t="s">
        <v>933</v>
      </c>
      <c r="B15" s="17" t="s">
        <v>608</v>
      </c>
      <c r="C15" s="17" t="s">
        <v>851</v>
      </c>
      <c r="D15" s="17" t="s">
        <v>319</v>
      </c>
      <c r="E15" s="17" t="str">
        <f>"0,5659"</f>
        <v>0,5659</v>
      </c>
      <c r="F15" s="17" t="s">
        <v>15</v>
      </c>
      <c r="G15" s="17" t="s">
        <v>1244</v>
      </c>
      <c r="H15" s="29" t="s">
        <v>852</v>
      </c>
      <c r="I15" s="29" t="s">
        <v>105</v>
      </c>
      <c r="J15" s="29" t="s">
        <v>106</v>
      </c>
      <c r="K15" s="27"/>
      <c r="L15" s="49">
        <v>310</v>
      </c>
      <c r="M15" s="26" t="str">
        <f>"175,4445"</f>
        <v>175,4445</v>
      </c>
      <c r="N15" s="17" t="s">
        <v>55</v>
      </c>
    </row>
  </sheetData>
  <sheetProtection/>
  <mergeCells count="16">
    <mergeCell ref="B14:M14"/>
    <mergeCell ref="B1:Q2"/>
    <mergeCell ref="A3:A4"/>
    <mergeCell ref="L3:L4"/>
    <mergeCell ref="M3:M4"/>
    <mergeCell ref="N3:N4"/>
    <mergeCell ref="B5:M5"/>
    <mergeCell ref="B8:M8"/>
    <mergeCell ref="B11:M11"/>
    <mergeCell ref="B3:B4"/>
    <mergeCell ref="C3:C4"/>
    <mergeCell ref="D3:D4"/>
    <mergeCell ref="E3:E4"/>
    <mergeCell ref="F3:F4"/>
    <mergeCell ref="G3:G4"/>
    <mergeCell ref="H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Сергей Длужневский</cp:lastModifiedBy>
  <cp:lastPrinted>2008-02-22T21:19:54Z</cp:lastPrinted>
  <dcterms:created xsi:type="dcterms:W3CDTF">2002-06-16T13:36:44Z</dcterms:created>
  <dcterms:modified xsi:type="dcterms:W3CDTF">2015-12-30T18:04:23Z</dcterms:modified>
  <cp:category/>
  <cp:version/>
  <cp:contentType/>
  <cp:contentStatus/>
</cp:coreProperties>
</file>