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tabRatio="634" activeTab="0"/>
  </bookViews>
  <sheets>
    <sheet name="ПЛ без экипировки ДК" sheetId="1" r:id="rId1"/>
    <sheet name="ПЛ без экипировки" sheetId="2" r:id="rId2"/>
    <sheet name="ПЛ в бинтах ДК" sheetId="3" r:id="rId3"/>
    <sheet name="ПЛ в бинтах" sheetId="4" r:id="rId4"/>
    <sheet name="ПЛ однослой ДК" sheetId="5" r:id="rId5"/>
    <sheet name="Силовое двоеборье без экип" sheetId="6" r:id="rId6"/>
    <sheet name="Присед без экипировки ДК" sheetId="7" r:id="rId7"/>
    <sheet name="Присед в бинтах ДК" sheetId="8" r:id="rId8"/>
    <sheet name="Присед в бинтах" sheetId="9" r:id="rId9"/>
    <sheet name="Жим без экипировки" sheetId="10" r:id="rId10"/>
    <sheet name="Жим без экипировки ДК" sheetId="11" r:id="rId11"/>
    <sheet name="Жим однослой ДК" sheetId="12" r:id="rId12"/>
    <sheet name="Жим однослой" sheetId="13" r:id="rId13"/>
    <sheet name="Жим многослой ДК" sheetId="14" r:id="rId14"/>
    <sheet name="Софт. экипировка ДК" sheetId="15" r:id="rId15"/>
    <sheet name="НЖ ДК" sheetId="16" r:id="rId16"/>
    <sheet name="НЖ" sheetId="17" r:id="rId17"/>
    <sheet name="НЖ 1|2 ДК" sheetId="18" r:id="rId18"/>
    <sheet name="НЖ 1|2 веса " sheetId="19" r:id="rId19"/>
    <sheet name="Становая тяга без экипировки ДК" sheetId="20" r:id="rId20"/>
    <sheet name="Становая тяга без экипировки" sheetId="21" r:id="rId21"/>
    <sheet name="Становая тяга в экипировке ДК" sheetId="22" r:id="rId22"/>
    <sheet name="Пауэрспорт ДК" sheetId="23" r:id="rId23"/>
    <sheet name="Пауэрспорт" sheetId="24" r:id="rId24"/>
    <sheet name="Rolling Thunder" sheetId="25" r:id="rId25"/>
    <sheet name="Apollon`s Axle" sheetId="26" r:id="rId26"/>
    <sheet name="Excalibur" sheetId="27" r:id="rId27"/>
    <sheet name="Grip block" sheetId="28" r:id="rId28"/>
    <sheet name="HUB" sheetId="29" r:id="rId29"/>
    <sheet name="Судейский корпус" sheetId="30" r:id="rId30"/>
  </sheets>
  <definedNames/>
  <calcPr fullCalcOnLoad="1" refMode="R1C1"/>
</workbook>
</file>

<file path=xl/sharedStrings.xml><?xml version="1.0" encoding="utf-8"?>
<sst xmlns="http://schemas.openxmlformats.org/spreadsheetml/2006/main" count="3508" uniqueCount="1053">
  <si>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</si>
  <si>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</si>
  <si>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</si>
  <si>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</si>
  <si>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</si>
  <si>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</si>
  <si>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</si>
  <si>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</si>
  <si>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</si>
  <si>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</si>
  <si>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</si>
  <si>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Николаева Ольга</t>
  </si>
  <si>
    <t>Open (11.08.1990)/26</t>
  </si>
  <si>
    <t>54,10</t>
  </si>
  <si>
    <t xml:space="preserve">Выборг </t>
  </si>
  <si>
    <t xml:space="preserve">Выборг/Ленинградская область </t>
  </si>
  <si>
    <t>35,0</t>
  </si>
  <si>
    <t>37,5</t>
  </si>
  <si>
    <t>40,0</t>
  </si>
  <si>
    <t>ВЕСОВАЯ КАТЕГОРИЯ   82.5</t>
  </si>
  <si>
    <t>Медведев Александр</t>
  </si>
  <si>
    <t>Open (14.09.1982)/34</t>
  </si>
  <si>
    <t>81,80</t>
  </si>
  <si>
    <t>160,0</t>
  </si>
  <si>
    <t>165,0</t>
  </si>
  <si>
    <t>170,0</t>
  </si>
  <si>
    <t>Тихоновский Олег</t>
  </si>
  <si>
    <t>Open (04.08.1978)/38</t>
  </si>
  <si>
    <t>81,90</t>
  </si>
  <si>
    <t xml:space="preserve">Лично </t>
  </si>
  <si>
    <t xml:space="preserve">Санкт Петербург/Ленинградская </t>
  </si>
  <si>
    <t>157,5</t>
  </si>
  <si>
    <t>Батов Вячеслав</t>
  </si>
  <si>
    <t>Open (08.09.1985)/31</t>
  </si>
  <si>
    <t>82,00</t>
  </si>
  <si>
    <t>140,0</t>
  </si>
  <si>
    <t>145,0</t>
  </si>
  <si>
    <t>Гусейнов Кямран</t>
  </si>
  <si>
    <t>Open (19.08.1987)/29</t>
  </si>
  <si>
    <t>81,30</t>
  </si>
  <si>
    <t>135,0</t>
  </si>
  <si>
    <t>142,5</t>
  </si>
  <si>
    <t>Еганов Сергей</t>
  </si>
  <si>
    <t>Open (28.08.1984)/32</t>
  </si>
  <si>
    <t>78,60</t>
  </si>
  <si>
    <t xml:space="preserve">Всеволожск/Ленинградская облас </t>
  </si>
  <si>
    <t>120,0</t>
  </si>
  <si>
    <t>127,5</t>
  </si>
  <si>
    <t>130,0</t>
  </si>
  <si>
    <t>ВЕСОВАЯ КАТЕГОРИЯ   90</t>
  </si>
  <si>
    <t>Андреев Дмитрий</t>
  </si>
  <si>
    <t>Juniors 20-23 (16.02.1993)/23</t>
  </si>
  <si>
    <t>87,40</t>
  </si>
  <si>
    <t xml:space="preserve">Саратов/Саратовская область </t>
  </si>
  <si>
    <t>172,5</t>
  </si>
  <si>
    <t>175,0</t>
  </si>
  <si>
    <t xml:space="preserve">Янкилеевич В. Я. </t>
  </si>
  <si>
    <t>Савченко Тимофей</t>
  </si>
  <si>
    <t>Juniors 20-23 (13.10.1993)/23</t>
  </si>
  <si>
    <t>89,70</t>
  </si>
  <si>
    <t xml:space="preserve">Гатчина/Ленинградская область </t>
  </si>
  <si>
    <t>Скобкин Константин</t>
  </si>
  <si>
    <t>Open (18.03.1983)/33</t>
  </si>
  <si>
    <t>90,00</t>
  </si>
  <si>
    <t>177,5</t>
  </si>
  <si>
    <t>Кандауров Станислав</t>
  </si>
  <si>
    <t>Open (26.05.1990)/26</t>
  </si>
  <si>
    <t>87,60</t>
  </si>
  <si>
    <t xml:space="preserve">Арена </t>
  </si>
  <si>
    <t>185,0</t>
  </si>
  <si>
    <t>Лебединский Станислав</t>
  </si>
  <si>
    <t>Open (14.05.1988)/28</t>
  </si>
  <si>
    <t>ВЕСОВАЯ КАТЕГОРИЯ   100</t>
  </si>
  <si>
    <t>Васильев Алексей</t>
  </si>
  <si>
    <t>Open (27.10.1979)/37</t>
  </si>
  <si>
    <t>99,60</t>
  </si>
  <si>
    <t xml:space="preserve">Динамит </t>
  </si>
  <si>
    <t>195,0</t>
  </si>
  <si>
    <t>200,0</t>
  </si>
  <si>
    <t>205,0</t>
  </si>
  <si>
    <t>Волков Андрей</t>
  </si>
  <si>
    <t>Open (29.09.1975)/41</t>
  </si>
  <si>
    <t>94,40</t>
  </si>
  <si>
    <t xml:space="preserve">А 1 </t>
  </si>
  <si>
    <t>0,0</t>
  </si>
  <si>
    <t>190,0</t>
  </si>
  <si>
    <t>192,5</t>
  </si>
  <si>
    <t>Солнцев Иван</t>
  </si>
  <si>
    <t>Open (25.03.1974)/42</t>
  </si>
  <si>
    <t>96,70</t>
  </si>
  <si>
    <t>Малахов Игорь</t>
  </si>
  <si>
    <t>Open (11.07.1982)/34</t>
  </si>
  <si>
    <t>98,10</t>
  </si>
  <si>
    <t>180,0</t>
  </si>
  <si>
    <t>Masters 40-44 (29.09.1975)/41</t>
  </si>
  <si>
    <t>ВЕСОВАЯ КАТЕГОРИЯ   110</t>
  </si>
  <si>
    <t>Вересов Павел</t>
  </si>
  <si>
    <t>Open (05.12.1981)/35</t>
  </si>
  <si>
    <t>108,20</t>
  </si>
  <si>
    <t>202,5</t>
  </si>
  <si>
    <t>Дерягин Денис</t>
  </si>
  <si>
    <t>Open (28.02.1980)/36</t>
  </si>
  <si>
    <t>107,10</t>
  </si>
  <si>
    <t>Маркитантов Василий</t>
  </si>
  <si>
    <t>Open (21.02.1980)/36</t>
  </si>
  <si>
    <t>101,70</t>
  </si>
  <si>
    <t xml:space="preserve">РООСФиС </t>
  </si>
  <si>
    <t>Шлык Георгий</t>
  </si>
  <si>
    <t>Open (07.06.1985)/31</t>
  </si>
  <si>
    <t>102,80</t>
  </si>
  <si>
    <t>Коноплев Алексей</t>
  </si>
  <si>
    <t>Open (08.05.1985)/31</t>
  </si>
  <si>
    <t>107,80</t>
  </si>
  <si>
    <t>182,5</t>
  </si>
  <si>
    <t>Храмцов Константин</t>
  </si>
  <si>
    <t>Masters 40-44 (17.09.1974)/42</t>
  </si>
  <si>
    <t xml:space="preserve">Фитнес Хаус </t>
  </si>
  <si>
    <t>Саитов Алексей</t>
  </si>
  <si>
    <t>Masters 40-44 (05.09.1973)/43</t>
  </si>
  <si>
    <t>107,70</t>
  </si>
  <si>
    <t>Писаренко Александр</t>
  </si>
  <si>
    <t>Masters 55-59 (27.09.1959)/57</t>
  </si>
  <si>
    <t>104,30</t>
  </si>
  <si>
    <t>ВЕСОВАЯ КАТЕГОРИЯ   125</t>
  </si>
  <si>
    <t>Карабак Денис</t>
  </si>
  <si>
    <t>Open (12.09.1982)/34</t>
  </si>
  <si>
    <t>121,60</t>
  </si>
  <si>
    <t>Матус Сергей</t>
  </si>
  <si>
    <t>Open (02.06.1981)/35</t>
  </si>
  <si>
    <t>112,60</t>
  </si>
  <si>
    <t xml:space="preserve">Самостоятельно </t>
  </si>
  <si>
    <t>Симонов Андрей</t>
  </si>
  <si>
    <t>Open (22.01.1978)/38</t>
  </si>
  <si>
    <t>110,80</t>
  </si>
  <si>
    <t>Карельский Алексей</t>
  </si>
  <si>
    <t>Open (23.11.1977)/39</t>
  </si>
  <si>
    <t>113,90</t>
  </si>
  <si>
    <t>Чистотин Денис</t>
  </si>
  <si>
    <t>Masters 40-44 (14.05.1975)/41</t>
  </si>
  <si>
    <t>122,60</t>
  </si>
  <si>
    <t>150,0</t>
  </si>
  <si>
    <t>ВЕСОВАЯ КАТЕГОРИЯ   140</t>
  </si>
  <si>
    <t>Иванюк Анатолий</t>
  </si>
  <si>
    <t>Open (26.05.1991)/25</t>
  </si>
  <si>
    <t>126,10</t>
  </si>
  <si>
    <t>135,00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</si>
  <si>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</si>
  <si>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</si>
  <si>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</si>
  <si>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</si>
  <si>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</si>
  <si>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</si>
  <si>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</si>
  <si>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</si>
  <si>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 xml:space="preserve">Юниоры </t>
  </si>
  <si>
    <t xml:space="preserve">Юниоры 20 - 23 </t>
  </si>
  <si>
    <t xml:space="preserve">90 </t>
  </si>
  <si>
    <t xml:space="preserve">100 </t>
  </si>
  <si>
    <t>124,9680</t>
  </si>
  <si>
    <t>118,5220</t>
  </si>
  <si>
    <t xml:space="preserve">110 </t>
  </si>
  <si>
    <t>118,3200</t>
  </si>
  <si>
    <t xml:space="preserve">125 </t>
  </si>
  <si>
    <t xml:space="preserve">82.5 </t>
  </si>
  <si>
    <t xml:space="preserve">140 </t>
  </si>
  <si>
    <t>ВЕСОВАЯ КАТЕГОРИЯ   48</t>
  </si>
  <si>
    <t>Сохина Анастасия</t>
  </si>
  <si>
    <t>Teenage 15-19 (03.12.2000)/16</t>
  </si>
  <si>
    <t>47,50</t>
  </si>
  <si>
    <t xml:space="preserve">Шенкурск/Архангельская область </t>
  </si>
  <si>
    <t>50,0</t>
  </si>
  <si>
    <t>52,5</t>
  </si>
  <si>
    <t>55,0</t>
  </si>
  <si>
    <t>Денисова Мария</t>
  </si>
  <si>
    <t>Masters 45-49 (09.06.1971)/45</t>
  </si>
  <si>
    <t>47,80</t>
  </si>
  <si>
    <t>45,0</t>
  </si>
  <si>
    <t>ВЕСОВАЯ КАТЕГОРИЯ   52</t>
  </si>
  <si>
    <t>Шмонина Виктория</t>
  </si>
  <si>
    <t>Teenage 15-19 (21.07.1999)/17</t>
  </si>
  <si>
    <t>50,90</t>
  </si>
  <si>
    <t>Гоменюк Диана</t>
  </si>
  <si>
    <t>Teenage 15-19 (10.02.2000)/16</t>
  </si>
  <si>
    <t>51,10</t>
  </si>
  <si>
    <t xml:space="preserve">Сборная Кронштадта </t>
  </si>
  <si>
    <t xml:space="preserve">Кронштадт/Санкт-Петербург </t>
  </si>
  <si>
    <t>25,0</t>
  </si>
  <si>
    <t>30,0</t>
  </si>
  <si>
    <t>Барбашенова Екатерина</t>
  </si>
  <si>
    <t>Juniors 20-23 (29.06.1995)/21</t>
  </si>
  <si>
    <t>50,10</t>
  </si>
  <si>
    <t xml:space="preserve">Сфера </t>
  </si>
  <si>
    <t>47,5</t>
  </si>
  <si>
    <t>Соколова Алена</t>
  </si>
  <si>
    <t>Juniors 20-23 (14.01.1995)/21</t>
  </si>
  <si>
    <t>49,70</t>
  </si>
  <si>
    <t>57,5</t>
  </si>
  <si>
    <t>Таранухо Татьяна</t>
  </si>
  <si>
    <t>Open (13.07.1981)/35</t>
  </si>
  <si>
    <t>Самсонова Марина</t>
  </si>
  <si>
    <t>Open (05.11.1985)/31</t>
  </si>
  <si>
    <t>51,50</t>
  </si>
  <si>
    <t>Громова Юлия</t>
  </si>
  <si>
    <t>Teenage 15-19 (17.12.2002)/14</t>
  </si>
  <si>
    <t>53,00</t>
  </si>
  <si>
    <t>27,5</t>
  </si>
  <si>
    <t>32,5</t>
  </si>
  <si>
    <t>ВЕСОВАЯ КАТЕГОРИЯ   60</t>
  </si>
  <si>
    <t>Райлян Екатерина</t>
  </si>
  <si>
    <t>Teenage 15-19 (07.04.1998)/18</t>
  </si>
  <si>
    <t>59,10</t>
  </si>
  <si>
    <t>62,5</t>
  </si>
  <si>
    <t>67,5</t>
  </si>
  <si>
    <t>70,0</t>
  </si>
  <si>
    <t>Яковлева Ксения</t>
  </si>
  <si>
    <t>Open (24.12.1990)/25</t>
  </si>
  <si>
    <t>59,00</t>
  </si>
  <si>
    <t>Фомина Светлана</t>
  </si>
  <si>
    <t>Open (13.01.1992)/24</t>
  </si>
  <si>
    <t>59,20</t>
  </si>
  <si>
    <t>60,0</t>
  </si>
  <si>
    <t>Скопцова Надежда</t>
  </si>
  <si>
    <t>Open (19.10.1977)/39</t>
  </si>
  <si>
    <t>57,40</t>
  </si>
  <si>
    <t>42,5</t>
  </si>
  <si>
    <t>Харитонова Татьяна</t>
  </si>
  <si>
    <t>Masters 40-44 (09.05.1976)/40</t>
  </si>
  <si>
    <t>58,40</t>
  </si>
  <si>
    <t>ВЕСОВАЯ КАТЕГОРИЯ   67.5</t>
  </si>
  <si>
    <t>Маргиева Анна</t>
  </si>
  <si>
    <t>Open (13.02.1992)/24</t>
  </si>
  <si>
    <t>66,50</t>
  </si>
  <si>
    <t>65,0</t>
  </si>
  <si>
    <t>Сыропятов Дмитрий</t>
  </si>
  <si>
    <t>Teenage 15-19 (20.11.2003)/13</t>
  </si>
  <si>
    <t>44,80</t>
  </si>
  <si>
    <t>Никитинский Иван</t>
  </si>
  <si>
    <t>Teenage 15-19 (07.07.2004)/12</t>
  </si>
  <si>
    <t>41,00</t>
  </si>
  <si>
    <t xml:space="preserve">Тихвин/Ленинградская область </t>
  </si>
  <si>
    <t>33,5</t>
  </si>
  <si>
    <t xml:space="preserve">Никитинский А </t>
  </si>
  <si>
    <t>Open (07.07.2004)/12</t>
  </si>
  <si>
    <t>Open (05.09.1973)/43</t>
  </si>
  <si>
    <t>20,00</t>
  </si>
  <si>
    <t>Кинтушев Никита</t>
  </si>
  <si>
    <t>Teenage 15-19 (01.10.2000)/16</t>
  </si>
  <si>
    <t>64,00</t>
  </si>
  <si>
    <t>72,5</t>
  </si>
  <si>
    <t>ВЕСОВАЯ КАТЕГОРИЯ   75</t>
  </si>
  <si>
    <t>Постол Антон</t>
  </si>
  <si>
    <t>Juniors 20-23 (12.01.1995)/21</t>
  </si>
  <si>
    <t>71,90</t>
  </si>
  <si>
    <t>132,5</t>
  </si>
  <si>
    <t>Кофи Каблан</t>
  </si>
  <si>
    <t>Juniors 20-23 (15.03.1994)/22</t>
  </si>
  <si>
    <t>69,70</t>
  </si>
  <si>
    <t>122,5</t>
  </si>
  <si>
    <t>Евсюков Олег</t>
  </si>
  <si>
    <t>Juniors 20-23 (14.10.1995)/21</t>
  </si>
  <si>
    <t>73,70</t>
  </si>
  <si>
    <t>102,5</t>
  </si>
  <si>
    <t>107,5</t>
  </si>
  <si>
    <t>117,5</t>
  </si>
  <si>
    <t>Владимиров Дмитрий</t>
  </si>
  <si>
    <t>Open (12.08.1986)/30</t>
  </si>
  <si>
    <t>155,0</t>
  </si>
  <si>
    <t>Гринев Роман</t>
  </si>
  <si>
    <t>Open (15.11.1984)/32</t>
  </si>
  <si>
    <t>70,50</t>
  </si>
  <si>
    <t xml:space="preserve">Никитинский А. </t>
  </si>
  <si>
    <t>Пахомов Денис</t>
  </si>
  <si>
    <t>Open (04.03.1985)/31</t>
  </si>
  <si>
    <t>74,80</t>
  </si>
  <si>
    <t>80,0</t>
  </si>
  <si>
    <t>90,0</t>
  </si>
  <si>
    <t>92,5</t>
  </si>
  <si>
    <t>Гринев Руслан</t>
  </si>
  <si>
    <t>Open (30.03.1980)/36</t>
  </si>
  <si>
    <t>Бучин Владимир</t>
  </si>
  <si>
    <t>Juniors 20-23 (12.11.1993)/23</t>
  </si>
  <si>
    <t>80,80</t>
  </si>
  <si>
    <t>137,5</t>
  </si>
  <si>
    <t>Коваленко Сергей</t>
  </si>
  <si>
    <t>Juniors 20-23 (23.07.1994)/22</t>
  </si>
  <si>
    <t>Присяжнюк Дмитрий</t>
  </si>
  <si>
    <t>Open (12.07.1992)/24</t>
  </si>
  <si>
    <t>81,10</t>
  </si>
  <si>
    <t>Бирюков Сергей</t>
  </si>
  <si>
    <t>Open (10.01.1982)/34</t>
  </si>
  <si>
    <t>81,70</t>
  </si>
  <si>
    <t>Хабаров Артем</t>
  </si>
  <si>
    <t>Open (14.04.1985)/31</t>
  </si>
  <si>
    <t>Кочеров Игорь</t>
  </si>
  <si>
    <t>Open (25.08.1980)/36</t>
  </si>
  <si>
    <t>152,5</t>
  </si>
  <si>
    <t>Чащин Александр</t>
  </si>
  <si>
    <t>Open (15.06.1987)/29</t>
  </si>
  <si>
    <t>81,20</t>
  </si>
  <si>
    <t>Трусов Николай</t>
  </si>
  <si>
    <t>Open (05.06.1992)/24</t>
  </si>
  <si>
    <t>80,40</t>
  </si>
  <si>
    <t>115,0</t>
  </si>
  <si>
    <t>Товстуха Александр</t>
  </si>
  <si>
    <t>Open (05.10.1988)/28</t>
  </si>
  <si>
    <t>81,60</t>
  </si>
  <si>
    <t>125,0</t>
  </si>
  <si>
    <t>Клюквин Дмитрий</t>
  </si>
  <si>
    <t>Open (08.06.1977)/39</t>
  </si>
  <si>
    <t>82,10</t>
  </si>
  <si>
    <t>Сидоров Денис</t>
  </si>
  <si>
    <t>Masters 40-44 (09.03.1976)/40</t>
  </si>
  <si>
    <t>80,50</t>
  </si>
  <si>
    <t>112,5</t>
  </si>
  <si>
    <t>Михайлов Александр</t>
  </si>
  <si>
    <t>Masters 55-59 (09.12.1958)/58</t>
  </si>
  <si>
    <t>82,20</t>
  </si>
  <si>
    <t>82,5</t>
  </si>
  <si>
    <t>87,5</t>
  </si>
  <si>
    <t xml:space="preserve">Таранухин Г.Ю. </t>
  </si>
  <si>
    <t>Власкин Илья</t>
  </si>
  <si>
    <t>Teenage 15-19 (14.09.1997)/19</t>
  </si>
  <si>
    <t>86,80</t>
  </si>
  <si>
    <t>Шипицын Юрий</t>
  </si>
  <si>
    <t>Teenage 15-19 (06.03.1999)/17</t>
  </si>
  <si>
    <t>85,50</t>
  </si>
  <si>
    <t>110,0</t>
  </si>
  <si>
    <t>Кочуров Павел</t>
  </si>
  <si>
    <t>Juniors 20-23 (04.06.1996)/20</t>
  </si>
  <si>
    <t>88,60</t>
  </si>
  <si>
    <t>Суханов Кирилл</t>
  </si>
  <si>
    <t>Juniors 20-23 (22.12.1994)/21</t>
  </si>
  <si>
    <t>88,00</t>
  </si>
  <si>
    <t>Ермолаев Игорь</t>
  </si>
  <si>
    <t>Open (15.03.1974)/42</t>
  </si>
  <si>
    <t>89,60</t>
  </si>
  <si>
    <t>Иванов Дмитрий</t>
  </si>
  <si>
    <t>Open (09.03.1990)/26</t>
  </si>
  <si>
    <t>85,80</t>
  </si>
  <si>
    <t>Петров Александр</t>
  </si>
  <si>
    <t>Open (03.03.1984)/32</t>
  </si>
  <si>
    <t>89,00</t>
  </si>
  <si>
    <t>Парамонов Сергей</t>
  </si>
  <si>
    <t>Open (12.02.1978)/38</t>
  </si>
  <si>
    <t>86,20</t>
  </si>
  <si>
    <t>Сыропятов Александр</t>
  </si>
  <si>
    <t>Masters 40-44 (29.04.1973)/43</t>
  </si>
  <si>
    <t>89,20</t>
  </si>
  <si>
    <t>Паншин Константин</t>
  </si>
  <si>
    <t>Masters 55-59 (22.01.1960)/56</t>
  </si>
  <si>
    <t>Дьячков Юрий</t>
  </si>
  <si>
    <t>Teenage 15-19 (03.10.1999)/17</t>
  </si>
  <si>
    <t>95,0</t>
  </si>
  <si>
    <t>105,0</t>
  </si>
  <si>
    <t>Огорельцев Александр</t>
  </si>
  <si>
    <t>Juniors 20-23 (20.04.1995)/21</t>
  </si>
  <si>
    <t>95,90</t>
  </si>
  <si>
    <t>Бережков Алексей</t>
  </si>
  <si>
    <t>Open (08.08.1982)/34</t>
  </si>
  <si>
    <t>96,80</t>
  </si>
  <si>
    <t>162,5</t>
  </si>
  <si>
    <t>Корельский Олег</t>
  </si>
  <si>
    <t>Open (03.09.1975)/41</t>
  </si>
  <si>
    <t>97,60</t>
  </si>
  <si>
    <t>Сугоровский Андрей</t>
  </si>
  <si>
    <t>Open (09.07.1970)/46</t>
  </si>
  <si>
    <t>99,20</t>
  </si>
  <si>
    <t>Лилимберг Виталий</t>
  </si>
  <si>
    <t>Open (04.03.1991)/25</t>
  </si>
  <si>
    <t>95,60</t>
  </si>
  <si>
    <t>Файзулов Сергей</t>
  </si>
  <si>
    <t>Masters 40-44 (08.01.1976)/40</t>
  </si>
  <si>
    <t>98,50</t>
  </si>
  <si>
    <t>Masters 45-49 (09.07.1970)/46</t>
  </si>
  <si>
    <t>Желкобаев Руслан</t>
  </si>
  <si>
    <t>Teenage 15-19 (30.08.2000)/16</t>
  </si>
  <si>
    <t>105,50</t>
  </si>
  <si>
    <t>85,0</t>
  </si>
  <si>
    <t>Владимиров Максим</t>
  </si>
  <si>
    <t>Open (25.10.1981)/35</t>
  </si>
  <si>
    <t>108,90</t>
  </si>
  <si>
    <t>187,5</t>
  </si>
  <si>
    <t>Лобанов Андрей</t>
  </si>
  <si>
    <t>Open (13.06.1984)/32</t>
  </si>
  <si>
    <t>109,20</t>
  </si>
  <si>
    <t>Снегирев Николай</t>
  </si>
  <si>
    <t>Open (14.03.1986)/30</t>
  </si>
  <si>
    <t>105,40</t>
  </si>
  <si>
    <t xml:space="preserve">Волосово/Ленинградская область </t>
  </si>
  <si>
    <t>147,5</t>
  </si>
  <si>
    <t>167,5</t>
  </si>
  <si>
    <t>Воронцов Артем</t>
  </si>
  <si>
    <t>Open (03.08.1976)/40</t>
  </si>
  <si>
    <t>110,40</t>
  </si>
  <si>
    <t>210,0</t>
  </si>
  <si>
    <t>215,0</t>
  </si>
  <si>
    <t>Masters 40-44 (03.08.1976)/40</t>
  </si>
  <si>
    <t xml:space="preserve">Юноши </t>
  </si>
  <si>
    <t xml:space="preserve">Юноши 15-19 </t>
  </si>
  <si>
    <t>86,2177</t>
  </si>
  <si>
    <t>82,0250</t>
  </si>
  <si>
    <t>69,0075</t>
  </si>
  <si>
    <t>98,1490</t>
  </si>
  <si>
    <t>96,8850</t>
  </si>
  <si>
    <t>96,6862</t>
  </si>
  <si>
    <t xml:space="preserve">75 </t>
  </si>
  <si>
    <t>93,6487</t>
  </si>
  <si>
    <t>123,4380</t>
  </si>
  <si>
    <t>118,4575</t>
  </si>
  <si>
    <t>115,4240</t>
  </si>
  <si>
    <t>Мусохранов Александр</t>
  </si>
  <si>
    <t>Open (16.10.1980)/36</t>
  </si>
  <si>
    <t>105,90</t>
  </si>
  <si>
    <t>Патюпин Дмитрий</t>
  </si>
  <si>
    <t>Open (28.11.1991)/25</t>
  </si>
  <si>
    <t>98,70</t>
  </si>
  <si>
    <t xml:space="preserve">Pride </t>
  </si>
  <si>
    <t>230,0</t>
  </si>
  <si>
    <t>235,0</t>
  </si>
  <si>
    <t>Бекетов Павел</t>
  </si>
  <si>
    <t>Open (13.05.1989)/27</t>
  </si>
  <si>
    <t>99,30</t>
  </si>
  <si>
    <t>240,0</t>
  </si>
  <si>
    <t>260,0</t>
  </si>
  <si>
    <t>220,0</t>
  </si>
  <si>
    <t>250,0</t>
  </si>
  <si>
    <t>Романова Анна</t>
  </si>
  <si>
    <t>Open (16.10.1983)/33</t>
  </si>
  <si>
    <t>55,60</t>
  </si>
  <si>
    <t>100,0</t>
  </si>
  <si>
    <t>Балажонов Абдул</t>
  </si>
  <si>
    <t>Open (03.09.1988)/28</t>
  </si>
  <si>
    <t>74,90</t>
  </si>
  <si>
    <t xml:space="preserve">Отрадное/Ленинградская область </t>
  </si>
  <si>
    <t>Шефф Павел</t>
  </si>
  <si>
    <t>Juniors 20-23 (09.07.1993)/23</t>
  </si>
  <si>
    <t>78,30</t>
  </si>
  <si>
    <t>Калинкин Дмитрий</t>
  </si>
  <si>
    <t>Juniors 20-23 (15.07.1993)/23</t>
  </si>
  <si>
    <t xml:space="preserve">Тольятти/Самарская область </t>
  </si>
  <si>
    <t>Грицаев Дмитрий</t>
  </si>
  <si>
    <t>Open (05.06.1991)/25</t>
  </si>
  <si>
    <t xml:space="preserve">Олимп </t>
  </si>
  <si>
    <t>245,0</t>
  </si>
  <si>
    <t>Open (09.07.1993)/23</t>
  </si>
  <si>
    <t>247,5</t>
  </si>
  <si>
    <t>Дубков Дмитрий</t>
  </si>
  <si>
    <t>Open (29.01.1980)/36</t>
  </si>
  <si>
    <t>89,90</t>
  </si>
  <si>
    <t xml:space="preserve">Тосно/Ленинградская область </t>
  </si>
  <si>
    <t>Лаевский Федор</t>
  </si>
  <si>
    <t>Masters 45-49 (07.01.1968)/48</t>
  </si>
  <si>
    <t>89,40</t>
  </si>
  <si>
    <t>Крылов Алексей</t>
  </si>
  <si>
    <t>Open (21.02.1988)/28</t>
  </si>
  <si>
    <t>212,5</t>
  </si>
  <si>
    <t>252,5</t>
  </si>
  <si>
    <t>267,5</t>
  </si>
  <si>
    <t>275,0</t>
  </si>
  <si>
    <t>Локтев Евгений</t>
  </si>
  <si>
    <t>Masters 55-59 (12.01.1957)/59</t>
  </si>
  <si>
    <t>96,00</t>
  </si>
  <si>
    <t>Степанов Александр</t>
  </si>
  <si>
    <t>Masters 40-44 (09.05.1975)/41</t>
  </si>
  <si>
    <t>102,90</t>
  </si>
  <si>
    <t>Лузанов Александр</t>
  </si>
  <si>
    <t>Juniors 20-23 (30.09.1993)/23</t>
  </si>
  <si>
    <t>121,70</t>
  </si>
  <si>
    <t>265,0</t>
  </si>
  <si>
    <t>272,5</t>
  </si>
  <si>
    <t>Воронков Алексей</t>
  </si>
  <si>
    <t>Open (13.03.1989)/27</t>
  </si>
  <si>
    <t>120,70</t>
  </si>
  <si>
    <t>285,0</t>
  </si>
  <si>
    <t>Стафеева Ангелина</t>
  </si>
  <si>
    <t>Teenage 15-19 (16.10.1998)/18</t>
  </si>
  <si>
    <t>51,60</t>
  </si>
  <si>
    <t xml:space="preserve">ПетрГу </t>
  </si>
  <si>
    <t xml:space="preserve">Петрозаводск/Карелия </t>
  </si>
  <si>
    <t>75,0</t>
  </si>
  <si>
    <t>Рябухина Дарья</t>
  </si>
  <si>
    <t>Juniors 20-23 (13.04.1996)/20</t>
  </si>
  <si>
    <t>Лебедева Анастасия</t>
  </si>
  <si>
    <t>Juniors 20-23 (11.01.1995)/21</t>
  </si>
  <si>
    <t>54,40</t>
  </si>
  <si>
    <t>Баринова Екатерина</t>
  </si>
  <si>
    <t>Open (14.08.1988)/28</t>
  </si>
  <si>
    <t>54,30</t>
  </si>
  <si>
    <t>Голубева Мария</t>
  </si>
  <si>
    <t>Open (04.06.1980)/36</t>
  </si>
  <si>
    <t>56,90</t>
  </si>
  <si>
    <t>Налетова Оксана</t>
  </si>
  <si>
    <t>Juniors 20-23 (22.11.1995)/21</t>
  </si>
  <si>
    <t>63,10</t>
  </si>
  <si>
    <t>Панфилкина Анастасия</t>
  </si>
  <si>
    <t>Juniors 20-23 (15.01.1996)/20</t>
  </si>
  <si>
    <t>66,10</t>
  </si>
  <si>
    <t>77,5</t>
  </si>
  <si>
    <t>Галкина Анастасия</t>
  </si>
  <si>
    <t>Juniors 20-23 (05.10.1995)/21</t>
  </si>
  <si>
    <t>66,20</t>
  </si>
  <si>
    <t>Суздальцева Елена</t>
  </si>
  <si>
    <t>Open (13.11.1988)/28</t>
  </si>
  <si>
    <t>64,10</t>
  </si>
  <si>
    <t>Лаевская Ольга</t>
  </si>
  <si>
    <t>Masters 40-44 (14.12.1973)/43</t>
  </si>
  <si>
    <t>60,20</t>
  </si>
  <si>
    <t>Лутченко Екатерина</t>
  </si>
  <si>
    <t>Open (02.04.1984)/32</t>
  </si>
  <si>
    <t>71,70</t>
  </si>
  <si>
    <t xml:space="preserve">Вегетарианская сила </t>
  </si>
  <si>
    <t>Яшин Максим</t>
  </si>
  <si>
    <t>Juniors 20-23 (28.12.1995)/20</t>
  </si>
  <si>
    <t>72,50</t>
  </si>
  <si>
    <t>Ершов Олег</t>
  </si>
  <si>
    <t>Open (09.04.1991)/25</t>
  </si>
  <si>
    <t>73,50</t>
  </si>
  <si>
    <t xml:space="preserve">Сыктывкар/Коми </t>
  </si>
  <si>
    <t>Николаев Денис</t>
  </si>
  <si>
    <t>Open (15.07.1991)/25</t>
  </si>
  <si>
    <t>70,00</t>
  </si>
  <si>
    <t>Новиков Максим</t>
  </si>
  <si>
    <t>Teenage 15-19 (10.01.1998)/18</t>
  </si>
  <si>
    <t>237,5</t>
  </si>
  <si>
    <t>Автухов Денис</t>
  </si>
  <si>
    <t>Teenage 15-19 (19.07.1997)/19</t>
  </si>
  <si>
    <t xml:space="preserve">Суоярви/Карелия </t>
  </si>
  <si>
    <t>Яскевич Дмитрий</t>
  </si>
  <si>
    <t>Teenage 15-19 (24.01.1997)/19</t>
  </si>
  <si>
    <t>Просовиков Никита</t>
  </si>
  <si>
    <t>Teenage 15-19 (08.05.2001)/15</t>
  </si>
  <si>
    <t>79,40</t>
  </si>
  <si>
    <t>Open (10.01.1998)/18</t>
  </si>
  <si>
    <t>Ярыгин Олег</t>
  </si>
  <si>
    <t>Open (16.09.1982)/34</t>
  </si>
  <si>
    <t>80,10</t>
  </si>
  <si>
    <t>Просвиряков Даниил</t>
  </si>
  <si>
    <t>Teenage 15-19 (26.10.1998)/18</t>
  </si>
  <si>
    <t>87,30</t>
  </si>
  <si>
    <t>Куприянов Лев</t>
  </si>
  <si>
    <t>Teenage 15-19 (17.04.2002)/14</t>
  </si>
  <si>
    <t>88,30</t>
  </si>
  <si>
    <t>Белов Станислав</t>
  </si>
  <si>
    <t>Open (11.11.1990)/26</t>
  </si>
  <si>
    <t>88,90</t>
  </si>
  <si>
    <t>222,5</t>
  </si>
  <si>
    <t>225,0</t>
  </si>
  <si>
    <t>Тотолдин Виталий</t>
  </si>
  <si>
    <t>Open (24.03.1989)/27</t>
  </si>
  <si>
    <t>89,10</t>
  </si>
  <si>
    <t>Masters 40-44 (15.03.1974)/42</t>
  </si>
  <si>
    <t>Ханов Артур</t>
  </si>
  <si>
    <t>Open (25.09.1990)/26</t>
  </si>
  <si>
    <t>98,30</t>
  </si>
  <si>
    <t>Стрелец Андрей</t>
  </si>
  <si>
    <t>Open (24.08.1978)/38</t>
  </si>
  <si>
    <t>106,80</t>
  </si>
  <si>
    <t>Фомичев Александр</t>
  </si>
  <si>
    <t>Masters 40-44 (24.03.1976)/40</t>
  </si>
  <si>
    <t>100,30</t>
  </si>
  <si>
    <t>Котов Алексей</t>
  </si>
  <si>
    <t>Open (24.01.1980)/36</t>
  </si>
  <si>
    <t>132,70</t>
  </si>
  <si>
    <t>290,0</t>
  </si>
  <si>
    <t>302,5</t>
  </si>
  <si>
    <t>312,5</t>
  </si>
  <si>
    <t>197,5</t>
  </si>
  <si>
    <t>280,0</t>
  </si>
  <si>
    <t>295,0</t>
  </si>
  <si>
    <t>305,0</t>
  </si>
  <si>
    <t>300,0</t>
  </si>
  <si>
    <t>217,5</t>
  </si>
  <si>
    <t>587,5</t>
  </si>
  <si>
    <t>397,0912</t>
  </si>
  <si>
    <t>815,0</t>
  </si>
  <si>
    <t>459,3340</t>
  </si>
  <si>
    <t>562,5</t>
  </si>
  <si>
    <t>406,5750</t>
  </si>
  <si>
    <t>Гробовой Алексей</t>
  </si>
  <si>
    <t>Open (02.05.1987)/29</t>
  </si>
  <si>
    <t>80,30</t>
  </si>
  <si>
    <t>Павлюченко Андрей</t>
  </si>
  <si>
    <t>Open (20.04.1990)/26</t>
  </si>
  <si>
    <t>Смирнов Сергей</t>
  </si>
  <si>
    <t>Open (27.09.1990)/26</t>
  </si>
  <si>
    <t>88,40</t>
  </si>
  <si>
    <t>Безуглов Павел</t>
  </si>
  <si>
    <t>Open (10.01.1985)/31</t>
  </si>
  <si>
    <t>99,00</t>
  </si>
  <si>
    <t xml:space="preserve">Удомля/Тверская область </t>
  </si>
  <si>
    <t>Артамонов Вячеслав</t>
  </si>
  <si>
    <t>Open (16.07.1987)/29</t>
  </si>
  <si>
    <t>93,40</t>
  </si>
  <si>
    <t>Харитонов Владислав</t>
  </si>
  <si>
    <t>Open (27.10.1985)/31</t>
  </si>
  <si>
    <t>93,80</t>
  </si>
  <si>
    <t xml:space="preserve">Б 49 </t>
  </si>
  <si>
    <t>Миранков Роман</t>
  </si>
  <si>
    <t>Open (27.07.1987)/29</t>
  </si>
  <si>
    <t>97,20</t>
  </si>
  <si>
    <t>Кудряшов Сергей</t>
  </si>
  <si>
    <t>Open (01.05.1988)/28</t>
  </si>
  <si>
    <t>101,20</t>
  </si>
  <si>
    <t>270,0</t>
  </si>
  <si>
    <t>Власов Олег</t>
  </si>
  <si>
    <t>Open (16.12.1973)/43</t>
  </si>
  <si>
    <t>122,00</t>
  </si>
  <si>
    <t>315,0</t>
  </si>
  <si>
    <t>325,0</t>
  </si>
  <si>
    <t>Хлопчур Николай</t>
  </si>
  <si>
    <t>Open (18.09.1987)/29</t>
  </si>
  <si>
    <t>122,50</t>
  </si>
  <si>
    <t xml:space="preserve">Мурманск/Мурманская область </t>
  </si>
  <si>
    <t>320,0</t>
  </si>
  <si>
    <t>330,0</t>
  </si>
  <si>
    <t>340,0</t>
  </si>
  <si>
    <t>Комков Александр</t>
  </si>
  <si>
    <t>Open (26.11.1983)/33</t>
  </si>
  <si>
    <t>117,40</t>
  </si>
  <si>
    <t>840,0</t>
  </si>
  <si>
    <t>481,1520</t>
  </si>
  <si>
    <t>817,5</t>
  </si>
  <si>
    <t>467,8553</t>
  </si>
  <si>
    <t>805,0</t>
  </si>
  <si>
    <t>465,2900</t>
  </si>
  <si>
    <t>Арапов Иван</t>
  </si>
  <si>
    <t>Open (09.08.1992)/24</t>
  </si>
  <si>
    <t>Бернгард Константин</t>
  </si>
  <si>
    <t>Open (06.08.1985)/31</t>
  </si>
  <si>
    <t>77,90</t>
  </si>
  <si>
    <t>97,5</t>
  </si>
  <si>
    <t>Горяев Игорь</t>
  </si>
  <si>
    <t>Open (17.02.1991)/25</t>
  </si>
  <si>
    <t>88,80</t>
  </si>
  <si>
    <t>Якурнов Игорь</t>
  </si>
  <si>
    <t>Open (10.05.1983)/33</t>
  </si>
  <si>
    <t>94,50</t>
  </si>
  <si>
    <t>Егорова Светлана</t>
  </si>
  <si>
    <t>Masters 40-44 (15.02.1976)/40</t>
  </si>
  <si>
    <t>78,70</t>
  </si>
  <si>
    <t>Алешин Артем</t>
  </si>
  <si>
    <t>Juniors 20-23 (04.06.1993)/23</t>
  </si>
  <si>
    <t>Савченко Александр</t>
  </si>
  <si>
    <t>Open (06.01.1982)/34</t>
  </si>
  <si>
    <t>Алешин Михаил</t>
  </si>
  <si>
    <t>Open (22.02.1987)/29</t>
  </si>
  <si>
    <t>89,30</t>
  </si>
  <si>
    <t xml:space="preserve">Луга/Ленинградская область </t>
  </si>
  <si>
    <t>Ковалев Анатолий</t>
  </si>
  <si>
    <t>Open (01.08.1991)/25</t>
  </si>
  <si>
    <t>Кузнецов Сергей</t>
  </si>
  <si>
    <t>Open (15.01.1983)/33</t>
  </si>
  <si>
    <t>104,70</t>
  </si>
  <si>
    <t>255,0</t>
  </si>
  <si>
    <t>Шмарыкин Алексей</t>
  </si>
  <si>
    <t>Open (14.06.1979)/37</t>
  </si>
  <si>
    <t>106,30</t>
  </si>
  <si>
    <t>Щигельский Вячеслав</t>
  </si>
  <si>
    <t>Open (04.09.1989)/27</t>
  </si>
  <si>
    <t>136,40</t>
  </si>
  <si>
    <t xml:space="preserve">Колпино/Санкт-Петербург </t>
  </si>
  <si>
    <t>310,0</t>
  </si>
  <si>
    <t>194,5820</t>
  </si>
  <si>
    <t>173,9100</t>
  </si>
  <si>
    <t>168,3500</t>
  </si>
  <si>
    <t>Михадюк Наталья</t>
  </si>
  <si>
    <t>Open (02.05.1990)/26</t>
  </si>
  <si>
    <t>50,30</t>
  </si>
  <si>
    <t>Пилипюк Наталья</t>
  </si>
  <si>
    <t>Open (21.12.1983)/32</t>
  </si>
  <si>
    <t>54,50</t>
  </si>
  <si>
    <t>Козлова Галина</t>
  </si>
  <si>
    <t>Open (30.04.1990)/26</t>
  </si>
  <si>
    <t>66,70</t>
  </si>
  <si>
    <t>Костюченко Антон</t>
  </si>
  <si>
    <t>Juniors 20-23 (29.03.1995)/21</t>
  </si>
  <si>
    <t>62,70</t>
  </si>
  <si>
    <t>Teenage 15-19 (05.03.1997)/19</t>
  </si>
  <si>
    <t>80,60</t>
  </si>
  <si>
    <t xml:space="preserve">Кандалакша/Мурманская область </t>
  </si>
  <si>
    <t>Герасимов Александр</t>
  </si>
  <si>
    <t>Juniors 20-23 (12.09.1996)/20</t>
  </si>
  <si>
    <t>79,60</t>
  </si>
  <si>
    <t xml:space="preserve">Торжок/Тверская область </t>
  </si>
  <si>
    <t>Грязев Антон</t>
  </si>
  <si>
    <t>Open (05.06.1987)/29</t>
  </si>
  <si>
    <t>Гробовой Сергей</t>
  </si>
  <si>
    <t>Open (09.09.1991)/25</t>
  </si>
  <si>
    <t>Панфилов Владимир</t>
  </si>
  <si>
    <t>Masters 60-64 (21.01.1953)/63</t>
  </si>
  <si>
    <t xml:space="preserve">Солнечногорск/Московская область </t>
  </si>
  <si>
    <t>Аунин Родион</t>
  </si>
  <si>
    <t>Open (09.12.1991)/25</t>
  </si>
  <si>
    <t>85,40</t>
  </si>
  <si>
    <t>Чайка Игорь</t>
  </si>
  <si>
    <t>Juniors 20-23 (09.06.1994)/22</t>
  </si>
  <si>
    <t>93,20</t>
  </si>
  <si>
    <t>Тагиров Евгений</t>
  </si>
  <si>
    <t>Juniors 20-23 (20.10.1994)/22</t>
  </si>
  <si>
    <t>Капитонова Елена</t>
  </si>
  <si>
    <t>Open (28.05.1988)/28</t>
  </si>
  <si>
    <t>55,20</t>
  </si>
  <si>
    <t>Панфилов Роман</t>
  </si>
  <si>
    <t>Masters 40-44 (15.07.1976)/40</t>
  </si>
  <si>
    <t xml:space="preserve">Сертолово/Ленинградская област </t>
  </si>
  <si>
    <t>Марков Евгений</t>
  </si>
  <si>
    <t>Masters 40-44 (23.04.1973)/43</t>
  </si>
  <si>
    <t>84,00</t>
  </si>
  <si>
    <t>Gloss</t>
  </si>
  <si>
    <t xml:space="preserve">Gloss </t>
  </si>
  <si>
    <t>Жим мн. повт.</t>
  </si>
  <si>
    <t>Вес</t>
  </si>
  <si>
    <t>Повторы</t>
  </si>
  <si>
    <t>Прокудина Ольга</t>
  </si>
  <si>
    <t>Juniors 20-23 (15.04.1993)/23</t>
  </si>
  <si>
    <t>55,80</t>
  </si>
  <si>
    <t>47,0</t>
  </si>
  <si>
    <t>Ешчанов Алижан</t>
  </si>
  <si>
    <t>Masters 40-49 (25.08.1974)/42</t>
  </si>
  <si>
    <t>62,80</t>
  </si>
  <si>
    <t>14,0</t>
  </si>
  <si>
    <t>Старцев Виталий</t>
  </si>
  <si>
    <t>Open (19.07.1982)/34</t>
  </si>
  <si>
    <t>74,50</t>
  </si>
  <si>
    <t>19,0</t>
  </si>
  <si>
    <t>Хорошун Максим</t>
  </si>
  <si>
    <t>Juniors 20-23 (25.01.1993)/23</t>
  </si>
  <si>
    <t>82,40</t>
  </si>
  <si>
    <t>Ловчиков Алексей</t>
  </si>
  <si>
    <t>Open (25.02.1972)/44</t>
  </si>
  <si>
    <t>39,0</t>
  </si>
  <si>
    <t>24,0</t>
  </si>
  <si>
    <t>Masters 40-49 (25.02.1972)/44</t>
  </si>
  <si>
    <t>Тучин Андрей</t>
  </si>
  <si>
    <t>Masters 40-49 (05.02.1974)/42</t>
  </si>
  <si>
    <t>82,30</t>
  </si>
  <si>
    <t>21,0</t>
  </si>
  <si>
    <t>Карандашев Владимир</t>
  </si>
  <si>
    <t>Masters 40-49 (12.03.1972)/44</t>
  </si>
  <si>
    <t>84,40</t>
  </si>
  <si>
    <t>41,0</t>
  </si>
  <si>
    <t>28,0</t>
  </si>
  <si>
    <t>Юнак Дмитрий</t>
  </si>
  <si>
    <t>Open (04.02.1983)/33</t>
  </si>
  <si>
    <t>105,80</t>
  </si>
  <si>
    <t>13,0</t>
  </si>
  <si>
    <t>Masters 50-59 (27.09.1959)/57</t>
  </si>
  <si>
    <t>Хаткевич Алексей</t>
  </si>
  <si>
    <t>Open (28.11.1988)/28</t>
  </si>
  <si>
    <t>111,00</t>
  </si>
  <si>
    <t>23,0</t>
  </si>
  <si>
    <t>20,0</t>
  </si>
  <si>
    <t>Милаков Иван</t>
  </si>
  <si>
    <t>Open (09.02.1985)/31</t>
  </si>
  <si>
    <t>110,30</t>
  </si>
  <si>
    <t>18,0</t>
  </si>
  <si>
    <t>3895,0</t>
  </si>
  <si>
    <t>2324,3413</t>
  </si>
  <si>
    <t>3217,5</t>
  </si>
  <si>
    <t>2097,3273</t>
  </si>
  <si>
    <t>2870,0</t>
  </si>
  <si>
    <t>1657,1381</t>
  </si>
  <si>
    <t>2550,0</t>
  </si>
  <si>
    <t>Букалова Екатерина</t>
  </si>
  <si>
    <t>Teen 13-19 (18.01.2003)/13</t>
  </si>
  <si>
    <t>53,20</t>
  </si>
  <si>
    <t>16,0</t>
  </si>
  <si>
    <t>34,0</t>
  </si>
  <si>
    <t>Сагань Наталья</t>
  </si>
  <si>
    <t>Masters 40-49 (21.10.1967)/49</t>
  </si>
  <si>
    <t>38,0</t>
  </si>
  <si>
    <t>Суетин Никита</t>
  </si>
  <si>
    <t>Teen 13-19 (09.07.2001)/15</t>
  </si>
  <si>
    <t>59,30</t>
  </si>
  <si>
    <t>70,10</t>
  </si>
  <si>
    <t>33,0</t>
  </si>
  <si>
    <t>31,0</t>
  </si>
  <si>
    <t>81,50</t>
  </si>
  <si>
    <t>Бачурин Сергей</t>
  </si>
  <si>
    <t>Open (14.07.1981)/35</t>
  </si>
  <si>
    <t>Афанасьев Вячеслав</t>
  </si>
  <si>
    <t>Open (11.11.1978)/38</t>
  </si>
  <si>
    <t>82,80</t>
  </si>
  <si>
    <t xml:space="preserve">Великие Луки/Псковская область </t>
  </si>
  <si>
    <t>Бродский Александр</t>
  </si>
  <si>
    <t>Masters 50-59 (26.05.1964)/52</t>
  </si>
  <si>
    <t>11,0</t>
  </si>
  <si>
    <t>Букалов Алексей</t>
  </si>
  <si>
    <t>Open (10.12.1976)/40</t>
  </si>
  <si>
    <t>92,20</t>
  </si>
  <si>
    <t>27,0</t>
  </si>
  <si>
    <t>2392,5</t>
  </si>
  <si>
    <t>1735,5194</t>
  </si>
  <si>
    <t>3037,5</t>
  </si>
  <si>
    <t>1706,7713</t>
  </si>
  <si>
    <t>1639,9051</t>
  </si>
  <si>
    <t>Подъем на бицес</t>
  </si>
  <si>
    <t>Армейский жим</t>
  </si>
  <si>
    <t>Наврузбеков Шамхал</t>
  </si>
  <si>
    <t>Juniors 20-23 (12.08.1996)/20</t>
  </si>
  <si>
    <t>74,10</t>
  </si>
  <si>
    <t>Остапенко Денис</t>
  </si>
  <si>
    <t>Teen 13-19 (19.11.1999)/17</t>
  </si>
  <si>
    <t>4</t>
  </si>
  <si>
    <t>5</t>
  </si>
  <si>
    <t>Кузнецова Ольга</t>
  </si>
  <si>
    <t>Open (27.08.1983)/33</t>
  </si>
  <si>
    <t>58,70</t>
  </si>
  <si>
    <t>ВЕСОВАЯ КАТЕГОРИЯ   70</t>
  </si>
  <si>
    <t>Веселов Павел</t>
  </si>
  <si>
    <t>Open (13.09.1987)/29</t>
  </si>
  <si>
    <t>65,50</t>
  </si>
  <si>
    <t xml:space="preserve">VPT </t>
  </si>
  <si>
    <t>Белугин Иван</t>
  </si>
  <si>
    <t>Open (25.04.1988)/28</t>
  </si>
  <si>
    <t>81,40</t>
  </si>
  <si>
    <t>Кучумов Владислав</t>
  </si>
  <si>
    <t>Open (25.06.1990)/26</t>
  </si>
  <si>
    <t>Пасынков Александр</t>
  </si>
  <si>
    <t>Open (21.11.1973)/43</t>
  </si>
  <si>
    <t>97,00</t>
  </si>
  <si>
    <t>Аксенов Лев</t>
  </si>
  <si>
    <t>Open (13.10.1978)/38</t>
  </si>
  <si>
    <t>Маликов Александр</t>
  </si>
  <si>
    <t>Open (07.05.1971)/45</t>
  </si>
  <si>
    <t>103,00</t>
  </si>
  <si>
    <t>Пиликов Вячеслав</t>
  </si>
  <si>
    <t>Open (28.10.1980)/36</t>
  </si>
  <si>
    <t>112,80</t>
  </si>
  <si>
    <t>Матвеева Ольга</t>
  </si>
  <si>
    <t>Open (11.08.1983)/33</t>
  </si>
  <si>
    <t>68,60</t>
  </si>
  <si>
    <t>29,0</t>
  </si>
  <si>
    <t>36,5</t>
  </si>
  <si>
    <t>54,0</t>
  </si>
  <si>
    <t>56,5</t>
  </si>
  <si>
    <t>61,5</t>
  </si>
  <si>
    <t>82,50</t>
  </si>
  <si>
    <t>51,5</t>
  </si>
  <si>
    <t>69,0</t>
  </si>
  <si>
    <t>Украинчук Николай</t>
  </si>
  <si>
    <t>Open (12.08.1989)/27</t>
  </si>
  <si>
    <t>86,90</t>
  </si>
  <si>
    <t xml:space="preserve">Всеволожск/Ленинградская область </t>
  </si>
  <si>
    <t>59,0</t>
  </si>
  <si>
    <t>64,0</t>
  </si>
  <si>
    <t>74,0</t>
  </si>
  <si>
    <t>Open (21.12.1972)/43</t>
  </si>
  <si>
    <t>71,5</t>
  </si>
  <si>
    <t>Кравченко Альберт</t>
  </si>
  <si>
    <t>Masters 50-59 (06.08.1965)/51</t>
  </si>
  <si>
    <t>98,00</t>
  </si>
  <si>
    <t>76,5</t>
  </si>
  <si>
    <t>44,0</t>
  </si>
  <si>
    <t>84,0</t>
  </si>
  <si>
    <t>91,5</t>
  </si>
  <si>
    <t>94,5</t>
  </si>
  <si>
    <t>22,5</t>
  </si>
  <si>
    <t>26,3</t>
  </si>
  <si>
    <t>17,5</t>
  </si>
  <si>
    <t>Тюпко Филипп</t>
  </si>
  <si>
    <t>Junior (05.08.1995)/21</t>
  </si>
  <si>
    <t>67,60</t>
  </si>
  <si>
    <t>ВЕСОВАЯ КАТЕГОРИЯ   80</t>
  </si>
  <si>
    <t>Ткач Сергей</t>
  </si>
  <si>
    <t>Junior (17.09.1996)/20</t>
  </si>
  <si>
    <t>49,0</t>
  </si>
  <si>
    <t>54.00</t>
  </si>
  <si>
    <t>69.00</t>
  </si>
  <si>
    <t>ВЕСОВАЯ КАТЕГОРИЯ   100+</t>
  </si>
  <si>
    <t>Александров Герман</t>
  </si>
  <si>
    <t>Junior (27.07.1995)/21</t>
  </si>
  <si>
    <t>112,70</t>
  </si>
  <si>
    <t>Место</t>
  </si>
  <si>
    <t>Антипов В.</t>
  </si>
  <si>
    <t xml:space="preserve">Цитадель силы </t>
  </si>
  <si>
    <t>Самостоятельно</t>
  </si>
  <si>
    <t>1</t>
  </si>
  <si>
    <t>2</t>
  </si>
  <si>
    <t>3</t>
  </si>
  <si>
    <t>0</t>
  </si>
  <si>
    <t xml:space="preserve"> Самостоятельно</t>
  </si>
  <si>
    <t xml:space="preserve">Васильев А.В. </t>
  </si>
  <si>
    <t>Результат</t>
  </si>
  <si>
    <t>Колпино/Ленинградская область</t>
  </si>
  <si>
    <t>37.5</t>
  </si>
  <si>
    <t>165.0</t>
  </si>
  <si>
    <t>157.5</t>
  </si>
  <si>
    <t>145.0</t>
  </si>
  <si>
    <t>142.5</t>
  </si>
  <si>
    <t>127.5</t>
  </si>
  <si>
    <t>172.5</t>
  </si>
  <si>
    <t>160.0</t>
  </si>
  <si>
    <t>177.5</t>
  </si>
  <si>
    <t>175.0</t>
  </si>
  <si>
    <t>170.0</t>
  </si>
  <si>
    <t>205.0</t>
  </si>
  <si>
    <t>190.0</t>
  </si>
  <si>
    <t>0.0</t>
  </si>
  <si>
    <t>200.0</t>
  </si>
  <si>
    <t>195.0</t>
  </si>
  <si>
    <t>180.0</t>
  </si>
  <si>
    <t>192.5</t>
  </si>
  <si>
    <t>1200.0</t>
  </si>
  <si>
    <t>2392.5</t>
  </si>
  <si>
    <t>2247.5</t>
  </si>
  <si>
    <t>2475.0</t>
  </si>
  <si>
    <t>2310.0</t>
  </si>
  <si>
    <t>1980.0</t>
  </si>
  <si>
    <t>2550.0</t>
  </si>
  <si>
    <t>1575.0</t>
  </si>
  <si>
    <t>990.0</t>
  </si>
  <si>
    <t>2590.0</t>
  </si>
  <si>
    <t>2750.0</t>
  </si>
  <si>
    <t>3037.5</t>
  </si>
  <si>
    <t xml:space="preserve">Огрызько Н. </t>
  </si>
  <si>
    <t>Александр К.</t>
  </si>
  <si>
    <t>Карандашев В.</t>
  </si>
  <si>
    <t>Мурзаханов Н.</t>
  </si>
  <si>
    <t>Виталий Л.</t>
  </si>
  <si>
    <t>Шумейко Д.</t>
  </si>
  <si>
    <t xml:space="preserve">Максимов Э. </t>
  </si>
  <si>
    <t>Горохов Е.</t>
  </si>
  <si>
    <t>Волков А.</t>
  </si>
  <si>
    <t>Каширин А.</t>
  </si>
  <si>
    <t>Матвеев С.</t>
  </si>
  <si>
    <t>Петельгузов В.</t>
  </si>
  <si>
    <t>Рыбаков Д.</t>
  </si>
  <si>
    <t>Новиков Ю.</t>
  </si>
  <si>
    <t>Савченко Т.</t>
  </si>
  <si>
    <t>Солнцев И.</t>
  </si>
  <si>
    <t>Денисов В.</t>
  </si>
  <si>
    <t>Филимонов И.</t>
  </si>
  <si>
    <t xml:space="preserve">Мамедяров А. </t>
  </si>
  <si>
    <t>Астахов Д.</t>
  </si>
  <si>
    <t>Линников К.</t>
  </si>
  <si>
    <t xml:space="preserve">Линников К. </t>
  </si>
  <si>
    <t>Патюпина А.</t>
  </si>
  <si>
    <t>Ловчеков А.</t>
  </si>
  <si>
    <t>Скворцов М.</t>
  </si>
  <si>
    <t>Ершов О.</t>
  </si>
  <si>
    <t>Огорельцев А.</t>
  </si>
  <si>
    <t>Саитов А.</t>
  </si>
  <si>
    <t>Никитинский А.</t>
  </si>
  <si>
    <t>Волакитин В.</t>
  </si>
  <si>
    <t>Иванов Д.</t>
  </si>
  <si>
    <t>Дмитрий В.</t>
  </si>
  <si>
    <t>Варава И.</t>
  </si>
  <si>
    <t>Щуров В.</t>
  </si>
  <si>
    <t xml:space="preserve">Волков А. </t>
  </si>
  <si>
    <t xml:space="preserve">Кушин И. </t>
  </si>
  <si>
    <t>Алимов М.</t>
  </si>
  <si>
    <t>Букалов А.</t>
  </si>
  <si>
    <t>Вязьмин Д.</t>
  </si>
  <si>
    <t>Маркитантов В.</t>
  </si>
  <si>
    <t>Остапенко К.</t>
  </si>
  <si>
    <t xml:space="preserve">Васильев А. </t>
  </si>
  <si>
    <t>Никандров А.</t>
  </si>
  <si>
    <t>Веселов П.</t>
  </si>
  <si>
    <t>Васильев А.</t>
  </si>
  <si>
    <t xml:space="preserve">Веселов П. </t>
  </si>
  <si>
    <t>Легчилин Р.</t>
  </si>
  <si>
    <t xml:space="preserve">Алекс фитнес </t>
  </si>
  <si>
    <t>Открытый мастерский турнир "Невская битва" 
Присед в бинтах ДК
17 - 18 декабря 2016 г.</t>
  </si>
  <si>
    <t>Возрастные группы
Год рождения/Возраст</t>
  </si>
  <si>
    <r>
      <t>Открытый мастерс</t>
    </r>
    <r>
      <rPr>
        <sz val="24"/>
        <rFont val="Arial Cyr"/>
        <family val="2"/>
      </rPr>
      <t>к</t>
    </r>
    <r>
      <rPr>
        <sz val="24"/>
        <rFont val="Arial Cyr"/>
        <family val="2"/>
      </rPr>
      <t>ий турнир "Невская битва" 
17 - 18 декабря 2016 г.</t>
    </r>
  </si>
  <si>
    <t>Секретари: Шварц С./Санкт- Петербург; Леванов М./ Санкт-Петербург; Сизова А./ Санкт-Петербург</t>
  </si>
  <si>
    <t xml:space="preserve">Главный секретарь соревнований: Ермолаева Д.М./ Санкт-Петербург </t>
  </si>
  <si>
    <t>Главный судья соревнований: Смирнов О.А./ Санкт-Петербург</t>
  </si>
  <si>
    <t>Судьи: Кузнецова О./ Санкт-Петербург; Легчилин Р./ Кронштадт; Грахов Ю./ Санкт-Петербург; Лутченко Е./ Санкт-Петербург; Тапезникова Н./ Москва; Новиков С./ Вологда</t>
  </si>
  <si>
    <t>Открытый мастерский турнир "Невская битва" 
Пауэрлифтинг без экипировки ДК
17 - 18 декабря 2016 г.</t>
  </si>
  <si>
    <t>Собств. вес</t>
  </si>
  <si>
    <t>Открытый мастерский турнир "Невская битва"
Пауэрлифтинг без экипировки
17 - 18 декабря 2016 г.</t>
  </si>
  <si>
    <t>Открытый мастерский турнир "Невская битва" 
Пауэрлифтинг в бинтах ДК
17 - 18 декабря 2016 г.</t>
  </si>
  <si>
    <t>Открытый мастерский турнир "Невская битва" 
Пауэрлифтинг в бинтах 
17 - 18 декабря 2016 г.</t>
  </si>
  <si>
    <t>Открытый мастерский турнир "Невская битва" 
Пауэрлифтинг в однослойной экипировке ДК
17 - 18 декабря 2016 г.</t>
  </si>
  <si>
    <t>Открытый мастерский турнир "Невская битва" 
Силовое двоеборье без экипировки
17 - 18 декабря 2016 г.</t>
  </si>
  <si>
    <t>Открытый мастерский турнир "Невская битва"
Присед без экипировки ДК
17 - 18 декабря 2016 г.</t>
  </si>
  <si>
    <t>Открытый мастерский турнир "Невская битва" 
Присед в бинтах
17 - 18 декабря 2016 г.</t>
  </si>
  <si>
    <t>Открытый мастерский турнир "Невская битва" 
Жим лежа без экипировки
17 - 18 декабря 2016 г.</t>
  </si>
  <si>
    <t>Открытый мастерский турнир "Невская битва" 
Жим лежа без экипировки ДК
17 - 18 декабря 2016 г.</t>
  </si>
  <si>
    <t>Открытый мастерский турнир "Невская битва"
Жим лежа в однослойной экипировке ДК
17 - 18 декабря 2016 г.</t>
  </si>
  <si>
    <t>Открытый мастерский турнир "Невская битва" 
Жим лежа в однослойной экипировке 
17 - 18 декабря 2016 г.</t>
  </si>
  <si>
    <t>Открытый мастерский турнир "Невская битва" 
Жим лежа в многослойной экипировке ДК
17 - 18 декабря 2016 г.</t>
  </si>
  <si>
    <t>Открытый мастерский турнир "Невская битва"
Жим лежа в облегченной / софт экипировке д.к.
17 - 18 декабря 2016 г.</t>
  </si>
  <si>
    <t>Открытый мастерский турнир "Невская битва"  
Народный жим  ДК
17 - 18 декабря 2016 г.</t>
  </si>
  <si>
    <t>Открытый мастерский турнир "Невская битва" 
Народный жим 
17 - 18 декабря 2016 г.</t>
  </si>
  <si>
    <t>Открытый мастерский турнир "Невская битва"
Народный жим (1/2 вес) ДК
17 - 18 декабря 2016 г.</t>
  </si>
  <si>
    <t>Открытый мастерский турнир "Невская битва"
Народный жим (1/2 вес)
17 - 18 декабря 2016 г.</t>
  </si>
  <si>
    <t>Открытый мастерский турнир "Невская битва" 
Становая тяга без экипировки ДК
17 - 18 декабря 2016 г.</t>
  </si>
  <si>
    <t>Открытый мастерский турнир "Невская битва" 
Становая тяга без экипировки
17 - 18 декабря 2016 г.</t>
  </si>
  <si>
    <t>Открытый мастерский турнир "Невская битва" 
Становая тяга в экипировке ДК
17 - 18 декабря 2016 г.</t>
  </si>
  <si>
    <t>Открытый мастерский турнир "Невская битва" 
Пауэрспорт  ДК
17 - 18 декабря 2016 г.</t>
  </si>
  <si>
    <t>Открытый мастерский турнир "Невская битва"  
Пауэрспорт  
17 - 18 декабря 2016 г.</t>
  </si>
  <si>
    <t>Открытый мастерский турнир "Невская битва" 
Rolling Thunder
17 - 18 декабря 2016 г.</t>
  </si>
  <si>
    <t>Открытый мастерский турнир "Невская битва"
Apollon`s Axle
17 - 18 декабря 2016 г.</t>
  </si>
  <si>
    <t>Открытый мастерский турнир "Невская битва" 
Excalibur
17 - 18 декабря 2016 г.</t>
  </si>
  <si>
    <t>Открытый мастерский турнир "Невская битва"
Two handed pinch grip block
17 - 18 декабря 2016 г.</t>
  </si>
  <si>
    <t>Открытый мастерский турнир "Невская битва" 
HUB
17 - 18 декабря 2016 г.</t>
  </si>
  <si>
    <t>Город/область</t>
  </si>
  <si>
    <t xml:space="preserve">Санкт-Петербург/Санкт-Петербург </t>
  </si>
  <si>
    <t xml:space="preserve">Каменногорск/Ленинградская область </t>
  </si>
  <si>
    <t xml:space="preserve">Кингисепп/Ленинградская область </t>
  </si>
  <si>
    <t xml:space="preserve">Новосибирск/Новосибирская область </t>
  </si>
  <si>
    <t xml:space="preserve">Сертолово/Ленинградская область </t>
  </si>
  <si>
    <t xml:space="preserve">Архангельск/Архангельская область </t>
  </si>
  <si>
    <t xml:space="preserve">Шлиссельбург/Ленинградская область </t>
  </si>
  <si>
    <t xml:space="preserve">Белая Калитва/Ростовская область </t>
  </si>
  <si>
    <t xml:space="preserve">пос. имени Морозова/Ленинградская область </t>
  </si>
  <si>
    <t>пос. Мурино/Ленинградская область</t>
  </si>
  <si>
    <t>пос. имени Морозова/Ленинградская область</t>
  </si>
  <si>
    <t xml:space="preserve">Сосновый Бор/Ленинградская область </t>
  </si>
  <si>
    <t xml:space="preserve">Щеглово/Ленинградская область </t>
  </si>
  <si>
    <t>Щеглово/Ленинградская область</t>
  </si>
  <si>
    <t xml:space="preserve">Tikhvin strong </t>
  </si>
  <si>
    <t xml:space="preserve">Фитнес 24 </t>
  </si>
  <si>
    <t xml:space="preserve">Спорт лайф </t>
  </si>
  <si>
    <t xml:space="preserve">Alex team </t>
  </si>
  <si>
    <t xml:space="preserve">Метеор </t>
  </si>
  <si>
    <t xml:space="preserve"> Team Bregan </t>
  </si>
  <si>
    <t xml:space="preserve">Тихоновский О. </t>
  </si>
  <si>
    <t xml:space="preserve">Бернгард К. </t>
  </si>
  <si>
    <t xml:space="preserve">Скобкин К. </t>
  </si>
  <si>
    <t>Смирнов О.</t>
  </si>
  <si>
    <t>Таранухин Г.</t>
  </si>
  <si>
    <t>Огрызько Н.</t>
  </si>
  <si>
    <t>Сперанский М., Пономарев В.</t>
  </si>
  <si>
    <t xml:space="preserve">Потапенко С.  </t>
  </si>
  <si>
    <t xml:space="preserve">Ковтун Е. </t>
  </si>
  <si>
    <t xml:space="preserve">Янкилеевич В.  </t>
  </si>
  <si>
    <t xml:space="preserve">Таранухин Г. </t>
  </si>
  <si>
    <t xml:space="preserve">Тимофеев О. Костюков И. </t>
  </si>
  <si>
    <t xml:space="preserve">Длужневский С. </t>
  </si>
  <si>
    <t xml:space="preserve">Дородных В.  </t>
  </si>
  <si>
    <t xml:space="preserve">Мурзаханов Н. </t>
  </si>
  <si>
    <t xml:space="preserve">Маркитантов В. </t>
  </si>
  <si>
    <t xml:space="preserve">Скворцов М.  </t>
  </si>
  <si>
    <t xml:space="preserve">Шумейко Д.  </t>
  </si>
  <si>
    <t xml:space="preserve">Гринёв Р. Никитинский А. </t>
  </si>
  <si>
    <t>Сенькина Л.</t>
  </si>
  <si>
    <t xml:space="preserve">Янкилеевич В. </t>
  </si>
  <si>
    <t xml:space="preserve">Саитов А. </t>
  </si>
  <si>
    <t xml:space="preserve">Мурзаханов Н.   </t>
  </si>
  <si>
    <t xml:space="preserve">Власов О. </t>
  </si>
  <si>
    <t xml:space="preserve">Гринёв Р. Никитинский А </t>
  </si>
  <si>
    <t xml:space="preserve">Янкилеевич В.   </t>
  </si>
  <si>
    <t xml:space="preserve">Скворцов М. </t>
  </si>
  <si>
    <t xml:space="preserve">Шумейко Д. </t>
  </si>
  <si>
    <t xml:space="preserve">Длужневский С.  </t>
  </si>
  <si>
    <t xml:space="preserve">Патюпин Д. </t>
  </si>
  <si>
    <t xml:space="preserve">Никандров А. </t>
  </si>
  <si>
    <t xml:space="preserve">Абаев В. </t>
  </si>
  <si>
    <t xml:space="preserve">Грахов Ю.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</si>
</sst>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strike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32" borderId="11" xfId="0" applyNumberFormat="1" applyFill="1" applyBorder="1" applyAlignment="1">
      <alignment horizontal="center"/>
    </xf>
    <xf numFmtId="49" fontId="0" fillId="32" borderId="12" xfId="0" applyNumberFormat="1" applyFill="1" applyBorder="1" applyAlignment="1">
      <alignment horizontal="center"/>
    </xf>
    <xf numFmtId="49" fontId="0" fillId="32" borderId="13" xfId="0" applyNumberFormat="1" applyFill="1" applyBorder="1" applyAlignment="1">
      <alignment horizontal="center"/>
    </xf>
    <xf numFmtId="49" fontId="0" fillId="32" borderId="14" xfId="0" applyNumberForma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0" fillId="32" borderId="11" xfId="0" applyNumberFormat="1" applyFont="1" applyFill="1" applyBorder="1" applyAlignment="1">
      <alignment horizontal="center"/>
    </xf>
    <xf numFmtId="49" fontId="0" fillId="32" borderId="12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0" fillId="32" borderId="13" xfId="0" applyNumberFormat="1" applyFon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172" fontId="0" fillId="0" borderId="11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32" borderId="11" xfId="0" applyNumberFormat="1" applyFont="1" applyFill="1" applyBorder="1" applyAlignment="1">
      <alignment horizontal="center"/>
    </xf>
    <xf numFmtId="49" fontId="0" fillId="32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0" fillId="32" borderId="0" xfId="0" applyNumberFormat="1" applyFill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172" fontId="1" fillId="0" borderId="25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32" borderId="16" xfId="0" applyNumberForma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32" borderId="17" xfId="0" applyNumberForma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0" fillId="32" borderId="18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1">
      <selection activeCell="A1" sqref="A1:V2"/>
    </sheetView>
  </sheetViews>
  <sheetFormatPr defaultColWidth="8.75390625" defaultRowHeight="12.75"/>
  <cols>
    <col min="1" max="1" width="8.75390625" style="0" customWidth="1"/>
    <col min="2" max="2" width="28.25390625" style="36" customWidth="1"/>
    <col min="3" max="3" width="27.125" style="36" bestFit="1" customWidth="1"/>
    <col min="4" max="4" width="13.375" style="36" customWidth="1"/>
    <col min="5" max="5" width="8.375" style="36" bestFit="1" customWidth="1"/>
    <col min="6" max="6" width="22.75390625" style="36" bestFit="1" customWidth="1"/>
    <col min="7" max="7" width="32.375" style="36" customWidth="1"/>
    <col min="8" max="10" width="5.625" style="36" bestFit="1" customWidth="1"/>
    <col min="11" max="11" width="4.625" style="36" bestFit="1" customWidth="1"/>
    <col min="12" max="14" width="5.625" style="36" bestFit="1" customWidth="1"/>
    <col min="15" max="15" width="4.625" style="36" bestFit="1" customWidth="1"/>
    <col min="16" max="18" width="5.625" style="36" bestFit="1" customWidth="1"/>
    <col min="19" max="19" width="4.625" style="36" bestFit="1" customWidth="1"/>
    <col min="20" max="20" width="7.875" style="37" bestFit="1" customWidth="1"/>
    <col min="21" max="21" width="8.625" style="36" bestFit="1" customWidth="1"/>
    <col min="22" max="22" width="31.75390625" style="36" bestFit="1" customWidth="1"/>
  </cols>
  <sheetData>
    <row r="1" spans="1:22" s="1" customFormat="1" ht="15" customHeight="1">
      <c r="A1" s="106" t="s">
        <v>970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s="1" customFormat="1" ht="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15" t="s">
        <v>4</v>
      </c>
      <c r="U3" s="101" t="s">
        <v>6</v>
      </c>
      <c r="V3" s="103" t="s">
        <v>5</v>
      </c>
    </row>
    <row r="4" spans="1:22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6"/>
      <c r="U4" s="102"/>
      <c r="V4" s="104"/>
    </row>
    <row r="5" spans="2:21" ht="15.75">
      <c r="B5" s="105" t="s">
        <v>177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2" ht="12.75">
      <c r="A6" s="48">
        <v>1</v>
      </c>
      <c r="B6" s="86" t="s">
        <v>474</v>
      </c>
      <c r="C6" s="86" t="s">
        <v>475</v>
      </c>
      <c r="D6" s="86" t="s">
        <v>476</v>
      </c>
      <c r="E6" s="86" t="str">
        <f>"1,2541"</f>
        <v>1,2541</v>
      </c>
      <c r="F6" s="133" t="s">
        <v>477</v>
      </c>
      <c r="G6" s="86" t="s">
        <v>478</v>
      </c>
      <c r="H6" s="135" t="s">
        <v>232</v>
      </c>
      <c r="I6" s="21" t="s">
        <v>479</v>
      </c>
      <c r="J6" s="21" t="s">
        <v>377</v>
      </c>
      <c r="K6" s="68"/>
      <c r="L6" s="21" t="s">
        <v>16</v>
      </c>
      <c r="M6" s="21" t="s">
        <v>224</v>
      </c>
      <c r="N6" s="21" t="s">
        <v>176</v>
      </c>
      <c r="O6" s="68"/>
      <c r="P6" s="21" t="s">
        <v>377</v>
      </c>
      <c r="Q6" s="21" t="s">
        <v>276</v>
      </c>
      <c r="R6" s="66" t="s">
        <v>429</v>
      </c>
      <c r="S6" s="68"/>
      <c r="T6" s="38">
        <v>222.5</v>
      </c>
      <c r="U6" s="86" t="str">
        <f>"279,0372"</f>
        <v>279,0372</v>
      </c>
      <c r="V6" s="86" t="s">
        <v>924</v>
      </c>
    </row>
    <row r="7" spans="1:22" ht="12.75">
      <c r="A7" s="49">
        <v>0</v>
      </c>
      <c r="B7" s="87" t="s">
        <v>480</v>
      </c>
      <c r="C7" s="87" t="s">
        <v>481</v>
      </c>
      <c r="D7" s="87" t="s">
        <v>183</v>
      </c>
      <c r="E7" s="87" t="str">
        <f>"1,2635"</f>
        <v>1,2635</v>
      </c>
      <c r="F7" s="134" t="s">
        <v>29</v>
      </c>
      <c r="G7" s="87" t="s">
        <v>1000</v>
      </c>
      <c r="H7" s="136" t="s">
        <v>213</v>
      </c>
      <c r="I7" s="70" t="s">
        <v>213</v>
      </c>
      <c r="J7" s="70" t="s">
        <v>213</v>
      </c>
      <c r="K7" s="71"/>
      <c r="L7" s="70" t="s">
        <v>18</v>
      </c>
      <c r="M7" s="71"/>
      <c r="N7" s="71"/>
      <c r="O7" s="71"/>
      <c r="P7" s="70" t="s">
        <v>274</v>
      </c>
      <c r="Q7" s="71"/>
      <c r="R7" s="71"/>
      <c r="S7" s="71"/>
      <c r="T7" s="39">
        <v>0</v>
      </c>
      <c r="U7" s="87" t="str">
        <f>"0,0000"</f>
        <v>0,0000</v>
      </c>
      <c r="V7" s="87" t="s">
        <v>130</v>
      </c>
    </row>
    <row r="9" spans="2:21" ht="15.75">
      <c r="B9" s="118" t="s">
        <v>10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2" ht="12.75">
      <c r="A10" s="48">
        <v>1</v>
      </c>
      <c r="B10" s="86" t="s">
        <v>482</v>
      </c>
      <c r="C10" s="86" t="s">
        <v>483</v>
      </c>
      <c r="D10" s="86" t="s">
        <v>484</v>
      </c>
      <c r="E10" s="86" t="str">
        <f>"1,2036"</f>
        <v>1,2036</v>
      </c>
      <c r="F10" s="133" t="s">
        <v>29</v>
      </c>
      <c r="G10" s="86" t="s">
        <v>1000</v>
      </c>
      <c r="H10" s="135" t="s">
        <v>275</v>
      </c>
      <c r="I10" s="66" t="s">
        <v>429</v>
      </c>
      <c r="J10" s="66" t="s">
        <v>429</v>
      </c>
      <c r="K10" s="68"/>
      <c r="L10" s="21" t="s">
        <v>170</v>
      </c>
      <c r="M10" s="21" t="s">
        <v>172</v>
      </c>
      <c r="N10" s="21" t="s">
        <v>196</v>
      </c>
      <c r="O10" s="68"/>
      <c r="P10" s="21" t="s">
        <v>275</v>
      </c>
      <c r="Q10" s="21" t="s">
        <v>352</v>
      </c>
      <c r="R10" s="21" t="s">
        <v>429</v>
      </c>
      <c r="S10" s="68"/>
      <c r="T10" s="38">
        <v>247.5</v>
      </c>
      <c r="U10" s="86" t="str">
        <f>"297,8910"</f>
        <v>297,8910</v>
      </c>
      <c r="V10" s="86" t="s">
        <v>925</v>
      </c>
    </row>
    <row r="11" spans="1:22" ht="12.75">
      <c r="A11" s="49">
        <v>1</v>
      </c>
      <c r="B11" s="87" t="s">
        <v>485</v>
      </c>
      <c r="C11" s="87" t="s">
        <v>486</v>
      </c>
      <c r="D11" s="87" t="s">
        <v>487</v>
      </c>
      <c r="E11" s="87" t="str">
        <f>"1,2054"</f>
        <v>1,2054</v>
      </c>
      <c r="F11" s="134" t="s">
        <v>29</v>
      </c>
      <c r="G11" s="87" t="s">
        <v>1000</v>
      </c>
      <c r="H11" s="136" t="s">
        <v>18</v>
      </c>
      <c r="I11" s="23" t="s">
        <v>172</v>
      </c>
      <c r="J11" s="70" t="s">
        <v>211</v>
      </c>
      <c r="K11" s="71"/>
      <c r="L11" s="23" t="s">
        <v>205</v>
      </c>
      <c r="M11" s="23" t="s">
        <v>187</v>
      </c>
      <c r="N11" s="23" t="s">
        <v>16</v>
      </c>
      <c r="O11" s="71"/>
      <c r="P11" s="23" t="s">
        <v>220</v>
      </c>
      <c r="Q11" s="23" t="s">
        <v>213</v>
      </c>
      <c r="R11" s="71"/>
      <c r="S11" s="71"/>
      <c r="T11" s="39">
        <v>160</v>
      </c>
      <c r="U11" s="87" t="str">
        <f>"192,8640"</f>
        <v>192,8640</v>
      </c>
      <c r="V11" s="87" t="s">
        <v>130</v>
      </c>
    </row>
    <row r="13" spans="2:21" ht="15.75">
      <c r="B13" s="118" t="s">
        <v>207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2" ht="12.75">
      <c r="A14" s="47">
        <v>1</v>
      </c>
      <c r="B14" s="35" t="s">
        <v>488</v>
      </c>
      <c r="C14" s="35" t="s">
        <v>489</v>
      </c>
      <c r="D14" s="35" t="s">
        <v>490</v>
      </c>
      <c r="E14" s="35" t="str">
        <f>"1,1620"</f>
        <v>1,1620</v>
      </c>
      <c r="F14" s="35" t="s">
        <v>29</v>
      </c>
      <c r="G14" s="35" t="s">
        <v>1000</v>
      </c>
      <c r="H14" s="20" t="s">
        <v>176</v>
      </c>
      <c r="I14" s="20" t="s">
        <v>170</v>
      </c>
      <c r="J14" s="65" t="s">
        <v>172</v>
      </c>
      <c r="K14" s="72"/>
      <c r="L14" s="65" t="s">
        <v>16</v>
      </c>
      <c r="M14" s="20" t="s">
        <v>16</v>
      </c>
      <c r="N14" s="65" t="s">
        <v>18</v>
      </c>
      <c r="O14" s="72"/>
      <c r="P14" s="20" t="s">
        <v>317</v>
      </c>
      <c r="Q14" s="20" t="s">
        <v>275</v>
      </c>
      <c r="R14" s="20" t="s">
        <v>352</v>
      </c>
      <c r="S14" s="72"/>
      <c r="T14" s="34">
        <v>180</v>
      </c>
      <c r="U14" s="35" t="str">
        <f>"209,1600"</f>
        <v>209,1600</v>
      </c>
      <c r="V14" s="35" t="s">
        <v>130</v>
      </c>
    </row>
    <row r="16" spans="2:21" ht="15.75">
      <c r="B16" s="118" t="s">
        <v>228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2" ht="12.75">
      <c r="A17" s="48">
        <v>1</v>
      </c>
      <c r="B17" s="86" t="s">
        <v>491</v>
      </c>
      <c r="C17" s="86" t="s">
        <v>492</v>
      </c>
      <c r="D17" s="86" t="s">
        <v>493</v>
      </c>
      <c r="E17" s="86" t="str">
        <f>"1,0727"</f>
        <v>1,0727</v>
      </c>
      <c r="F17" s="133" t="s">
        <v>29</v>
      </c>
      <c r="G17" s="86" t="s">
        <v>1000</v>
      </c>
      <c r="H17" s="135" t="s">
        <v>479</v>
      </c>
      <c r="I17" s="66" t="s">
        <v>377</v>
      </c>
      <c r="J17" s="21" t="s">
        <v>275</v>
      </c>
      <c r="K17" s="68"/>
      <c r="L17" s="21" t="s">
        <v>170</v>
      </c>
      <c r="M17" s="21" t="s">
        <v>172</v>
      </c>
      <c r="N17" s="66" t="s">
        <v>220</v>
      </c>
      <c r="O17" s="68"/>
      <c r="P17" s="21" t="s">
        <v>353</v>
      </c>
      <c r="Q17" s="21" t="s">
        <v>326</v>
      </c>
      <c r="R17" s="21" t="s">
        <v>302</v>
      </c>
      <c r="S17" s="68"/>
      <c r="T17" s="38">
        <v>260</v>
      </c>
      <c r="U17" s="86" t="str">
        <f>"278,9020"</f>
        <v>278,9020</v>
      </c>
      <c r="V17" s="86" t="s">
        <v>1020</v>
      </c>
    </row>
    <row r="18" spans="1:22" ht="12.75">
      <c r="A18" s="50">
        <v>2</v>
      </c>
      <c r="B18" s="88" t="s">
        <v>494</v>
      </c>
      <c r="C18" s="88" t="s">
        <v>495</v>
      </c>
      <c r="D18" s="88" t="s">
        <v>496</v>
      </c>
      <c r="E18" s="88" t="str">
        <f>"1,0362"</f>
        <v>1,0362</v>
      </c>
      <c r="F18" s="137" t="s">
        <v>29</v>
      </c>
      <c r="G18" s="88" t="s">
        <v>1000</v>
      </c>
      <c r="H18" s="138" t="s">
        <v>192</v>
      </c>
      <c r="I18" s="22" t="s">
        <v>171</v>
      </c>
      <c r="J18" s="22" t="s">
        <v>172</v>
      </c>
      <c r="K18" s="69"/>
      <c r="L18" s="22" t="s">
        <v>17</v>
      </c>
      <c r="M18" s="22" t="s">
        <v>18</v>
      </c>
      <c r="N18" s="22" t="s">
        <v>176</v>
      </c>
      <c r="O18" s="69"/>
      <c r="P18" s="22" t="s">
        <v>212</v>
      </c>
      <c r="Q18" s="22" t="s">
        <v>248</v>
      </c>
      <c r="R18" s="22" t="s">
        <v>497</v>
      </c>
      <c r="S18" s="69"/>
      <c r="T18" s="40">
        <v>177.5</v>
      </c>
      <c r="U18" s="88" t="str">
        <f>"183,9255"</f>
        <v>183,9255</v>
      </c>
      <c r="V18" s="88" t="s">
        <v>926</v>
      </c>
    </row>
    <row r="19" spans="1:22" ht="12.75">
      <c r="A19" s="50">
        <v>0</v>
      </c>
      <c r="B19" s="88" t="s">
        <v>498</v>
      </c>
      <c r="C19" s="88" t="s">
        <v>499</v>
      </c>
      <c r="D19" s="88" t="s">
        <v>500</v>
      </c>
      <c r="E19" s="88" t="str">
        <f>"1,0351"</f>
        <v>1,0351</v>
      </c>
      <c r="F19" s="137" t="s">
        <v>29</v>
      </c>
      <c r="G19" s="88" t="s">
        <v>1000</v>
      </c>
      <c r="H19" s="139" t="s">
        <v>274</v>
      </c>
      <c r="I19" s="67" t="s">
        <v>274</v>
      </c>
      <c r="J19" s="67" t="s">
        <v>274</v>
      </c>
      <c r="K19" s="69"/>
      <c r="L19" s="67" t="s">
        <v>18</v>
      </c>
      <c r="M19" s="69"/>
      <c r="N19" s="69"/>
      <c r="O19" s="69"/>
      <c r="P19" s="67" t="s">
        <v>261</v>
      </c>
      <c r="Q19" s="69"/>
      <c r="R19" s="69"/>
      <c r="S19" s="69"/>
      <c r="T19" s="40">
        <v>0</v>
      </c>
      <c r="U19" s="88" t="str">
        <f>"0,0000"</f>
        <v>0,0000</v>
      </c>
      <c r="V19" s="88" t="s">
        <v>1021</v>
      </c>
    </row>
    <row r="20" spans="1:22" ht="12.75">
      <c r="A20" s="50">
        <v>1</v>
      </c>
      <c r="B20" s="88" t="s">
        <v>501</v>
      </c>
      <c r="C20" s="88" t="s">
        <v>502</v>
      </c>
      <c r="D20" s="88" t="s">
        <v>503</v>
      </c>
      <c r="E20" s="88" t="str">
        <f>"1,0601"</f>
        <v>1,0601</v>
      </c>
      <c r="F20" s="137" t="s">
        <v>29</v>
      </c>
      <c r="G20" s="88" t="s">
        <v>1000</v>
      </c>
      <c r="H20" s="139" t="s">
        <v>353</v>
      </c>
      <c r="I20" s="22" t="s">
        <v>262</v>
      </c>
      <c r="J20" s="22" t="s">
        <v>326</v>
      </c>
      <c r="K20" s="69"/>
      <c r="L20" s="22" t="s">
        <v>172</v>
      </c>
      <c r="M20" s="67" t="s">
        <v>196</v>
      </c>
      <c r="N20" s="67" t="s">
        <v>196</v>
      </c>
      <c r="O20" s="69"/>
      <c r="P20" s="22" t="s">
        <v>326</v>
      </c>
      <c r="Q20" s="22" t="s">
        <v>302</v>
      </c>
      <c r="R20" s="22" t="s">
        <v>46</v>
      </c>
      <c r="S20" s="69"/>
      <c r="T20" s="40">
        <v>285</v>
      </c>
      <c r="U20" s="88" t="str">
        <f>"302,1285"</f>
        <v>302,1285</v>
      </c>
      <c r="V20" s="88" t="s">
        <v>1022</v>
      </c>
    </row>
    <row r="21" spans="1:22" ht="12.75">
      <c r="A21" s="49">
        <v>1</v>
      </c>
      <c r="B21" s="87" t="s">
        <v>504</v>
      </c>
      <c r="C21" s="87" t="s">
        <v>505</v>
      </c>
      <c r="D21" s="87" t="s">
        <v>506</v>
      </c>
      <c r="E21" s="87" t="str">
        <f>"1,1120"</f>
        <v>1,1120</v>
      </c>
      <c r="F21" s="134" t="s">
        <v>68</v>
      </c>
      <c r="G21" s="87" t="s">
        <v>1000</v>
      </c>
      <c r="H21" s="140" t="s">
        <v>84</v>
      </c>
      <c r="I21" s="23" t="s">
        <v>479</v>
      </c>
      <c r="J21" s="23" t="s">
        <v>274</v>
      </c>
      <c r="K21" s="71"/>
      <c r="L21" s="23" t="s">
        <v>18</v>
      </c>
      <c r="M21" s="23" t="s">
        <v>224</v>
      </c>
      <c r="N21" s="70" t="s">
        <v>176</v>
      </c>
      <c r="O21" s="71"/>
      <c r="P21" s="23" t="s">
        <v>274</v>
      </c>
      <c r="Q21" s="23" t="s">
        <v>275</v>
      </c>
      <c r="R21" s="23" t="s">
        <v>352</v>
      </c>
      <c r="S21" s="71"/>
      <c r="T21" s="39">
        <v>217.5</v>
      </c>
      <c r="U21" s="87" t="str">
        <f>"248,6321"</f>
        <v>248,6321</v>
      </c>
      <c r="V21" s="87" t="s">
        <v>927</v>
      </c>
    </row>
    <row r="23" spans="2:21" ht="15.75">
      <c r="B23" s="118" t="s">
        <v>249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2" ht="12.75">
      <c r="A24" s="47">
        <v>1</v>
      </c>
      <c r="B24" s="35" t="s">
        <v>507</v>
      </c>
      <c r="C24" s="35" t="s">
        <v>508</v>
      </c>
      <c r="D24" s="35" t="s">
        <v>509</v>
      </c>
      <c r="E24" s="35" t="str">
        <f>"0,9788"</f>
        <v>0,9788</v>
      </c>
      <c r="F24" s="35" t="s">
        <v>510</v>
      </c>
      <c r="G24" s="35" t="s">
        <v>1000</v>
      </c>
      <c r="H24" s="20" t="s">
        <v>429</v>
      </c>
      <c r="I24" s="20" t="s">
        <v>353</v>
      </c>
      <c r="J24" s="20" t="s">
        <v>326</v>
      </c>
      <c r="K24" s="72"/>
      <c r="L24" s="20" t="s">
        <v>176</v>
      </c>
      <c r="M24" s="20" t="s">
        <v>170</v>
      </c>
      <c r="N24" s="65" t="s">
        <v>171</v>
      </c>
      <c r="O24" s="72"/>
      <c r="P24" s="20" t="s">
        <v>48</v>
      </c>
      <c r="Q24" s="20" t="s">
        <v>40</v>
      </c>
      <c r="R24" s="20" t="s">
        <v>35</v>
      </c>
      <c r="S24" s="72"/>
      <c r="T24" s="34">
        <v>300</v>
      </c>
      <c r="U24" s="35" t="str">
        <f>"293,6400"</f>
        <v>293,6400</v>
      </c>
      <c r="V24" s="35" t="s">
        <v>1023</v>
      </c>
    </row>
    <row r="26" spans="2:21" ht="15.75">
      <c r="B26" s="118" t="s">
        <v>249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2" ht="12.75">
      <c r="A27" s="48">
        <v>1</v>
      </c>
      <c r="B27" s="86" t="s">
        <v>511</v>
      </c>
      <c r="C27" s="86" t="s">
        <v>512</v>
      </c>
      <c r="D27" s="86" t="s">
        <v>513</v>
      </c>
      <c r="E27" s="86" t="str">
        <f>"0,7300"</f>
        <v>0,7300</v>
      </c>
      <c r="F27" s="86" t="s">
        <v>477</v>
      </c>
      <c r="G27" s="86" t="s">
        <v>478</v>
      </c>
      <c r="H27" s="21" t="s">
        <v>429</v>
      </c>
      <c r="I27" s="21" t="s">
        <v>302</v>
      </c>
      <c r="J27" s="21" t="s">
        <v>48</v>
      </c>
      <c r="K27" s="68"/>
      <c r="L27" s="21" t="s">
        <v>377</v>
      </c>
      <c r="M27" s="21" t="s">
        <v>276</v>
      </c>
      <c r="N27" s="21" t="s">
        <v>429</v>
      </c>
      <c r="O27" s="68"/>
      <c r="P27" s="21" t="s">
        <v>48</v>
      </c>
      <c r="Q27" s="21" t="s">
        <v>36</v>
      </c>
      <c r="R27" s="21" t="s">
        <v>23</v>
      </c>
      <c r="S27" s="68"/>
      <c r="T27" s="38">
        <v>390</v>
      </c>
      <c r="U27" s="133" t="str">
        <f>"284,7000"</f>
        <v>284,7000</v>
      </c>
      <c r="V27" s="86" t="s">
        <v>924</v>
      </c>
    </row>
    <row r="28" spans="1:22" ht="12.75">
      <c r="A28" s="50">
        <v>1</v>
      </c>
      <c r="B28" s="88" t="s">
        <v>514</v>
      </c>
      <c r="C28" s="88" t="s">
        <v>515</v>
      </c>
      <c r="D28" s="88" t="s">
        <v>516</v>
      </c>
      <c r="E28" s="88" t="str">
        <f>"0,7228"</f>
        <v>0,7228</v>
      </c>
      <c r="F28" s="88" t="s">
        <v>116</v>
      </c>
      <c r="G28" s="88" t="s">
        <v>517</v>
      </c>
      <c r="H28" s="22" t="s">
        <v>25</v>
      </c>
      <c r="I28" s="22" t="s">
        <v>77</v>
      </c>
      <c r="J28" s="22" t="s">
        <v>79</v>
      </c>
      <c r="K28" s="69"/>
      <c r="L28" s="22" t="s">
        <v>48</v>
      </c>
      <c r="M28" s="22" t="s">
        <v>282</v>
      </c>
      <c r="N28" s="22" t="s">
        <v>41</v>
      </c>
      <c r="O28" s="69"/>
      <c r="P28" s="22" t="s">
        <v>113</v>
      </c>
      <c r="Q28" s="22" t="s">
        <v>99</v>
      </c>
      <c r="R28" s="22" t="s">
        <v>395</v>
      </c>
      <c r="S28" s="69"/>
      <c r="T28" s="40">
        <v>562.5</v>
      </c>
      <c r="U28" s="137" t="str">
        <f>"406,5750"</f>
        <v>406,5750</v>
      </c>
      <c r="V28" s="88" t="s">
        <v>130</v>
      </c>
    </row>
    <row r="29" spans="1:22" ht="12.75">
      <c r="A29" s="49">
        <v>2</v>
      </c>
      <c r="B29" s="87" t="s">
        <v>518</v>
      </c>
      <c r="C29" s="87" t="s">
        <v>519</v>
      </c>
      <c r="D29" s="87" t="s">
        <v>520</v>
      </c>
      <c r="E29" s="87" t="str">
        <f>"0,7494"</f>
        <v>0,7494</v>
      </c>
      <c r="F29" s="87" t="s">
        <v>477</v>
      </c>
      <c r="G29" s="87" t="s">
        <v>478</v>
      </c>
      <c r="H29" s="70" t="s">
        <v>23</v>
      </c>
      <c r="I29" s="70" t="s">
        <v>25</v>
      </c>
      <c r="J29" s="23" t="s">
        <v>55</v>
      </c>
      <c r="K29" s="71"/>
      <c r="L29" s="70" t="s">
        <v>429</v>
      </c>
      <c r="M29" s="23" t="s">
        <v>429</v>
      </c>
      <c r="N29" s="70" t="s">
        <v>262</v>
      </c>
      <c r="O29" s="71"/>
      <c r="P29" s="23" t="s">
        <v>23</v>
      </c>
      <c r="Q29" s="23" t="s">
        <v>113</v>
      </c>
      <c r="R29" s="23" t="s">
        <v>79</v>
      </c>
      <c r="S29" s="71"/>
      <c r="T29" s="39">
        <v>480</v>
      </c>
      <c r="U29" s="134" t="str">
        <f>"359,7120"</f>
        <v>359,7120</v>
      </c>
      <c r="V29" s="87" t="s">
        <v>924</v>
      </c>
    </row>
    <row r="31" spans="2:21" ht="15.75">
      <c r="B31" s="118" t="s">
        <v>19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2" ht="12.75">
      <c r="A32" s="48">
        <v>1</v>
      </c>
      <c r="B32" s="86" t="s">
        <v>521</v>
      </c>
      <c r="C32" s="86" t="s">
        <v>522</v>
      </c>
      <c r="D32" s="86" t="s">
        <v>39</v>
      </c>
      <c r="E32" s="86" t="str">
        <f>"0,6759"</f>
        <v>0,6759</v>
      </c>
      <c r="F32" s="86" t="s">
        <v>1014</v>
      </c>
      <c r="G32" s="86" t="s">
        <v>239</v>
      </c>
      <c r="H32" s="21" t="s">
        <v>79</v>
      </c>
      <c r="I32" s="21" t="s">
        <v>455</v>
      </c>
      <c r="J32" s="21" t="s">
        <v>395</v>
      </c>
      <c r="K32" s="68"/>
      <c r="L32" s="21" t="s">
        <v>47</v>
      </c>
      <c r="M32" s="21" t="s">
        <v>253</v>
      </c>
      <c r="N32" s="73" t="s">
        <v>40</v>
      </c>
      <c r="O32" s="68"/>
      <c r="P32" s="21" t="s">
        <v>424</v>
      </c>
      <c r="Q32" s="21" t="s">
        <v>417</v>
      </c>
      <c r="R32" s="21" t="s">
        <v>523</v>
      </c>
      <c r="S32" s="68"/>
      <c r="T32" s="38">
        <v>587.5</v>
      </c>
      <c r="U32" s="86" t="str">
        <f>"397,0912"</f>
        <v>397,0912</v>
      </c>
      <c r="V32" s="86" t="s">
        <v>928</v>
      </c>
    </row>
    <row r="33" spans="1:22" ht="12.75">
      <c r="A33" s="50">
        <v>2</v>
      </c>
      <c r="B33" s="88" t="s">
        <v>524</v>
      </c>
      <c r="C33" s="88" t="s">
        <v>525</v>
      </c>
      <c r="D33" s="88" t="s">
        <v>309</v>
      </c>
      <c r="E33" s="88" t="str">
        <f>"0,6719"</f>
        <v>0,6719</v>
      </c>
      <c r="F33" s="88" t="s">
        <v>477</v>
      </c>
      <c r="G33" s="88" t="s">
        <v>526</v>
      </c>
      <c r="H33" s="22" t="s">
        <v>140</v>
      </c>
      <c r="I33" s="22" t="s">
        <v>360</v>
      </c>
      <c r="J33" s="22" t="s">
        <v>390</v>
      </c>
      <c r="K33" s="69"/>
      <c r="L33" s="22" t="s">
        <v>275</v>
      </c>
      <c r="M33" s="22" t="s">
        <v>429</v>
      </c>
      <c r="N33" s="67" t="s">
        <v>353</v>
      </c>
      <c r="O33" s="69"/>
      <c r="P33" s="22" t="s">
        <v>25</v>
      </c>
      <c r="Q33" s="22" t="s">
        <v>77</v>
      </c>
      <c r="R33" s="22" t="s">
        <v>394</v>
      </c>
      <c r="S33" s="69"/>
      <c r="T33" s="40">
        <v>477.5</v>
      </c>
      <c r="U33" s="88" t="str">
        <f>"320,8322"</f>
        <v>320,8322</v>
      </c>
      <c r="V33" s="88" t="s">
        <v>924</v>
      </c>
    </row>
    <row r="34" spans="1:22" ht="12.75">
      <c r="A34" s="50">
        <v>3</v>
      </c>
      <c r="B34" s="88" t="s">
        <v>527</v>
      </c>
      <c r="C34" s="88" t="s">
        <v>528</v>
      </c>
      <c r="D34" s="88" t="s">
        <v>287</v>
      </c>
      <c r="E34" s="88" t="str">
        <f>"0,6769"</f>
        <v>0,6769</v>
      </c>
      <c r="F34" s="88" t="s">
        <v>29</v>
      </c>
      <c r="G34" s="88" t="s">
        <v>1000</v>
      </c>
      <c r="H34" s="22" t="s">
        <v>36</v>
      </c>
      <c r="I34" s="22" t="s">
        <v>266</v>
      </c>
      <c r="J34" s="67" t="s">
        <v>23</v>
      </c>
      <c r="K34" s="69"/>
      <c r="L34" s="22" t="s">
        <v>429</v>
      </c>
      <c r="M34" s="22" t="s">
        <v>262</v>
      </c>
      <c r="N34" s="67" t="s">
        <v>326</v>
      </c>
      <c r="O34" s="69"/>
      <c r="P34" s="22" t="s">
        <v>55</v>
      </c>
      <c r="Q34" s="22" t="s">
        <v>69</v>
      </c>
      <c r="R34" s="22" t="s">
        <v>86</v>
      </c>
      <c r="S34" s="69"/>
      <c r="T34" s="40">
        <v>455</v>
      </c>
      <c r="U34" s="88" t="str">
        <f>"307,9895"</f>
        <v>307,9895</v>
      </c>
      <c r="V34" s="88" t="s">
        <v>130</v>
      </c>
    </row>
    <row r="35" spans="1:22" ht="12.75">
      <c r="A35" s="50">
        <v>4</v>
      </c>
      <c r="B35" s="88" t="s">
        <v>529</v>
      </c>
      <c r="C35" s="88" t="s">
        <v>530</v>
      </c>
      <c r="D35" s="88" t="s">
        <v>531</v>
      </c>
      <c r="E35" s="88" t="str">
        <f>"0,6860"</f>
        <v>0,6860</v>
      </c>
      <c r="F35" s="88" t="s">
        <v>1015</v>
      </c>
      <c r="G35" s="88" t="s">
        <v>60</v>
      </c>
      <c r="H35" s="22" t="s">
        <v>48</v>
      </c>
      <c r="I35" s="22" t="s">
        <v>35</v>
      </c>
      <c r="J35" s="67" t="s">
        <v>140</v>
      </c>
      <c r="K35" s="69"/>
      <c r="L35" s="22" t="s">
        <v>213</v>
      </c>
      <c r="M35" s="22" t="s">
        <v>274</v>
      </c>
      <c r="N35" s="67" t="s">
        <v>377</v>
      </c>
      <c r="O35" s="69"/>
      <c r="P35" s="22" t="s">
        <v>48</v>
      </c>
      <c r="Q35" s="22" t="s">
        <v>35</v>
      </c>
      <c r="R35" s="67" t="s">
        <v>140</v>
      </c>
      <c r="S35" s="69"/>
      <c r="T35" s="40">
        <v>360</v>
      </c>
      <c r="U35" s="88" t="str">
        <f>"246,9600"</f>
        <v>246,9600</v>
      </c>
      <c r="V35" s="88" t="s">
        <v>929</v>
      </c>
    </row>
    <row r="36" spans="1:22" ht="12.75">
      <c r="A36" s="50">
        <v>1</v>
      </c>
      <c r="B36" s="88" t="s">
        <v>521</v>
      </c>
      <c r="C36" s="88" t="s">
        <v>532</v>
      </c>
      <c r="D36" s="88" t="s">
        <v>39</v>
      </c>
      <c r="E36" s="88" t="str">
        <f>"0,6759"</f>
        <v>0,6759</v>
      </c>
      <c r="F36" s="88" t="s">
        <v>1014</v>
      </c>
      <c r="G36" s="88" t="s">
        <v>239</v>
      </c>
      <c r="H36" s="22" t="s">
        <v>395</v>
      </c>
      <c r="I36" s="69"/>
      <c r="J36" s="69"/>
      <c r="K36" s="69"/>
      <c r="L36" s="22" t="s">
        <v>40</v>
      </c>
      <c r="M36" s="69"/>
      <c r="N36" s="69"/>
      <c r="O36" s="69"/>
      <c r="P36" s="22" t="s">
        <v>523</v>
      </c>
      <c r="Q36" s="69"/>
      <c r="R36" s="69"/>
      <c r="S36" s="69"/>
      <c r="T36" s="40">
        <v>587.5</v>
      </c>
      <c r="U36" s="88" t="str">
        <f>"397,0912"</f>
        <v>397,0912</v>
      </c>
      <c r="V36" s="88" t="s">
        <v>928</v>
      </c>
    </row>
    <row r="37" spans="1:22" ht="12.75">
      <c r="A37" s="50">
        <v>2</v>
      </c>
      <c r="B37" s="88" t="s">
        <v>533</v>
      </c>
      <c r="C37" s="88" t="s">
        <v>534</v>
      </c>
      <c r="D37" s="88" t="s">
        <v>535</v>
      </c>
      <c r="E37" s="88" t="str">
        <f>"0,6822"</f>
        <v>0,6822</v>
      </c>
      <c r="F37" s="88" t="s">
        <v>14</v>
      </c>
      <c r="G37" s="88" t="s">
        <v>15</v>
      </c>
      <c r="H37" s="22" t="s">
        <v>40</v>
      </c>
      <c r="I37" s="22" t="s">
        <v>389</v>
      </c>
      <c r="J37" s="22" t="s">
        <v>266</v>
      </c>
      <c r="K37" s="69"/>
      <c r="L37" s="22" t="s">
        <v>353</v>
      </c>
      <c r="M37" s="22" t="s">
        <v>313</v>
      </c>
      <c r="N37" s="67" t="s">
        <v>263</v>
      </c>
      <c r="O37" s="69"/>
      <c r="P37" s="22" t="s">
        <v>25</v>
      </c>
      <c r="Q37" s="22" t="s">
        <v>69</v>
      </c>
      <c r="R37" s="67" t="s">
        <v>77</v>
      </c>
      <c r="S37" s="69"/>
      <c r="T37" s="40">
        <v>452.5</v>
      </c>
      <c r="U37" s="88" t="str">
        <f>"308,6955"</f>
        <v>308,6955</v>
      </c>
      <c r="V37" s="88" t="s">
        <v>930</v>
      </c>
    </row>
    <row r="38" spans="1:22" ht="12.75">
      <c r="A38" s="49">
        <v>0</v>
      </c>
      <c r="B38" s="87" t="s">
        <v>521</v>
      </c>
      <c r="C38" s="87" t="s">
        <v>532</v>
      </c>
      <c r="D38" s="87" t="s">
        <v>39</v>
      </c>
      <c r="E38" s="87" t="str">
        <f>"0,6759"</f>
        <v>0,6759</v>
      </c>
      <c r="F38" s="87" t="s">
        <v>1014</v>
      </c>
      <c r="G38" s="87" t="s">
        <v>239</v>
      </c>
      <c r="H38" s="70" t="s">
        <v>79</v>
      </c>
      <c r="I38" s="71"/>
      <c r="J38" s="71"/>
      <c r="K38" s="71"/>
      <c r="L38" s="70" t="s">
        <v>47</v>
      </c>
      <c r="M38" s="71"/>
      <c r="N38" s="71"/>
      <c r="O38" s="71"/>
      <c r="P38" s="70" t="s">
        <v>424</v>
      </c>
      <c r="Q38" s="71"/>
      <c r="R38" s="71"/>
      <c r="S38" s="71"/>
      <c r="T38" s="39">
        <v>0</v>
      </c>
      <c r="U38" s="87" t="str">
        <f>"0,0000"</f>
        <v>0,0000</v>
      </c>
      <c r="V38" s="87" t="s">
        <v>928</v>
      </c>
    </row>
    <row r="40" spans="2:21" ht="15.75">
      <c r="B40" s="118" t="s">
        <v>49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2" ht="12.75">
      <c r="A41" s="48">
        <v>1</v>
      </c>
      <c r="B41" s="86" t="s">
        <v>536</v>
      </c>
      <c r="C41" s="86" t="s">
        <v>537</v>
      </c>
      <c r="D41" s="86" t="s">
        <v>538</v>
      </c>
      <c r="E41" s="86" t="str">
        <f>"0,6487"</f>
        <v>0,6487</v>
      </c>
      <c r="F41" s="86" t="s">
        <v>477</v>
      </c>
      <c r="G41" s="86" t="s">
        <v>478</v>
      </c>
      <c r="H41" s="66" t="s">
        <v>35</v>
      </c>
      <c r="I41" s="21" t="s">
        <v>35</v>
      </c>
      <c r="J41" s="66" t="s">
        <v>140</v>
      </c>
      <c r="K41" s="68"/>
      <c r="L41" s="21" t="s">
        <v>275</v>
      </c>
      <c r="M41" s="21" t="s">
        <v>429</v>
      </c>
      <c r="N41" s="21" t="s">
        <v>353</v>
      </c>
      <c r="O41" s="68"/>
      <c r="P41" s="21" t="s">
        <v>23</v>
      </c>
      <c r="Q41" s="66" t="s">
        <v>93</v>
      </c>
      <c r="R41" s="21" t="s">
        <v>77</v>
      </c>
      <c r="S41" s="68"/>
      <c r="T41" s="38">
        <v>440</v>
      </c>
      <c r="U41" s="86" t="str">
        <f>"285,4280"</f>
        <v>285,4280</v>
      </c>
      <c r="V41" s="86" t="s">
        <v>924</v>
      </c>
    </row>
    <row r="42" spans="1:22" ht="12.75">
      <c r="A42" s="50">
        <v>2</v>
      </c>
      <c r="B42" s="88" t="s">
        <v>539</v>
      </c>
      <c r="C42" s="88" t="s">
        <v>540</v>
      </c>
      <c r="D42" s="88" t="s">
        <v>541</v>
      </c>
      <c r="E42" s="88" t="str">
        <f>"0,6447"</f>
        <v>0,6447</v>
      </c>
      <c r="F42" s="88" t="s">
        <v>510</v>
      </c>
      <c r="G42" s="88" t="s">
        <v>1000</v>
      </c>
      <c r="H42" s="22" t="s">
        <v>274</v>
      </c>
      <c r="I42" s="22" t="s">
        <v>275</v>
      </c>
      <c r="J42" s="22" t="s">
        <v>352</v>
      </c>
      <c r="K42" s="69"/>
      <c r="L42" s="22" t="s">
        <v>213</v>
      </c>
      <c r="M42" s="22" t="s">
        <v>274</v>
      </c>
      <c r="N42" s="67" t="s">
        <v>377</v>
      </c>
      <c r="O42" s="69"/>
      <c r="P42" s="22" t="s">
        <v>326</v>
      </c>
      <c r="Q42" s="22" t="s">
        <v>46</v>
      </c>
      <c r="R42" s="22" t="s">
        <v>48</v>
      </c>
      <c r="S42" s="69"/>
      <c r="T42" s="40">
        <v>305</v>
      </c>
      <c r="U42" s="88" t="str">
        <f>"196,6335"</f>
        <v>196,6335</v>
      </c>
      <c r="V42" s="88" t="s">
        <v>130</v>
      </c>
    </row>
    <row r="43" spans="1:22" ht="12.75">
      <c r="A43" s="50">
        <v>1</v>
      </c>
      <c r="B43" s="88" t="s">
        <v>542</v>
      </c>
      <c r="C43" s="88" t="s">
        <v>543</v>
      </c>
      <c r="D43" s="88" t="s">
        <v>544</v>
      </c>
      <c r="E43" s="88" t="str">
        <f>"0,6424"</f>
        <v>0,6424</v>
      </c>
      <c r="F43" s="88" t="s">
        <v>1014</v>
      </c>
      <c r="G43" s="88" t="s">
        <v>239</v>
      </c>
      <c r="H43" s="22" t="s">
        <v>394</v>
      </c>
      <c r="I43" s="22" t="s">
        <v>545</v>
      </c>
      <c r="J43" s="22" t="s">
        <v>417</v>
      </c>
      <c r="K43" s="69"/>
      <c r="L43" s="22" t="s">
        <v>306</v>
      </c>
      <c r="M43" s="22" t="s">
        <v>282</v>
      </c>
      <c r="N43" s="22" t="s">
        <v>41</v>
      </c>
      <c r="O43" s="69"/>
      <c r="P43" s="22" t="s">
        <v>395</v>
      </c>
      <c r="Q43" s="22" t="s">
        <v>546</v>
      </c>
      <c r="R43" s="22" t="s">
        <v>418</v>
      </c>
      <c r="S43" s="69"/>
      <c r="T43" s="40">
        <v>607.5</v>
      </c>
      <c r="U43" s="88" t="str">
        <f>"390,2580"</f>
        <v>390,2580</v>
      </c>
      <c r="V43" s="88" t="s">
        <v>943</v>
      </c>
    </row>
    <row r="44" spans="1:22" ht="12.75">
      <c r="A44" s="50">
        <v>2</v>
      </c>
      <c r="B44" s="88" t="s">
        <v>333</v>
      </c>
      <c r="C44" s="88" t="s">
        <v>334</v>
      </c>
      <c r="D44" s="88" t="s">
        <v>335</v>
      </c>
      <c r="E44" s="88" t="str">
        <f>"0,6398"</f>
        <v>0,6398</v>
      </c>
      <c r="F44" s="88" t="s">
        <v>29</v>
      </c>
      <c r="G44" s="88" t="s">
        <v>1000</v>
      </c>
      <c r="H44" s="22" t="s">
        <v>77</v>
      </c>
      <c r="I44" s="22" t="s">
        <v>78</v>
      </c>
      <c r="J44" s="67" t="s">
        <v>79</v>
      </c>
      <c r="K44" s="69"/>
      <c r="L44" s="22" t="s">
        <v>266</v>
      </c>
      <c r="M44" s="22" t="s">
        <v>23</v>
      </c>
      <c r="N44" s="67" t="s">
        <v>24</v>
      </c>
      <c r="O44" s="69"/>
      <c r="P44" s="22" t="s">
        <v>78</v>
      </c>
      <c r="Q44" s="22" t="s">
        <v>394</v>
      </c>
      <c r="R44" s="22" t="s">
        <v>424</v>
      </c>
      <c r="S44" s="69"/>
      <c r="T44" s="40">
        <v>580</v>
      </c>
      <c r="U44" s="88" t="str">
        <f>"371,0840"</f>
        <v>371,0840</v>
      </c>
      <c r="V44" s="88" t="s">
        <v>130</v>
      </c>
    </row>
    <row r="45" spans="1:22" ht="12.75">
      <c r="A45" s="50">
        <v>3</v>
      </c>
      <c r="B45" s="88" t="s">
        <v>547</v>
      </c>
      <c r="C45" s="88" t="s">
        <v>548</v>
      </c>
      <c r="D45" s="88" t="s">
        <v>549</v>
      </c>
      <c r="E45" s="88" t="str">
        <f>"0,6417"</f>
        <v>0,6417</v>
      </c>
      <c r="F45" s="88" t="s">
        <v>29</v>
      </c>
      <c r="G45" s="88" t="s">
        <v>1000</v>
      </c>
      <c r="H45" s="67" t="s">
        <v>23</v>
      </c>
      <c r="I45" s="22" t="s">
        <v>23</v>
      </c>
      <c r="J45" s="67" t="s">
        <v>93</v>
      </c>
      <c r="K45" s="69"/>
      <c r="L45" s="22" t="s">
        <v>263</v>
      </c>
      <c r="M45" s="22" t="s">
        <v>257</v>
      </c>
      <c r="N45" s="67" t="s">
        <v>47</v>
      </c>
      <c r="O45" s="69"/>
      <c r="P45" s="22" t="s">
        <v>25</v>
      </c>
      <c r="Q45" s="22" t="s">
        <v>85</v>
      </c>
      <c r="R45" s="67" t="s">
        <v>79</v>
      </c>
      <c r="S45" s="69"/>
      <c r="T45" s="40">
        <v>472.5</v>
      </c>
      <c r="U45" s="88" t="str">
        <f>"303,2033"</f>
        <v>303,2033</v>
      </c>
      <c r="V45" s="88" t="s">
        <v>130</v>
      </c>
    </row>
    <row r="46" spans="1:22" ht="12.75">
      <c r="A46" s="50">
        <v>1</v>
      </c>
      <c r="B46" s="88" t="s">
        <v>333</v>
      </c>
      <c r="C46" s="88" t="s">
        <v>550</v>
      </c>
      <c r="D46" s="88" t="s">
        <v>335</v>
      </c>
      <c r="E46" s="88" t="str">
        <f>"0,6398"</f>
        <v>0,6398</v>
      </c>
      <c r="F46" s="88" t="s">
        <v>29</v>
      </c>
      <c r="G46" s="88" t="s">
        <v>1000</v>
      </c>
      <c r="H46" s="22" t="s">
        <v>78</v>
      </c>
      <c r="I46" s="69"/>
      <c r="J46" s="69"/>
      <c r="K46" s="69"/>
      <c r="L46" s="22" t="s">
        <v>23</v>
      </c>
      <c r="M46" s="69"/>
      <c r="N46" s="69"/>
      <c r="O46" s="69"/>
      <c r="P46" s="22" t="s">
        <v>424</v>
      </c>
      <c r="Q46" s="69"/>
      <c r="R46" s="69"/>
      <c r="S46" s="69"/>
      <c r="T46" s="40">
        <v>580</v>
      </c>
      <c r="U46" s="88" t="str">
        <f>"376,2792"</f>
        <v>376,2792</v>
      </c>
      <c r="V46" s="88" t="s">
        <v>130</v>
      </c>
    </row>
    <row r="47" spans="1:22" ht="12.75">
      <c r="A47" s="49">
        <v>0</v>
      </c>
      <c r="B47" s="87" t="s">
        <v>333</v>
      </c>
      <c r="C47" s="87" t="s">
        <v>550</v>
      </c>
      <c r="D47" s="87" t="s">
        <v>335</v>
      </c>
      <c r="E47" s="87" t="str">
        <f>"0,6398"</f>
        <v>0,6398</v>
      </c>
      <c r="F47" s="87" t="s">
        <v>29</v>
      </c>
      <c r="G47" s="87" t="s">
        <v>1000</v>
      </c>
      <c r="H47" s="70" t="s">
        <v>77</v>
      </c>
      <c r="I47" s="71"/>
      <c r="J47" s="71"/>
      <c r="K47" s="71"/>
      <c r="L47" s="70" t="s">
        <v>266</v>
      </c>
      <c r="M47" s="71"/>
      <c r="N47" s="71"/>
      <c r="O47" s="71"/>
      <c r="P47" s="70" t="s">
        <v>78</v>
      </c>
      <c r="Q47" s="71"/>
      <c r="R47" s="71"/>
      <c r="S47" s="71"/>
      <c r="T47" s="39">
        <v>0</v>
      </c>
      <c r="U47" s="87" t="str">
        <f>"0,0000"</f>
        <v>0,0000</v>
      </c>
      <c r="V47" s="87" t="s">
        <v>130</v>
      </c>
    </row>
    <row r="49" spans="2:21" ht="15.75">
      <c r="B49" s="118" t="s">
        <v>72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</row>
    <row r="50" spans="1:22" ht="12.75">
      <c r="A50" s="47">
        <v>1</v>
      </c>
      <c r="B50" s="35" t="s">
        <v>551</v>
      </c>
      <c r="C50" s="35" t="s">
        <v>552</v>
      </c>
      <c r="D50" s="35" t="s">
        <v>553</v>
      </c>
      <c r="E50" s="35" t="str">
        <f>"0,6129"</f>
        <v>0,6129</v>
      </c>
      <c r="F50" s="35" t="s">
        <v>29</v>
      </c>
      <c r="G50" s="35" t="s">
        <v>1000</v>
      </c>
      <c r="H50" s="20" t="s">
        <v>23</v>
      </c>
      <c r="I50" s="20" t="s">
        <v>25</v>
      </c>
      <c r="J50" s="20" t="s">
        <v>64</v>
      </c>
      <c r="K50" s="72"/>
      <c r="L50" s="20" t="s">
        <v>36</v>
      </c>
      <c r="M50" s="20" t="s">
        <v>266</v>
      </c>
      <c r="N50" s="20" t="s">
        <v>23</v>
      </c>
      <c r="O50" s="72"/>
      <c r="P50" s="20" t="s">
        <v>78</v>
      </c>
      <c r="Q50" s="20" t="s">
        <v>395</v>
      </c>
      <c r="R50" s="20" t="s">
        <v>424</v>
      </c>
      <c r="S50" s="72"/>
      <c r="T50" s="34">
        <v>557.5</v>
      </c>
      <c r="U50" s="35" t="str">
        <f>"341,6918"</f>
        <v>341,6918</v>
      </c>
      <c r="V50" s="35" t="s">
        <v>130</v>
      </c>
    </row>
    <row r="52" spans="2:21" ht="15.75">
      <c r="B52" s="118" t="s">
        <v>95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22" ht="12.75">
      <c r="A53" s="48">
        <v>1</v>
      </c>
      <c r="B53" s="86" t="s">
        <v>554</v>
      </c>
      <c r="C53" s="86" t="s">
        <v>555</v>
      </c>
      <c r="D53" s="86" t="s">
        <v>556</v>
      </c>
      <c r="E53" s="86" t="str">
        <f>"0,5941"</f>
        <v>0,5941</v>
      </c>
      <c r="F53" s="86" t="s">
        <v>14</v>
      </c>
      <c r="G53" s="86" t="s">
        <v>1001</v>
      </c>
      <c r="H53" s="21" t="s">
        <v>78</v>
      </c>
      <c r="I53" s="66" t="s">
        <v>394</v>
      </c>
      <c r="J53" s="66" t="s">
        <v>395</v>
      </c>
      <c r="K53" s="68"/>
      <c r="L53" s="21" t="s">
        <v>140</v>
      </c>
      <c r="M53" s="21" t="s">
        <v>23</v>
      </c>
      <c r="N53" s="74" t="s">
        <v>25</v>
      </c>
      <c r="O53" s="68"/>
      <c r="P53" s="21" t="s">
        <v>424</v>
      </c>
      <c r="Q53" s="21" t="s">
        <v>417</v>
      </c>
      <c r="R53" s="21" t="s">
        <v>425</v>
      </c>
      <c r="S53" s="68"/>
      <c r="T53" s="38">
        <v>610</v>
      </c>
      <c r="U53" s="86" t="str">
        <f>"362,4010"</f>
        <v>362,4010</v>
      </c>
      <c r="V53" s="86" t="s">
        <v>930</v>
      </c>
    </row>
    <row r="54" spans="1:22" ht="12.75">
      <c r="A54" s="49">
        <v>1</v>
      </c>
      <c r="B54" s="87" t="s">
        <v>557</v>
      </c>
      <c r="C54" s="87" t="s">
        <v>558</v>
      </c>
      <c r="D54" s="87" t="s">
        <v>559</v>
      </c>
      <c r="E54" s="87" t="str">
        <f>"0,6079"</f>
        <v>0,6079</v>
      </c>
      <c r="F54" s="87" t="s">
        <v>83</v>
      </c>
      <c r="G54" s="87" t="s">
        <v>1000</v>
      </c>
      <c r="H54" s="23" t="s">
        <v>25</v>
      </c>
      <c r="I54" s="70" t="s">
        <v>85</v>
      </c>
      <c r="J54" s="70" t="s">
        <v>85</v>
      </c>
      <c r="K54" s="71"/>
      <c r="L54" s="70" t="s">
        <v>48</v>
      </c>
      <c r="M54" s="23" t="s">
        <v>48</v>
      </c>
      <c r="N54" s="23" t="s">
        <v>35</v>
      </c>
      <c r="O54" s="71"/>
      <c r="P54" s="23" t="s">
        <v>24</v>
      </c>
      <c r="Q54" s="23" t="s">
        <v>55</v>
      </c>
      <c r="R54" s="71"/>
      <c r="S54" s="71"/>
      <c r="T54" s="39">
        <v>485</v>
      </c>
      <c r="U54" s="87" t="str">
        <f>"294,8315"</f>
        <v>294,8315</v>
      </c>
      <c r="V54" s="87" t="s">
        <v>931</v>
      </c>
    </row>
    <row r="56" spans="2:21" ht="15.75">
      <c r="B56" s="118" t="s">
        <v>141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</row>
    <row r="57" spans="1:22" ht="12.75">
      <c r="A57" s="47">
        <v>1</v>
      </c>
      <c r="B57" s="35" t="s">
        <v>560</v>
      </c>
      <c r="C57" s="35" t="s">
        <v>561</v>
      </c>
      <c r="D57" s="35" t="s">
        <v>562</v>
      </c>
      <c r="E57" s="35" t="str">
        <f>"0,5636"</f>
        <v>0,5636</v>
      </c>
      <c r="F57" s="35" t="s">
        <v>29</v>
      </c>
      <c r="G57" s="35" t="s">
        <v>1000</v>
      </c>
      <c r="H57" s="20" t="s">
        <v>563</v>
      </c>
      <c r="I57" s="20" t="s">
        <v>564</v>
      </c>
      <c r="J57" s="20" t="s">
        <v>565</v>
      </c>
      <c r="K57" s="72"/>
      <c r="L57" s="20" t="s">
        <v>85</v>
      </c>
      <c r="M57" s="65" t="s">
        <v>566</v>
      </c>
      <c r="N57" s="20" t="s">
        <v>566</v>
      </c>
      <c r="O57" s="72"/>
      <c r="P57" s="20" t="s">
        <v>567</v>
      </c>
      <c r="Q57" s="20" t="s">
        <v>568</v>
      </c>
      <c r="R57" s="20" t="s">
        <v>569</v>
      </c>
      <c r="S57" s="72"/>
      <c r="T57" s="34">
        <v>815</v>
      </c>
      <c r="U57" s="35" t="str">
        <f>"459,3340"</f>
        <v>459,3340</v>
      </c>
      <c r="V57" s="35" t="s">
        <v>130</v>
      </c>
    </row>
    <row r="59" ht="18">
      <c r="C59" s="89" t="s">
        <v>146</v>
      </c>
    </row>
    <row r="60" spans="2:3" ht="13.5">
      <c r="B60" s="90"/>
      <c r="C60" s="90" t="s">
        <v>147</v>
      </c>
    </row>
    <row r="61" spans="1:6" ht="13.5">
      <c r="A61" s="78" t="s">
        <v>873</v>
      </c>
      <c r="B61" s="16" t="s">
        <v>148</v>
      </c>
      <c r="C61" s="16" t="s">
        <v>149</v>
      </c>
      <c r="D61" s="16" t="s">
        <v>150</v>
      </c>
      <c r="E61" s="16" t="s">
        <v>151</v>
      </c>
      <c r="F61" s="16" t="s">
        <v>152</v>
      </c>
    </row>
    <row r="62" spans="1:6" ht="12.75">
      <c r="A62" s="79">
        <v>1</v>
      </c>
      <c r="B62" s="36" t="s">
        <v>560</v>
      </c>
      <c r="C62" s="36" t="s">
        <v>147</v>
      </c>
      <c r="D62" s="36" t="s">
        <v>164</v>
      </c>
      <c r="E62" s="36" t="s">
        <v>574</v>
      </c>
      <c r="F62" s="80" t="s">
        <v>575</v>
      </c>
    </row>
    <row r="63" spans="1:6" ht="12.75">
      <c r="A63" s="79">
        <v>2</v>
      </c>
      <c r="B63" s="36" t="s">
        <v>514</v>
      </c>
      <c r="C63" s="36" t="s">
        <v>147</v>
      </c>
      <c r="D63" s="36" t="s">
        <v>405</v>
      </c>
      <c r="E63" s="36" t="s">
        <v>576</v>
      </c>
      <c r="F63" s="80" t="s">
        <v>577</v>
      </c>
    </row>
    <row r="64" spans="1:6" ht="12.75">
      <c r="A64" s="79">
        <v>3</v>
      </c>
      <c r="B64" s="36" t="s">
        <v>521</v>
      </c>
      <c r="C64" s="36" t="s">
        <v>147</v>
      </c>
      <c r="D64" s="36" t="s">
        <v>163</v>
      </c>
      <c r="E64" s="36" t="s">
        <v>572</v>
      </c>
      <c r="F64" s="80" t="s">
        <v>573</v>
      </c>
    </row>
    <row r="65" ht="12.75">
      <c r="F65" s="80"/>
    </row>
    <row r="66" ht="12.75">
      <c r="F66" s="80"/>
    </row>
    <row r="67" ht="12.75">
      <c r="F67" s="80"/>
    </row>
    <row r="68" ht="12.75">
      <c r="F68" s="80"/>
    </row>
    <row r="69" ht="12.75">
      <c r="F69" s="80"/>
    </row>
    <row r="70" ht="12.75">
      <c r="F70" s="80"/>
    </row>
    <row r="71" ht="12.75">
      <c r="F71" s="80"/>
    </row>
  </sheetData>
  <sheetProtection/>
  <mergeCells count="25">
    <mergeCell ref="V3:V4"/>
    <mergeCell ref="A1:V2"/>
    <mergeCell ref="A3:A4"/>
    <mergeCell ref="B9:U9"/>
    <mergeCell ref="B13:U13"/>
    <mergeCell ref="B3:B4"/>
    <mergeCell ref="C3:C4"/>
    <mergeCell ref="D3:D4"/>
    <mergeCell ref="E3:E4"/>
    <mergeCell ref="F3:F4"/>
    <mergeCell ref="B5:U5"/>
    <mergeCell ref="L3:O3"/>
    <mergeCell ref="P3:S3"/>
    <mergeCell ref="B52:U52"/>
    <mergeCell ref="H3:K3"/>
    <mergeCell ref="T3:T4"/>
    <mergeCell ref="U3:U4"/>
    <mergeCell ref="G3:G4"/>
    <mergeCell ref="B56:U56"/>
    <mergeCell ref="B16:U16"/>
    <mergeCell ref="B23:U23"/>
    <mergeCell ref="B26:U26"/>
    <mergeCell ref="B31:U31"/>
    <mergeCell ref="B40:U40"/>
    <mergeCell ref="B49:U4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C3">
      <selection activeCell="P28" sqref="P28"/>
    </sheetView>
  </sheetViews>
  <sheetFormatPr defaultColWidth="9.125" defaultRowHeight="12.75"/>
  <cols>
    <col min="1" max="1" width="9.125" style="1" customWidth="1"/>
    <col min="2" max="2" width="28.25390625" style="46" bestFit="1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22.75390625" style="1" bestFit="1" customWidth="1"/>
    <col min="7" max="7" width="34.25390625" style="1" customWidth="1"/>
    <col min="8" max="8" width="6.625" style="1" bestFit="1" customWidth="1"/>
    <col min="9" max="10" width="5.625" style="1" bestFit="1" customWidth="1"/>
    <col min="11" max="11" width="4.625" style="1" bestFit="1" customWidth="1"/>
    <col min="12" max="12" width="11.625" style="41" customWidth="1"/>
    <col min="13" max="13" width="8.625" style="1" bestFit="1" customWidth="1"/>
    <col min="14" max="14" width="27.375" style="1" bestFit="1" customWidth="1"/>
    <col min="15" max="16384" width="9.125" style="1" customWidth="1"/>
  </cols>
  <sheetData>
    <row r="1" spans="1:14" ht="15" customHeight="1">
      <c r="A1" s="106" t="s">
        <v>979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ht="81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2</v>
      </c>
      <c r="I3" s="101"/>
      <c r="J3" s="101"/>
      <c r="K3" s="101"/>
      <c r="L3" s="115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16"/>
      <c r="M4" s="102"/>
      <c r="N4" s="104"/>
    </row>
    <row r="5" spans="2:13" ht="15.75">
      <c r="B5" s="126" t="s">
        <v>10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2" t="s">
        <v>877</v>
      </c>
      <c r="B6" s="91" t="s">
        <v>11</v>
      </c>
      <c r="C6" s="4" t="s">
        <v>12</v>
      </c>
      <c r="D6" s="4" t="s">
        <v>13</v>
      </c>
      <c r="E6" s="4" t="str">
        <f>"1,2088"</f>
        <v>1,2088</v>
      </c>
      <c r="F6" s="4" t="s">
        <v>14</v>
      </c>
      <c r="G6" s="4" t="s">
        <v>15</v>
      </c>
      <c r="H6" s="20" t="s">
        <v>16</v>
      </c>
      <c r="I6" s="20" t="s">
        <v>17</v>
      </c>
      <c r="J6" s="24" t="s">
        <v>18</v>
      </c>
      <c r="K6" s="5"/>
      <c r="L6" s="52" t="s">
        <v>885</v>
      </c>
      <c r="M6" s="4" t="str">
        <f>"45,3300"</f>
        <v>45,3300</v>
      </c>
      <c r="N6" s="4" t="s">
        <v>876</v>
      </c>
    </row>
    <row r="8" spans="2:13" ht="15.75">
      <c r="B8" s="125" t="s">
        <v>19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4" ht="12.75">
      <c r="A9" s="43" t="s">
        <v>877</v>
      </c>
      <c r="B9" s="92" t="s">
        <v>20</v>
      </c>
      <c r="C9" s="6" t="s">
        <v>21</v>
      </c>
      <c r="D9" s="6" t="s">
        <v>22</v>
      </c>
      <c r="E9" s="6" t="str">
        <f>"0,6734"</f>
        <v>0,6734</v>
      </c>
      <c r="F9" s="6" t="s">
        <v>14</v>
      </c>
      <c r="G9" s="6" t="s">
        <v>15</v>
      </c>
      <c r="H9" s="21" t="s">
        <v>23</v>
      </c>
      <c r="I9" s="21" t="s">
        <v>24</v>
      </c>
      <c r="J9" s="26" t="s">
        <v>25</v>
      </c>
      <c r="K9" s="7"/>
      <c r="L9" s="53" t="s">
        <v>886</v>
      </c>
      <c r="M9" s="6" t="str">
        <f>"111,1110"</f>
        <v>111,1110</v>
      </c>
      <c r="N9" s="6" t="s">
        <v>930</v>
      </c>
    </row>
    <row r="10" spans="1:14" ht="12.75">
      <c r="A10" s="45" t="s">
        <v>878</v>
      </c>
      <c r="B10" s="93" t="s">
        <v>26</v>
      </c>
      <c r="C10" s="8" t="s">
        <v>27</v>
      </c>
      <c r="D10" s="8" t="s">
        <v>28</v>
      </c>
      <c r="E10" s="8" t="str">
        <f>"0,6729"</f>
        <v>0,6729</v>
      </c>
      <c r="F10" s="8" t="s">
        <v>29</v>
      </c>
      <c r="G10" s="8" t="s">
        <v>1000</v>
      </c>
      <c r="H10" s="25" t="s">
        <v>31</v>
      </c>
      <c r="I10" s="22" t="s">
        <v>31</v>
      </c>
      <c r="J10" s="25" t="s">
        <v>24</v>
      </c>
      <c r="K10" s="9"/>
      <c r="L10" s="54" t="s">
        <v>887</v>
      </c>
      <c r="M10" s="8" t="str">
        <f>"105,9818"</f>
        <v>105,9818</v>
      </c>
      <c r="N10" s="8" t="s">
        <v>947</v>
      </c>
    </row>
    <row r="11" spans="1:14" ht="12.75">
      <c r="A11" s="45" t="s">
        <v>879</v>
      </c>
      <c r="B11" s="93" t="s">
        <v>32</v>
      </c>
      <c r="C11" s="8" t="s">
        <v>33</v>
      </c>
      <c r="D11" s="8" t="s">
        <v>34</v>
      </c>
      <c r="E11" s="8" t="str">
        <f>"0,6724"</f>
        <v>0,6724</v>
      </c>
      <c r="F11" s="8" t="s">
        <v>29</v>
      </c>
      <c r="G11" s="8" t="s">
        <v>1006</v>
      </c>
      <c r="H11" s="25" t="s">
        <v>35</v>
      </c>
      <c r="I11" s="22" t="s">
        <v>35</v>
      </c>
      <c r="J11" s="22" t="s">
        <v>36</v>
      </c>
      <c r="K11" s="9"/>
      <c r="L11" s="54" t="s">
        <v>888</v>
      </c>
      <c r="M11" s="8" t="str">
        <f>"97,4980"</f>
        <v>97,4980</v>
      </c>
      <c r="N11" s="8" t="s">
        <v>130</v>
      </c>
    </row>
    <row r="12" spans="1:14" ht="12.75">
      <c r="A12" s="45" t="s">
        <v>803</v>
      </c>
      <c r="B12" s="93" t="s">
        <v>37</v>
      </c>
      <c r="C12" s="8" t="s">
        <v>38</v>
      </c>
      <c r="D12" s="8" t="s">
        <v>39</v>
      </c>
      <c r="E12" s="8" t="str">
        <f>"0,6759"</f>
        <v>0,6759</v>
      </c>
      <c r="F12" s="8" t="s">
        <v>29</v>
      </c>
      <c r="G12" s="8" t="s">
        <v>1000</v>
      </c>
      <c r="H12" s="22" t="s">
        <v>40</v>
      </c>
      <c r="I12" s="22" t="s">
        <v>41</v>
      </c>
      <c r="J12" s="25" t="s">
        <v>36</v>
      </c>
      <c r="K12" s="9"/>
      <c r="L12" s="54" t="s">
        <v>889</v>
      </c>
      <c r="M12" s="8" t="str">
        <f>"96,3157"</f>
        <v>96,3157</v>
      </c>
      <c r="N12" s="8" t="s">
        <v>948</v>
      </c>
    </row>
    <row r="13" spans="1:14" ht="12.75">
      <c r="A13" s="44" t="s">
        <v>804</v>
      </c>
      <c r="B13" s="94" t="s">
        <v>42</v>
      </c>
      <c r="C13" s="10" t="s">
        <v>43</v>
      </c>
      <c r="D13" s="10" t="s">
        <v>44</v>
      </c>
      <c r="E13" s="10" t="str">
        <f>"0,6905"</f>
        <v>0,6905</v>
      </c>
      <c r="F13" s="10" t="s">
        <v>29</v>
      </c>
      <c r="G13" s="10" t="s">
        <v>843</v>
      </c>
      <c r="H13" s="23" t="s">
        <v>46</v>
      </c>
      <c r="I13" s="23" t="s">
        <v>47</v>
      </c>
      <c r="J13" s="27" t="s">
        <v>48</v>
      </c>
      <c r="K13" s="11"/>
      <c r="L13" s="55" t="s">
        <v>890</v>
      </c>
      <c r="M13" s="10" t="str">
        <f>"88,0388"</f>
        <v>88,0388</v>
      </c>
      <c r="N13" s="10" t="s">
        <v>130</v>
      </c>
    </row>
    <row r="15" spans="2:13" ht="15.75">
      <c r="B15" s="125" t="s">
        <v>49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4" ht="12.75">
      <c r="A16" s="43" t="s">
        <v>877</v>
      </c>
      <c r="B16" s="92" t="s">
        <v>50</v>
      </c>
      <c r="C16" s="6" t="s">
        <v>51</v>
      </c>
      <c r="D16" s="6" t="s">
        <v>52</v>
      </c>
      <c r="E16" s="6" t="str">
        <f>"0,6483"</f>
        <v>0,6483</v>
      </c>
      <c r="F16" s="6" t="s">
        <v>29</v>
      </c>
      <c r="G16" s="6" t="s">
        <v>53</v>
      </c>
      <c r="H16" s="21" t="s">
        <v>24</v>
      </c>
      <c r="I16" s="21" t="s">
        <v>54</v>
      </c>
      <c r="J16" s="26" t="s">
        <v>55</v>
      </c>
      <c r="K16" s="7"/>
      <c r="L16" s="53" t="s">
        <v>891</v>
      </c>
      <c r="M16" s="6" t="str">
        <f>"111,8317"</f>
        <v>111,8317</v>
      </c>
      <c r="N16" s="6" t="s">
        <v>1029</v>
      </c>
    </row>
    <row r="17" spans="1:14" ht="12.75">
      <c r="A17" s="45" t="s">
        <v>878</v>
      </c>
      <c r="B17" s="93" t="s">
        <v>57</v>
      </c>
      <c r="C17" s="8" t="s">
        <v>58</v>
      </c>
      <c r="D17" s="8" t="s">
        <v>59</v>
      </c>
      <c r="E17" s="8" t="str">
        <f>"0,6395"</f>
        <v>0,6395</v>
      </c>
      <c r="F17" s="8" t="s">
        <v>1015</v>
      </c>
      <c r="G17" s="8" t="s">
        <v>60</v>
      </c>
      <c r="H17" s="22" t="s">
        <v>23</v>
      </c>
      <c r="I17" s="25" t="s">
        <v>25</v>
      </c>
      <c r="J17" s="25" t="s">
        <v>55</v>
      </c>
      <c r="K17" s="9"/>
      <c r="L17" s="54" t="s">
        <v>892</v>
      </c>
      <c r="M17" s="8" t="str">
        <f>"102,3200"</f>
        <v>102,3200</v>
      </c>
      <c r="N17" s="8" t="s">
        <v>130</v>
      </c>
    </row>
    <row r="18" spans="1:14" ht="12.75">
      <c r="A18" s="45" t="s">
        <v>877</v>
      </c>
      <c r="B18" s="93" t="s">
        <v>61</v>
      </c>
      <c r="C18" s="8" t="s">
        <v>62</v>
      </c>
      <c r="D18" s="8" t="s">
        <v>63</v>
      </c>
      <c r="E18" s="8" t="str">
        <f>"0,6384"</f>
        <v>0,6384</v>
      </c>
      <c r="F18" s="8" t="s">
        <v>29</v>
      </c>
      <c r="G18" s="8" t="s">
        <v>1000</v>
      </c>
      <c r="H18" s="25" t="s">
        <v>25</v>
      </c>
      <c r="I18" s="22" t="s">
        <v>55</v>
      </c>
      <c r="J18" s="22" t="s">
        <v>64</v>
      </c>
      <c r="K18" s="9"/>
      <c r="L18" s="54" t="s">
        <v>893</v>
      </c>
      <c r="M18" s="8" t="str">
        <f>"113,3160"</f>
        <v>113,3160</v>
      </c>
      <c r="N18" s="8" t="s">
        <v>130</v>
      </c>
    </row>
    <row r="19" spans="1:14" ht="12.75">
      <c r="A19" s="45" t="s">
        <v>878</v>
      </c>
      <c r="B19" s="93" t="s">
        <v>65</v>
      </c>
      <c r="C19" s="8" t="s">
        <v>66</v>
      </c>
      <c r="D19" s="8" t="s">
        <v>67</v>
      </c>
      <c r="E19" s="8" t="str">
        <f>"0,6475"</f>
        <v>0,6475</v>
      </c>
      <c r="F19" s="8" t="s">
        <v>68</v>
      </c>
      <c r="G19" s="8" t="s">
        <v>1000</v>
      </c>
      <c r="H19" s="25" t="s">
        <v>55</v>
      </c>
      <c r="I19" s="22" t="s">
        <v>55</v>
      </c>
      <c r="J19" s="25" t="s">
        <v>69</v>
      </c>
      <c r="K19" s="9"/>
      <c r="L19" s="54" t="s">
        <v>894</v>
      </c>
      <c r="M19" s="8" t="str">
        <f>"113,3125"</f>
        <v>113,3125</v>
      </c>
      <c r="N19" s="8" t="s">
        <v>130</v>
      </c>
    </row>
    <row r="20" spans="1:14" ht="12.75">
      <c r="A20" s="44" t="s">
        <v>879</v>
      </c>
      <c r="B20" s="94" t="s">
        <v>70</v>
      </c>
      <c r="C20" s="10" t="s">
        <v>71</v>
      </c>
      <c r="D20" s="10" t="s">
        <v>59</v>
      </c>
      <c r="E20" s="10" t="str">
        <f>"0,6395"</f>
        <v>0,6395</v>
      </c>
      <c r="F20" s="10" t="s">
        <v>1017</v>
      </c>
      <c r="G20" s="10" t="s">
        <v>1007</v>
      </c>
      <c r="H20" s="23" t="s">
        <v>23</v>
      </c>
      <c r="I20" s="23" t="s">
        <v>25</v>
      </c>
      <c r="J20" s="27" t="s">
        <v>55</v>
      </c>
      <c r="K20" s="11"/>
      <c r="L20" s="55" t="s">
        <v>895</v>
      </c>
      <c r="M20" s="10" t="str">
        <f>"108,7150"</f>
        <v>108,7150</v>
      </c>
      <c r="N20" s="10" t="s">
        <v>130</v>
      </c>
    </row>
    <row r="22" spans="2:13" ht="15.75">
      <c r="B22" s="125" t="s">
        <v>72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4" ht="12.75">
      <c r="A23" s="43" t="s">
        <v>877</v>
      </c>
      <c r="B23" s="92" t="s">
        <v>73</v>
      </c>
      <c r="C23" s="6" t="s">
        <v>74</v>
      </c>
      <c r="D23" s="6" t="s">
        <v>75</v>
      </c>
      <c r="E23" s="6" t="str">
        <f>"0,6096"</f>
        <v>0,6096</v>
      </c>
      <c r="F23" s="6" t="s">
        <v>76</v>
      </c>
      <c r="G23" s="6" t="s">
        <v>1000</v>
      </c>
      <c r="H23" s="21" t="s">
        <v>77</v>
      </c>
      <c r="I23" s="21" t="s">
        <v>78</v>
      </c>
      <c r="J23" s="21" t="s">
        <v>79</v>
      </c>
      <c r="K23" s="7"/>
      <c r="L23" s="53" t="s">
        <v>896</v>
      </c>
      <c r="M23" s="6" t="str">
        <f>"124,9680"</f>
        <v>124,9680</v>
      </c>
      <c r="N23" s="6" t="s">
        <v>130</v>
      </c>
    </row>
    <row r="24" spans="1:14" ht="12.75">
      <c r="A24" s="45" t="s">
        <v>878</v>
      </c>
      <c r="B24" s="93" t="s">
        <v>80</v>
      </c>
      <c r="C24" s="8" t="s">
        <v>81</v>
      </c>
      <c r="D24" s="8" t="s">
        <v>82</v>
      </c>
      <c r="E24" s="8" t="str">
        <f>"0,6238"</f>
        <v>0,6238</v>
      </c>
      <c r="F24" s="8" t="s">
        <v>83</v>
      </c>
      <c r="G24" s="8" t="s">
        <v>1000</v>
      </c>
      <c r="H24" s="22" t="s">
        <v>85</v>
      </c>
      <c r="I24" s="25" t="s">
        <v>86</v>
      </c>
      <c r="J24" s="9"/>
      <c r="K24" s="9"/>
      <c r="L24" s="54" t="s">
        <v>897</v>
      </c>
      <c r="M24" s="8" t="str">
        <f>"118,5220"</f>
        <v>118,5220</v>
      </c>
      <c r="N24" s="8" t="s">
        <v>130</v>
      </c>
    </row>
    <row r="25" spans="1:14" ht="12.75">
      <c r="A25" s="45" t="s">
        <v>879</v>
      </c>
      <c r="B25" s="93" t="s">
        <v>87</v>
      </c>
      <c r="C25" s="8" t="s">
        <v>88</v>
      </c>
      <c r="D25" s="8" t="s">
        <v>89</v>
      </c>
      <c r="E25" s="8" t="str">
        <f>"0,6172"</f>
        <v>0,6172</v>
      </c>
      <c r="F25" s="8" t="s">
        <v>14</v>
      </c>
      <c r="G25" s="8" t="s">
        <v>15</v>
      </c>
      <c r="H25" s="22" t="s">
        <v>55</v>
      </c>
      <c r="I25" s="9"/>
      <c r="J25" s="9"/>
      <c r="K25" s="9"/>
      <c r="L25" s="54" t="s">
        <v>894</v>
      </c>
      <c r="M25" s="8" t="str">
        <f>"108,0100"</f>
        <v>108,0100</v>
      </c>
      <c r="N25" s="8" t="s">
        <v>130</v>
      </c>
    </row>
    <row r="26" spans="1:14" ht="12.75">
      <c r="A26" s="45" t="s">
        <v>803</v>
      </c>
      <c r="B26" s="93" t="s">
        <v>90</v>
      </c>
      <c r="C26" s="8" t="s">
        <v>91</v>
      </c>
      <c r="D26" s="8" t="s">
        <v>92</v>
      </c>
      <c r="E26" s="8" t="str">
        <f>"0,6134"</f>
        <v>0,6134</v>
      </c>
      <c r="F26" s="8" t="s">
        <v>29</v>
      </c>
      <c r="G26" s="8" t="s">
        <v>1000</v>
      </c>
      <c r="H26" s="22" t="s">
        <v>25</v>
      </c>
      <c r="I26" s="25" t="s">
        <v>93</v>
      </c>
      <c r="J26" s="25" t="s">
        <v>93</v>
      </c>
      <c r="K26" s="9"/>
      <c r="L26" s="54" t="s">
        <v>895</v>
      </c>
      <c r="M26" s="8" t="str">
        <f>"104,2780"</f>
        <v>104,2780</v>
      </c>
      <c r="N26" s="8" t="s">
        <v>130</v>
      </c>
    </row>
    <row r="27" spans="1:14" ht="12.75">
      <c r="A27" s="45" t="s">
        <v>877</v>
      </c>
      <c r="B27" s="93" t="s">
        <v>80</v>
      </c>
      <c r="C27" s="8" t="s">
        <v>94</v>
      </c>
      <c r="D27" s="8" t="s">
        <v>82</v>
      </c>
      <c r="E27" s="8" t="str">
        <f>"0,6238"</f>
        <v>0,6238</v>
      </c>
      <c r="F27" s="8" t="s">
        <v>83</v>
      </c>
      <c r="G27" s="8" t="s">
        <v>1000</v>
      </c>
      <c r="H27" s="22" t="s">
        <v>85</v>
      </c>
      <c r="I27" s="9"/>
      <c r="J27" s="9"/>
      <c r="K27" s="9"/>
      <c r="L27" s="54" t="s">
        <v>897</v>
      </c>
      <c r="M27" s="8" t="str">
        <f>"119,1146"</f>
        <v>119,1146</v>
      </c>
      <c r="N27" s="8" t="s">
        <v>130</v>
      </c>
    </row>
    <row r="28" spans="1:14" ht="12.75">
      <c r="A28" s="44" t="s">
        <v>880</v>
      </c>
      <c r="B28" s="94" t="s">
        <v>80</v>
      </c>
      <c r="C28" s="10" t="s">
        <v>94</v>
      </c>
      <c r="D28" s="10" t="s">
        <v>82</v>
      </c>
      <c r="E28" s="10" t="str">
        <f>"0,6238"</f>
        <v>0,6238</v>
      </c>
      <c r="F28" s="10" t="s">
        <v>83</v>
      </c>
      <c r="G28" s="10" t="s">
        <v>1000</v>
      </c>
      <c r="H28" s="27" t="s">
        <v>85</v>
      </c>
      <c r="I28" s="11"/>
      <c r="J28" s="11"/>
      <c r="K28" s="11"/>
      <c r="L28" s="55" t="s">
        <v>898</v>
      </c>
      <c r="M28" s="10" t="str">
        <f>"0,0000"</f>
        <v>0,0000</v>
      </c>
      <c r="N28" s="10" t="s">
        <v>130</v>
      </c>
    </row>
    <row r="30" spans="2:13" ht="15.75">
      <c r="B30" s="125" t="s">
        <v>95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</row>
    <row r="31" spans="1:14" ht="12.75">
      <c r="A31" s="43" t="s">
        <v>877</v>
      </c>
      <c r="B31" s="92" t="s">
        <v>96</v>
      </c>
      <c r="C31" s="6" t="s">
        <v>97</v>
      </c>
      <c r="D31" s="6" t="s">
        <v>98</v>
      </c>
      <c r="E31" s="6" t="str">
        <f>"0,5916"</f>
        <v>0,5916</v>
      </c>
      <c r="F31" s="6" t="s">
        <v>29</v>
      </c>
      <c r="G31" s="6" t="s">
        <v>1000</v>
      </c>
      <c r="H31" s="21" t="s">
        <v>86</v>
      </c>
      <c r="I31" s="21" t="s">
        <v>78</v>
      </c>
      <c r="J31" s="26" t="s">
        <v>99</v>
      </c>
      <c r="K31" s="7"/>
      <c r="L31" s="53" t="s">
        <v>899</v>
      </c>
      <c r="M31" s="6" t="str">
        <f>"118,3200"</f>
        <v>118,3200</v>
      </c>
      <c r="N31" s="6" t="s">
        <v>130</v>
      </c>
    </row>
    <row r="32" spans="1:14" ht="12.75">
      <c r="A32" s="45" t="s">
        <v>878</v>
      </c>
      <c r="B32" s="93" t="s">
        <v>100</v>
      </c>
      <c r="C32" s="8" t="s">
        <v>101</v>
      </c>
      <c r="D32" s="8" t="s">
        <v>102</v>
      </c>
      <c r="E32" s="8" t="str">
        <f>"0,5935"</f>
        <v>0,5935</v>
      </c>
      <c r="F32" s="8" t="s">
        <v>68</v>
      </c>
      <c r="G32" s="8" t="s">
        <v>1000</v>
      </c>
      <c r="H32" s="22" t="s">
        <v>77</v>
      </c>
      <c r="I32" s="25" t="s">
        <v>99</v>
      </c>
      <c r="J32" s="25" t="s">
        <v>99</v>
      </c>
      <c r="K32" s="9"/>
      <c r="L32" s="54" t="s">
        <v>900</v>
      </c>
      <c r="M32" s="8" t="str">
        <f>"115,7325"</f>
        <v>115,7325</v>
      </c>
      <c r="N32" s="8" t="s">
        <v>1030</v>
      </c>
    </row>
    <row r="33" spans="1:14" ht="12.75">
      <c r="A33" s="45" t="s">
        <v>879</v>
      </c>
      <c r="B33" s="93" t="s">
        <v>103</v>
      </c>
      <c r="C33" s="8" t="s">
        <v>104</v>
      </c>
      <c r="D33" s="8" t="s">
        <v>105</v>
      </c>
      <c r="E33" s="8" t="str">
        <f>"0,6046"</f>
        <v>0,6046</v>
      </c>
      <c r="F33" s="8" t="s">
        <v>106</v>
      </c>
      <c r="G33" s="8" t="s">
        <v>1000</v>
      </c>
      <c r="H33" s="22" t="s">
        <v>69</v>
      </c>
      <c r="I33" s="22" t="s">
        <v>85</v>
      </c>
      <c r="J33" s="25" t="s">
        <v>77</v>
      </c>
      <c r="K33" s="9"/>
      <c r="L33" s="54" t="s">
        <v>897</v>
      </c>
      <c r="M33" s="8" t="str">
        <f>"114,8740"</f>
        <v>114,8740</v>
      </c>
      <c r="N33" s="8" t="s">
        <v>130</v>
      </c>
    </row>
    <row r="34" spans="1:14" ht="12.75">
      <c r="A34" s="45" t="s">
        <v>803</v>
      </c>
      <c r="B34" s="93" t="s">
        <v>107</v>
      </c>
      <c r="C34" s="8" t="s">
        <v>108</v>
      </c>
      <c r="D34" s="8" t="s">
        <v>109</v>
      </c>
      <c r="E34" s="8" t="str">
        <f>"0,6021"</f>
        <v>0,6021</v>
      </c>
      <c r="F34" s="8" t="s">
        <v>29</v>
      </c>
      <c r="G34" s="8" t="s">
        <v>1000</v>
      </c>
      <c r="H34" s="22" t="s">
        <v>55</v>
      </c>
      <c r="I34" s="25" t="s">
        <v>93</v>
      </c>
      <c r="J34" s="25" t="s">
        <v>69</v>
      </c>
      <c r="K34" s="9"/>
      <c r="L34" s="54" t="s">
        <v>894</v>
      </c>
      <c r="M34" s="8" t="str">
        <f>"105,3675"</f>
        <v>105,3675</v>
      </c>
      <c r="N34" s="8" t="s">
        <v>1031</v>
      </c>
    </row>
    <row r="35" spans="1:14" ht="12.75">
      <c r="A35" s="45" t="s">
        <v>880</v>
      </c>
      <c r="B35" s="93" t="s">
        <v>110</v>
      </c>
      <c r="C35" s="8" t="s">
        <v>111</v>
      </c>
      <c r="D35" s="8" t="s">
        <v>112</v>
      </c>
      <c r="E35" s="8" t="str">
        <f>"0,5923"</f>
        <v>0,5923</v>
      </c>
      <c r="F35" s="8" t="s">
        <v>29</v>
      </c>
      <c r="G35" s="8" t="s">
        <v>1000</v>
      </c>
      <c r="H35" s="25" t="s">
        <v>113</v>
      </c>
      <c r="I35" s="25" t="s">
        <v>113</v>
      </c>
      <c r="J35" s="25" t="s">
        <v>69</v>
      </c>
      <c r="K35" s="9"/>
      <c r="L35" s="54" t="s">
        <v>898</v>
      </c>
      <c r="M35" s="8" t="str">
        <f>"0,0000"</f>
        <v>0,0000</v>
      </c>
      <c r="N35" s="8" t="s">
        <v>130</v>
      </c>
    </row>
    <row r="36" spans="1:14" ht="12.75">
      <c r="A36" s="45" t="s">
        <v>877</v>
      </c>
      <c r="B36" s="93" t="s">
        <v>114</v>
      </c>
      <c r="C36" s="8" t="s">
        <v>115</v>
      </c>
      <c r="D36" s="8" t="s">
        <v>98</v>
      </c>
      <c r="E36" s="8" t="str">
        <f>"0,5916"</f>
        <v>0,5916</v>
      </c>
      <c r="F36" s="8" t="s">
        <v>116</v>
      </c>
      <c r="G36" s="8" t="s">
        <v>1000</v>
      </c>
      <c r="H36" s="22" t="s">
        <v>25</v>
      </c>
      <c r="I36" s="22" t="s">
        <v>55</v>
      </c>
      <c r="J36" s="22" t="s">
        <v>93</v>
      </c>
      <c r="K36" s="9"/>
      <c r="L36" s="54" t="s">
        <v>901</v>
      </c>
      <c r="M36" s="8" t="str">
        <f>"107,9788"</f>
        <v>107,9788</v>
      </c>
      <c r="N36" s="8" t="s">
        <v>130</v>
      </c>
    </row>
    <row r="37" spans="1:14" ht="12.75">
      <c r="A37" s="45" t="s">
        <v>880</v>
      </c>
      <c r="B37" s="93" t="s">
        <v>117</v>
      </c>
      <c r="C37" s="8" t="s">
        <v>118</v>
      </c>
      <c r="D37" s="8" t="s">
        <v>119</v>
      </c>
      <c r="E37" s="8" t="str">
        <f>"0,5924"</f>
        <v>0,5924</v>
      </c>
      <c r="F37" s="8" t="s">
        <v>29</v>
      </c>
      <c r="G37" s="8" t="s">
        <v>1008</v>
      </c>
      <c r="H37" s="25" t="s">
        <v>84</v>
      </c>
      <c r="I37" s="9"/>
      <c r="J37" s="9"/>
      <c r="K37" s="9"/>
      <c r="L37" s="54" t="s">
        <v>898</v>
      </c>
      <c r="M37" s="8" t="str">
        <f>"0,0000"</f>
        <v>0,0000</v>
      </c>
      <c r="N37" s="8" t="s">
        <v>130</v>
      </c>
    </row>
    <row r="38" spans="1:14" ht="12.75">
      <c r="A38" s="44" t="s">
        <v>877</v>
      </c>
      <c r="B38" s="94" t="s">
        <v>120</v>
      </c>
      <c r="C38" s="10" t="s">
        <v>121</v>
      </c>
      <c r="D38" s="10" t="s">
        <v>122</v>
      </c>
      <c r="E38" s="10" t="str">
        <f>"0,5990"</f>
        <v>0,5990</v>
      </c>
      <c r="F38" s="10" t="s">
        <v>29</v>
      </c>
      <c r="G38" s="10" t="s">
        <v>1000</v>
      </c>
      <c r="H38" s="29" t="s">
        <v>266</v>
      </c>
      <c r="I38" s="23" t="s">
        <v>24</v>
      </c>
      <c r="J38" s="23" t="s">
        <v>25</v>
      </c>
      <c r="K38" s="11"/>
      <c r="L38" s="55" t="s">
        <v>895</v>
      </c>
      <c r="M38" s="10" t="str">
        <f>"132,0735"</f>
        <v>132,0735</v>
      </c>
      <c r="N38" s="10" t="s">
        <v>130</v>
      </c>
    </row>
    <row r="40" spans="2:13" ht="15.75">
      <c r="B40" s="125" t="s">
        <v>123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4" ht="12.75">
      <c r="A41" s="43" t="s">
        <v>877</v>
      </c>
      <c r="B41" s="92" t="s">
        <v>124</v>
      </c>
      <c r="C41" s="6" t="s">
        <v>125</v>
      </c>
      <c r="D41" s="6" t="s">
        <v>126</v>
      </c>
      <c r="E41" s="6" t="str">
        <f>"0,5732"</f>
        <v>0,5732</v>
      </c>
      <c r="F41" s="6" t="s">
        <v>29</v>
      </c>
      <c r="G41" s="6" t="s">
        <v>1000</v>
      </c>
      <c r="H41" s="21" t="s">
        <v>69</v>
      </c>
      <c r="I41" s="28" t="s">
        <v>86</v>
      </c>
      <c r="J41" s="21" t="s">
        <v>78</v>
      </c>
      <c r="K41" s="7"/>
      <c r="L41" s="53" t="s">
        <v>899</v>
      </c>
      <c r="M41" s="6" t="str">
        <f>"114,6400"</f>
        <v>114,6400</v>
      </c>
      <c r="N41" s="6" t="s">
        <v>1032</v>
      </c>
    </row>
    <row r="42" spans="1:14" ht="12.75">
      <c r="A42" s="45" t="s">
        <v>878</v>
      </c>
      <c r="B42" s="93" t="s">
        <v>127</v>
      </c>
      <c r="C42" s="8" t="s">
        <v>128</v>
      </c>
      <c r="D42" s="8" t="s">
        <v>129</v>
      </c>
      <c r="E42" s="8" t="str">
        <f>"0,5844"</f>
        <v>0,5844</v>
      </c>
      <c r="F42" s="8" t="s">
        <v>14</v>
      </c>
      <c r="G42" s="8" t="s">
        <v>15</v>
      </c>
      <c r="H42" s="22" t="s">
        <v>23</v>
      </c>
      <c r="I42" s="22" t="s">
        <v>55</v>
      </c>
      <c r="J42" s="25" t="s">
        <v>93</v>
      </c>
      <c r="K42" s="9"/>
      <c r="L42" s="54" t="s">
        <v>894</v>
      </c>
      <c r="M42" s="8" t="str">
        <f>"102,2700"</f>
        <v>102,2700</v>
      </c>
      <c r="N42" s="8" t="s">
        <v>130</v>
      </c>
    </row>
    <row r="43" spans="1:14" ht="12.75">
      <c r="A43" s="45" t="s">
        <v>879</v>
      </c>
      <c r="B43" s="93" t="s">
        <v>131</v>
      </c>
      <c r="C43" s="8" t="s">
        <v>132</v>
      </c>
      <c r="D43" s="8" t="s">
        <v>133</v>
      </c>
      <c r="E43" s="8" t="str">
        <f>"0,5872"</f>
        <v>0,5872</v>
      </c>
      <c r="F43" s="8" t="s">
        <v>29</v>
      </c>
      <c r="G43" s="8" t="s">
        <v>1006</v>
      </c>
      <c r="H43" s="22" t="s">
        <v>23</v>
      </c>
      <c r="I43" s="25" t="s">
        <v>25</v>
      </c>
      <c r="J43" s="22" t="s">
        <v>25</v>
      </c>
      <c r="K43" s="9"/>
      <c r="L43" s="54" t="s">
        <v>895</v>
      </c>
      <c r="M43" s="8" t="str">
        <f>"99,8240"</f>
        <v>99,8240</v>
      </c>
      <c r="N43" s="8" t="s">
        <v>130</v>
      </c>
    </row>
    <row r="44" spans="1:14" ht="12.75">
      <c r="A44" s="45" t="s">
        <v>803</v>
      </c>
      <c r="B44" s="93" t="s">
        <v>134</v>
      </c>
      <c r="C44" s="8" t="s">
        <v>135</v>
      </c>
      <c r="D44" s="8" t="s">
        <v>136</v>
      </c>
      <c r="E44" s="8" t="str">
        <f>"0,5826"</f>
        <v>0,5826</v>
      </c>
      <c r="F44" s="8" t="s">
        <v>29</v>
      </c>
      <c r="G44" s="8" t="s">
        <v>1000</v>
      </c>
      <c r="H44" s="22" t="s">
        <v>25</v>
      </c>
      <c r="I44" s="25" t="s">
        <v>64</v>
      </c>
      <c r="J44" s="25" t="s">
        <v>64</v>
      </c>
      <c r="K44" s="9"/>
      <c r="L44" s="54" t="s">
        <v>895</v>
      </c>
      <c r="M44" s="8" t="str">
        <f>"99,0420"</f>
        <v>99,0420</v>
      </c>
      <c r="N44" s="8" t="s">
        <v>130</v>
      </c>
    </row>
    <row r="45" spans="1:14" ht="12.75">
      <c r="A45" s="44" t="s">
        <v>877</v>
      </c>
      <c r="B45" s="94" t="s">
        <v>137</v>
      </c>
      <c r="C45" s="10" t="s">
        <v>138</v>
      </c>
      <c r="D45" s="10" t="s">
        <v>139</v>
      </c>
      <c r="E45" s="10" t="str">
        <f>"0,5722"</f>
        <v>0,5722</v>
      </c>
      <c r="F45" s="10" t="s">
        <v>29</v>
      </c>
      <c r="G45" s="10" t="s">
        <v>1000</v>
      </c>
      <c r="H45" s="23" t="s">
        <v>35</v>
      </c>
      <c r="I45" s="23" t="s">
        <v>140</v>
      </c>
      <c r="J45" s="23" t="s">
        <v>23</v>
      </c>
      <c r="K45" s="11"/>
      <c r="L45" s="55" t="s">
        <v>892</v>
      </c>
      <c r="M45" s="10" t="str">
        <f>"92,0098"</f>
        <v>92,0098</v>
      </c>
      <c r="N45" s="10" t="s">
        <v>923</v>
      </c>
    </row>
    <row r="47" spans="2:13" ht="15.75">
      <c r="B47" s="125" t="s">
        <v>141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14" ht="12.75">
      <c r="A48" s="43" t="s">
        <v>877</v>
      </c>
      <c r="B48" s="92" t="s">
        <v>142</v>
      </c>
      <c r="C48" s="6" t="s">
        <v>143</v>
      </c>
      <c r="D48" s="6" t="s">
        <v>144</v>
      </c>
      <c r="E48" s="6" t="str">
        <f>"0,5688"</f>
        <v>0,5688</v>
      </c>
      <c r="F48" s="6" t="s">
        <v>29</v>
      </c>
      <c r="G48" s="6" t="s">
        <v>1009</v>
      </c>
      <c r="H48" s="21" t="s">
        <v>113</v>
      </c>
      <c r="I48" s="21" t="s">
        <v>86</v>
      </c>
      <c r="J48" s="26" t="s">
        <v>78</v>
      </c>
      <c r="K48" s="7"/>
      <c r="L48" s="53" t="s">
        <v>902</v>
      </c>
      <c r="M48" s="6" t="str">
        <f>"109,4940"</f>
        <v>109,4940</v>
      </c>
      <c r="N48" s="6" t="s">
        <v>130</v>
      </c>
    </row>
    <row r="49" spans="1:14" ht="12.75">
      <c r="A49" s="44" t="s">
        <v>880</v>
      </c>
      <c r="B49" s="94" t="s">
        <v>37</v>
      </c>
      <c r="C49" s="10" t="s">
        <v>38</v>
      </c>
      <c r="D49" s="10" t="s">
        <v>145</v>
      </c>
      <c r="E49" s="10" t="str">
        <f>"0,5620"</f>
        <v>0,5620</v>
      </c>
      <c r="F49" s="10" t="s">
        <v>29</v>
      </c>
      <c r="G49" s="10" t="s">
        <v>1000</v>
      </c>
      <c r="H49" s="27" t="s">
        <v>84</v>
      </c>
      <c r="I49" s="11"/>
      <c r="J49" s="11"/>
      <c r="K49" s="11"/>
      <c r="L49" s="55" t="s">
        <v>898</v>
      </c>
      <c r="M49" s="10" t="str">
        <f>"0,0000"</f>
        <v>0,0000</v>
      </c>
      <c r="N49" s="10" t="s">
        <v>948</v>
      </c>
    </row>
    <row r="50" ht="15" customHeight="1"/>
    <row r="51" spans="2:3" ht="18">
      <c r="B51" s="95" t="s">
        <v>146</v>
      </c>
      <c r="C51" s="12"/>
    </row>
    <row r="52" spans="2:3" ht="15" customHeight="1">
      <c r="B52" s="19" t="s">
        <v>153</v>
      </c>
      <c r="C52" s="13"/>
    </row>
    <row r="53" spans="2:3" ht="13.5">
      <c r="B53" s="96"/>
      <c r="C53" s="14" t="s">
        <v>147</v>
      </c>
    </row>
    <row r="54" spans="1:6" ht="13.5">
      <c r="A54" s="83" t="s">
        <v>873</v>
      </c>
      <c r="B54" s="15" t="s">
        <v>148</v>
      </c>
      <c r="C54" s="15" t="s">
        <v>149</v>
      </c>
      <c r="D54" s="15" t="s">
        <v>150</v>
      </c>
      <c r="E54" s="15" t="s">
        <v>151</v>
      </c>
      <c r="F54" s="15" t="s">
        <v>152</v>
      </c>
    </row>
    <row r="55" spans="1:6" ht="12.75">
      <c r="A55" s="46" t="s">
        <v>877</v>
      </c>
      <c r="B55" s="46" t="s">
        <v>73</v>
      </c>
      <c r="C55" s="1" t="s">
        <v>147</v>
      </c>
      <c r="D55" s="1" t="s">
        <v>157</v>
      </c>
      <c r="E55" s="1" t="s">
        <v>79</v>
      </c>
      <c r="F55" s="46" t="s">
        <v>158</v>
      </c>
    </row>
    <row r="56" spans="1:6" ht="12.75">
      <c r="A56" s="46" t="s">
        <v>878</v>
      </c>
      <c r="B56" s="46" t="s">
        <v>80</v>
      </c>
      <c r="C56" s="1" t="s">
        <v>147</v>
      </c>
      <c r="D56" s="1" t="s">
        <v>157</v>
      </c>
      <c r="E56" s="1" t="s">
        <v>85</v>
      </c>
      <c r="F56" s="46" t="s">
        <v>159</v>
      </c>
    </row>
    <row r="57" spans="1:6" ht="12.75">
      <c r="A57" s="46" t="s">
        <v>879</v>
      </c>
      <c r="B57" s="46" t="s">
        <v>96</v>
      </c>
      <c r="C57" s="1" t="s">
        <v>147</v>
      </c>
      <c r="D57" s="1" t="s">
        <v>160</v>
      </c>
      <c r="E57" s="1" t="s">
        <v>78</v>
      </c>
      <c r="F57" s="46" t="s">
        <v>161</v>
      </c>
    </row>
    <row r="58" ht="12.75">
      <c r="F58" s="46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  <row r="69" ht="12.75">
      <c r="F69" s="46"/>
    </row>
    <row r="70" ht="12.75">
      <c r="F70" s="46"/>
    </row>
    <row r="71" ht="12.75">
      <c r="F71" s="46"/>
    </row>
    <row r="72" ht="12.75">
      <c r="F72" s="46"/>
    </row>
    <row r="73" ht="12.75">
      <c r="F73" s="46"/>
    </row>
    <row r="74" ht="12.75">
      <c r="F74" s="46"/>
    </row>
    <row r="75" ht="12.75">
      <c r="F75" s="46"/>
    </row>
  </sheetData>
  <sheetProtection/>
  <mergeCells count="19">
    <mergeCell ref="B5:M5"/>
    <mergeCell ref="H3:K3"/>
    <mergeCell ref="B3:B4"/>
    <mergeCell ref="C3:C4"/>
    <mergeCell ref="D3:D4"/>
    <mergeCell ref="A1:N2"/>
    <mergeCell ref="A3:A4"/>
    <mergeCell ref="E3:E4"/>
    <mergeCell ref="L3:L4"/>
    <mergeCell ref="M3:M4"/>
    <mergeCell ref="N3:N4"/>
    <mergeCell ref="G3:G4"/>
    <mergeCell ref="F3:F4"/>
    <mergeCell ref="B8:M8"/>
    <mergeCell ref="B15:M15"/>
    <mergeCell ref="B22:M22"/>
    <mergeCell ref="B30:M30"/>
    <mergeCell ref="B40:M40"/>
    <mergeCell ref="B47:M4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C50">
      <selection activeCell="P70" sqref="P70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7.12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4.375" style="36" customWidth="1"/>
    <col min="8" max="10" width="5.625" style="36" bestFit="1" customWidth="1"/>
    <col min="11" max="11" width="4.625" style="36" bestFit="1" customWidth="1"/>
    <col min="12" max="12" width="12.25390625" style="37" customWidth="1"/>
    <col min="13" max="13" width="8.625" style="36" bestFit="1" customWidth="1"/>
    <col min="14" max="14" width="31.125" style="36" bestFit="1" customWidth="1"/>
  </cols>
  <sheetData>
    <row r="1" spans="1:14" s="1" customFormat="1" ht="15" customHeight="1">
      <c r="A1" s="106" t="s">
        <v>980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84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2</v>
      </c>
      <c r="I3" s="101"/>
      <c r="J3" s="101"/>
      <c r="K3" s="101"/>
      <c r="L3" s="115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16"/>
      <c r="M4" s="102"/>
      <c r="N4" s="104"/>
    </row>
    <row r="5" spans="2:13" ht="15.75">
      <c r="B5" s="105" t="s">
        <v>165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8">
        <v>1</v>
      </c>
      <c r="B6" s="86" t="s">
        <v>166</v>
      </c>
      <c r="C6" s="86" t="s">
        <v>167</v>
      </c>
      <c r="D6" s="86" t="s">
        <v>168</v>
      </c>
      <c r="E6" s="86" t="str">
        <f>"1,3346"</f>
        <v>1,3346</v>
      </c>
      <c r="F6" s="86" t="s">
        <v>29</v>
      </c>
      <c r="G6" s="86" t="s">
        <v>169</v>
      </c>
      <c r="H6" s="21" t="s">
        <v>170</v>
      </c>
      <c r="I6" s="21" t="s">
        <v>171</v>
      </c>
      <c r="J6" s="66" t="s">
        <v>172</v>
      </c>
      <c r="K6" s="68"/>
      <c r="L6" s="38">
        <v>52.5</v>
      </c>
      <c r="M6" s="86" t="str">
        <f>"70,0665"</f>
        <v>70,0665</v>
      </c>
      <c r="N6" s="86" t="s">
        <v>1033</v>
      </c>
    </row>
    <row r="7" spans="1:14" ht="12.75">
      <c r="A7" s="49">
        <v>1</v>
      </c>
      <c r="B7" s="87" t="s">
        <v>173</v>
      </c>
      <c r="C7" s="87" t="s">
        <v>174</v>
      </c>
      <c r="D7" s="87" t="s">
        <v>175</v>
      </c>
      <c r="E7" s="87" t="str">
        <f>"1,3285"</f>
        <v>1,3285</v>
      </c>
      <c r="F7" s="87" t="s">
        <v>116</v>
      </c>
      <c r="G7" s="87" t="s">
        <v>1000</v>
      </c>
      <c r="H7" s="23" t="s">
        <v>176</v>
      </c>
      <c r="I7" s="70" t="s">
        <v>170</v>
      </c>
      <c r="J7" s="23" t="s">
        <v>170</v>
      </c>
      <c r="K7" s="71"/>
      <c r="L7" s="39">
        <v>50</v>
      </c>
      <c r="M7" s="87" t="str">
        <f>"70,4105"</f>
        <v>70,4105</v>
      </c>
      <c r="N7" s="87" t="s">
        <v>876</v>
      </c>
    </row>
    <row r="9" spans="2:13" ht="15.75">
      <c r="B9" s="118" t="s">
        <v>177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4" ht="12.75">
      <c r="A10" s="48">
        <v>1</v>
      </c>
      <c r="B10" s="86" t="s">
        <v>178</v>
      </c>
      <c r="C10" s="86" t="s">
        <v>179</v>
      </c>
      <c r="D10" s="86" t="s">
        <v>180</v>
      </c>
      <c r="E10" s="86" t="str">
        <f>"1,2673"</f>
        <v>1,2673</v>
      </c>
      <c r="F10" s="86" t="s">
        <v>14</v>
      </c>
      <c r="G10" s="86" t="s">
        <v>15</v>
      </c>
      <c r="H10" s="21" t="s">
        <v>176</v>
      </c>
      <c r="I10" s="21" t="s">
        <v>170</v>
      </c>
      <c r="J10" s="21" t="s">
        <v>171</v>
      </c>
      <c r="K10" s="68"/>
      <c r="L10" s="38">
        <v>52.5</v>
      </c>
      <c r="M10" s="133" t="str">
        <f>"66,5333"</f>
        <v>66,5333</v>
      </c>
      <c r="N10" s="86" t="s">
        <v>938</v>
      </c>
    </row>
    <row r="11" spans="1:14" ht="12.75">
      <c r="A11" s="50">
        <v>2</v>
      </c>
      <c r="B11" s="88" t="s">
        <v>181</v>
      </c>
      <c r="C11" s="88" t="s">
        <v>182</v>
      </c>
      <c r="D11" s="88" t="s">
        <v>183</v>
      </c>
      <c r="E11" s="88" t="str">
        <f>"1,2635"</f>
        <v>1,2635</v>
      </c>
      <c r="F11" s="88" t="s">
        <v>184</v>
      </c>
      <c r="G11" s="88" t="s">
        <v>185</v>
      </c>
      <c r="H11" s="22" t="s">
        <v>186</v>
      </c>
      <c r="I11" s="22" t="s">
        <v>187</v>
      </c>
      <c r="J11" s="22" t="s">
        <v>16</v>
      </c>
      <c r="K11" s="69"/>
      <c r="L11" s="40">
        <v>35</v>
      </c>
      <c r="M11" s="137" t="str">
        <f>"44,2225"</f>
        <v>44,2225</v>
      </c>
      <c r="N11" s="88" t="s">
        <v>876</v>
      </c>
    </row>
    <row r="12" spans="1:14" ht="12.75">
      <c r="A12" s="50">
        <v>1</v>
      </c>
      <c r="B12" s="88" t="s">
        <v>188</v>
      </c>
      <c r="C12" s="88" t="s">
        <v>189</v>
      </c>
      <c r="D12" s="88" t="s">
        <v>190</v>
      </c>
      <c r="E12" s="88" t="str">
        <f>"1,2827"</f>
        <v>1,2827</v>
      </c>
      <c r="F12" s="88" t="s">
        <v>191</v>
      </c>
      <c r="G12" s="88" t="s">
        <v>1000</v>
      </c>
      <c r="H12" s="22" t="s">
        <v>192</v>
      </c>
      <c r="I12" s="22" t="s">
        <v>171</v>
      </c>
      <c r="J12" s="22" t="s">
        <v>172</v>
      </c>
      <c r="K12" s="69"/>
      <c r="L12" s="40">
        <v>55</v>
      </c>
      <c r="M12" s="137" t="str">
        <f>"70,5485"</f>
        <v>70,5485</v>
      </c>
      <c r="N12" s="88" t="s">
        <v>935</v>
      </c>
    </row>
    <row r="13" spans="1:14" ht="12.75">
      <c r="A13" s="50">
        <v>2</v>
      </c>
      <c r="B13" s="88" t="s">
        <v>193</v>
      </c>
      <c r="C13" s="88" t="s">
        <v>194</v>
      </c>
      <c r="D13" s="88" t="s">
        <v>195</v>
      </c>
      <c r="E13" s="88" t="str">
        <f>"1,2905"</f>
        <v>1,2905</v>
      </c>
      <c r="F13" s="88" t="s">
        <v>29</v>
      </c>
      <c r="G13" s="88" t="s">
        <v>1000</v>
      </c>
      <c r="H13" s="22" t="s">
        <v>170</v>
      </c>
      <c r="I13" s="67" t="s">
        <v>196</v>
      </c>
      <c r="J13" s="67" t="s">
        <v>196</v>
      </c>
      <c r="K13" s="69"/>
      <c r="L13" s="40">
        <v>50</v>
      </c>
      <c r="M13" s="137" t="str">
        <f>"64,5250"</f>
        <v>64,5250</v>
      </c>
      <c r="N13" s="88" t="s">
        <v>1034</v>
      </c>
    </row>
    <row r="14" spans="1:14" ht="12.75">
      <c r="A14" s="50">
        <v>1</v>
      </c>
      <c r="B14" s="88" t="s">
        <v>197</v>
      </c>
      <c r="C14" s="88" t="s">
        <v>198</v>
      </c>
      <c r="D14" s="88" t="s">
        <v>180</v>
      </c>
      <c r="E14" s="88" t="str">
        <f>"1,2673"</f>
        <v>1,2673</v>
      </c>
      <c r="F14" s="88" t="s">
        <v>29</v>
      </c>
      <c r="G14" s="88" t="s">
        <v>60</v>
      </c>
      <c r="H14" s="22" t="s">
        <v>172</v>
      </c>
      <c r="I14" s="67" t="s">
        <v>196</v>
      </c>
      <c r="J14" s="67" t="s">
        <v>196</v>
      </c>
      <c r="K14" s="69"/>
      <c r="L14" s="40">
        <v>55</v>
      </c>
      <c r="M14" s="137" t="str">
        <f>"69,7015"</f>
        <v>69,7015</v>
      </c>
      <c r="N14" s="88" t="s">
        <v>130</v>
      </c>
    </row>
    <row r="15" spans="1:14" ht="12.75">
      <c r="A15" s="49">
        <v>2</v>
      </c>
      <c r="B15" s="87" t="s">
        <v>199</v>
      </c>
      <c r="C15" s="87" t="s">
        <v>200</v>
      </c>
      <c r="D15" s="87" t="s">
        <v>201</v>
      </c>
      <c r="E15" s="87" t="str">
        <f>"1,2560"</f>
        <v>1,2560</v>
      </c>
      <c r="F15" s="87" t="s">
        <v>83</v>
      </c>
      <c r="G15" s="87" t="s">
        <v>1000</v>
      </c>
      <c r="H15" s="23" t="s">
        <v>176</v>
      </c>
      <c r="I15" s="70" t="s">
        <v>192</v>
      </c>
      <c r="J15" s="23" t="s">
        <v>170</v>
      </c>
      <c r="K15" s="71"/>
      <c r="L15" s="39">
        <v>50</v>
      </c>
      <c r="M15" s="134" t="str">
        <f>"62,8000"</f>
        <v>62,8000</v>
      </c>
      <c r="N15" s="87" t="s">
        <v>923</v>
      </c>
    </row>
    <row r="16" ht="12.75">
      <c r="H16" s="76"/>
    </row>
    <row r="17" spans="2:13" ht="15.75">
      <c r="B17" s="118" t="s">
        <v>10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4" ht="12.75">
      <c r="A18" s="47">
        <v>1</v>
      </c>
      <c r="B18" s="35" t="s">
        <v>202</v>
      </c>
      <c r="C18" s="35" t="s">
        <v>203</v>
      </c>
      <c r="D18" s="35" t="s">
        <v>204</v>
      </c>
      <c r="E18" s="35" t="str">
        <f>"1,2284"</f>
        <v>1,2284</v>
      </c>
      <c r="F18" s="35" t="s">
        <v>29</v>
      </c>
      <c r="G18" s="35" t="s">
        <v>185</v>
      </c>
      <c r="H18" s="20" t="s">
        <v>186</v>
      </c>
      <c r="I18" s="20" t="s">
        <v>205</v>
      </c>
      <c r="J18" s="20" t="s">
        <v>206</v>
      </c>
      <c r="K18" s="72"/>
      <c r="L18" s="34">
        <v>32.5</v>
      </c>
      <c r="M18" s="35" t="str">
        <f>"39,9230"</f>
        <v>39,9230</v>
      </c>
      <c r="N18" s="35" t="s">
        <v>939</v>
      </c>
    </row>
    <row r="20" spans="2:13" ht="15.75">
      <c r="B20" s="118" t="s">
        <v>207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4" ht="12.75">
      <c r="A21" s="48">
        <v>1</v>
      </c>
      <c r="B21" s="86" t="s">
        <v>208</v>
      </c>
      <c r="C21" s="86" t="s">
        <v>209</v>
      </c>
      <c r="D21" s="86" t="s">
        <v>210</v>
      </c>
      <c r="E21" s="86" t="str">
        <f>"1,1281"</f>
        <v>1,1281</v>
      </c>
      <c r="F21" s="86" t="s">
        <v>29</v>
      </c>
      <c r="G21" s="86" t="s">
        <v>1000</v>
      </c>
      <c r="H21" s="21" t="s">
        <v>211</v>
      </c>
      <c r="I21" s="21" t="s">
        <v>212</v>
      </c>
      <c r="J21" s="66" t="s">
        <v>213</v>
      </c>
      <c r="K21" s="68"/>
      <c r="L21" s="38">
        <v>67.5</v>
      </c>
      <c r="M21" s="86" t="str">
        <f>"76,1468"</f>
        <v>76,1468</v>
      </c>
      <c r="N21" s="86" t="s">
        <v>1034</v>
      </c>
    </row>
    <row r="22" spans="1:14" ht="12.75">
      <c r="A22" s="50">
        <v>1</v>
      </c>
      <c r="B22" s="88" t="s">
        <v>214</v>
      </c>
      <c r="C22" s="88" t="s">
        <v>215</v>
      </c>
      <c r="D22" s="88" t="s">
        <v>216</v>
      </c>
      <c r="E22" s="88" t="str">
        <f>"1,1295"</f>
        <v>1,1295</v>
      </c>
      <c r="F22" s="88" t="s">
        <v>29</v>
      </c>
      <c r="G22" s="88" t="s">
        <v>1000</v>
      </c>
      <c r="H22" s="22" t="s">
        <v>170</v>
      </c>
      <c r="I22" s="67" t="s">
        <v>171</v>
      </c>
      <c r="J22" s="22" t="s">
        <v>172</v>
      </c>
      <c r="K22" s="69"/>
      <c r="L22" s="40">
        <v>55</v>
      </c>
      <c r="M22" s="88" t="str">
        <f>"62,1225"</f>
        <v>62,1225</v>
      </c>
      <c r="N22" s="88" t="s">
        <v>1037</v>
      </c>
    </row>
    <row r="23" spans="1:14" ht="12.75">
      <c r="A23" s="50">
        <v>2</v>
      </c>
      <c r="B23" s="88" t="s">
        <v>217</v>
      </c>
      <c r="C23" s="88" t="s">
        <v>218</v>
      </c>
      <c r="D23" s="88" t="s">
        <v>219</v>
      </c>
      <c r="E23" s="88" t="str">
        <f>"1,1266"</f>
        <v>1,1266</v>
      </c>
      <c r="F23" s="88" t="s">
        <v>29</v>
      </c>
      <c r="G23" s="88" t="s">
        <v>1000</v>
      </c>
      <c r="H23" s="22" t="s">
        <v>172</v>
      </c>
      <c r="I23" s="67" t="s">
        <v>220</v>
      </c>
      <c r="J23" s="67" t="s">
        <v>220</v>
      </c>
      <c r="K23" s="69"/>
      <c r="L23" s="40">
        <v>55</v>
      </c>
      <c r="M23" s="88" t="str">
        <f>"61,9630"</f>
        <v>61,9630</v>
      </c>
      <c r="N23" s="88" t="s">
        <v>1035</v>
      </c>
    </row>
    <row r="24" spans="1:14" ht="12.75">
      <c r="A24" s="50">
        <v>3</v>
      </c>
      <c r="B24" s="88" t="s">
        <v>221</v>
      </c>
      <c r="C24" s="88" t="s">
        <v>222</v>
      </c>
      <c r="D24" s="88" t="s">
        <v>223</v>
      </c>
      <c r="E24" s="88" t="str">
        <f>"1,1541"</f>
        <v>1,1541</v>
      </c>
      <c r="F24" s="88" t="s">
        <v>184</v>
      </c>
      <c r="G24" s="88" t="s">
        <v>185</v>
      </c>
      <c r="H24" s="22" t="s">
        <v>224</v>
      </c>
      <c r="I24" s="22" t="s">
        <v>192</v>
      </c>
      <c r="J24" s="22" t="s">
        <v>170</v>
      </c>
      <c r="K24" s="69"/>
      <c r="L24" s="40">
        <v>50</v>
      </c>
      <c r="M24" s="88" t="str">
        <f>"57,7050"</f>
        <v>57,7050</v>
      </c>
      <c r="N24" s="88" t="s">
        <v>1036</v>
      </c>
    </row>
    <row r="25" spans="1:14" ht="12.75">
      <c r="A25" s="49">
        <v>1</v>
      </c>
      <c r="B25" s="87" t="s">
        <v>225</v>
      </c>
      <c r="C25" s="87" t="s">
        <v>226</v>
      </c>
      <c r="D25" s="87" t="s">
        <v>227</v>
      </c>
      <c r="E25" s="87" t="str">
        <f>"1,1386"</f>
        <v>1,1386</v>
      </c>
      <c r="F25" s="87" t="s">
        <v>116</v>
      </c>
      <c r="G25" s="87" t="s">
        <v>1000</v>
      </c>
      <c r="H25" s="23" t="s">
        <v>171</v>
      </c>
      <c r="I25" s="23" t="s">
        <v>196</v>
      </c>
      <c r="J25" s="23" t="s">
        <v>220</v>
      </c>
      <c r="K25" s="71"/>
      <c r="L25" s="39">
        <v>60</v>
      </c>
      <c r="M25" s="87" t="str">
        <f>"68,3160"</f>
        <v>68,3160</v>
      </c>
      <c r="N25" s="87" t="s">
        <v>940</v>
      </c>
    </row>
    <row r="27" spans="2:13" ht="15.75">
      <c r="B27" s="118" t="s">
        <v>228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4" ht="12.75">
      <c r="A28" s="47">
        <v>1</v>
      </c>
      <c r="B28" s="35" t="s">
        <v>229</v>
      </c>
      <c r="C28" s="35" t="s">
        <v>230</v>
      </c>
      <c r="D28" s="35" t="s">
        <v>231</v>
      </c>
      <c r="E28" s="35" t="str">
        <f>"1,0317"</f>
        <v>1,0317</v>
      </c>
      <c r="F28" s="35" t="s">
        <v>116</v>
      </c>
      <c r="G28" s="35" t="s">
        <v>1000</v>
      </c>
      <c r="H28" s="20" t="s">
        <v>220</v>
      </c>
      <c r="I28" s="65" t="s">
        <v>232</v>
      </c>
      <c r="J28" s="65" t="s">
        <v>232</v>
      </c>
      <c r="K28" s="72"/>
      <c r="L28" s="34">
        <v>60</v>
      </c>
      <c r="M28" s="35" t="str">
        <f>"61,9020"</f>
        <v>61,9020</v>
      </c>
      <c r="N28" s="35" t="s">
        <v>941</v>
      </c>
    </row>
    <row r="30" spans="2:13" ht="15.75">
      <c r="B30" s="118" t="s">
        <v>177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</row>
    <row r="31" spans="1:14" ht="12.75">
      <c r="A31" s="48">
        <v>1</v>
      </c>
      <c r="B31" s="86" t="s">
        <v>233</v>
      </c>
      <c r="C31" s="86" t="s">
        <v>234</v>
      </c>
      <c r="D31" s="86" t="s">
        <v>235</v>
      </c>
      <c r="E31" s="86" t="str">
        <f>"1,1592"</f>
        <v>1,1592</v>
      </c>
      <c r="F31" s="86" t="s">
        <v>29</v>
      </c>
      <c r="G31" s="86" t="s">
        <v>1010</v>
      </c>
      <c r="H31" s="21" t="s">
        <v>16</v>
      </c>
      <c r="I31" s="66" t="s">
        <v>17</v>
      </c>
      <c r="J31" s="66" t="s">
        <v>17</v>
      </c>
      <c r="K31" s="68"/>
      <c r="L31" s="38">
        <v>35</v>
      </c>
      <c r="M31" s="86" t="str">
        <f>"40,5720"</f>
        <v>40,5720</v>
      </c>
      <c r="N31" s="86" t="s">
        <v>942</v>
      </c>
    </row>
    <row r="32" spans="1:14" ht="12.75">
      <c r="A32" s="50">
        <v>2</v>
      </c>
      <c r="B32" s="88" t="s">
        <v>236</v>
      </c>
      <c r="C32" s="88" t="s">
        <v>237</v>
      </c>
      <c r="D32" s="88" t="s">
        <v>238</v>
      </c>
      <c r="E32" s="88" t="str">
        <f>"1,2934"</f>
        <v>1,2934</v>
      </c>
      <c r="F32" s="88" t="s">
        <v>1014</v>
      </c>
      <c r="G32" s="88" t="s">
        <v>239</v>
      </c>
      <c r="H32" s="67" t="s">
        <v>205</v>
      </c>
      <c r="I32" s="22" t="s">
        <v>187</v>
      </c>
      <c r="J32" s="22" t="s">
        <v>206</v>
      </c>
      <c r="K32" s="69" t="s">
        <v>240</v>
      </c>
      <c r="L32" s="40">
        <v>32.5</v>
      </c>
      <c r="M32" s="88" t="str">
        <f>"42,0355"</f>
        <v>42,0355</v>
      </c>
      <c r="N32" s="88" t="s">
        <v>943</v>
      </c>
    </row>
    <row r="33" spans="1:14" ht="12.75">
      <c r="A33" s="50">
        <v>1</v>
      </c>
      <c r="B33" s="88" t="s">
        <v>236</v>
      </c>
      <c r="C33" s="88" t="s">
        <v>242</v>
      </c>
      <c r="D33" s="88" t="s">
        <v>238</v>
      </c>
      <c r="E33" s="88" t="str">
        <f>"1,2934"</f>
        <v>1,2934</v>
      </c>
      <c r="F33" s="88" t="s">
        <v>1014</v>
      </c>
      <c r="G33" s="88" t="s">
        <v>239</v>
      </c>
      <c r="H33" s="67" t="s">
        <v>205</v>
      </c>
      <c r="I33" s="22" t="s">
        <v>187</v>
      </c>
      <c r="J33" s="22" t="s">
        <v>206</v>
      </c>
      <c r="K33" s="69" t="s">
        <v>240</v>
      </c>
      <c r="L33" s="40">
        <v>32.5</v>
      </c>
      <c r="M33" s="88" t="str">
        <f>"42,0355"</f>
        <v>42,0355</v>
      </c>
      <c r="N33" s="88" t="s">
        <v>943</v>
      </c>
    </row>
    <row r="34" spans="1:14" ht="12.75">
      <c r="A34" s="49">
        <v>0</v>
      </c>
      <c r="B34" s="87" t="s">
        <v>117</v>
      </c>
      <c r="C34" s="87" t="s">
        <v>243</v>
      </c>
      <c r="D34" s="87" t="s">
        <v>244</v>
      </c>
      <c r="E34" s="87" t="str">
        <f>"1,3354"</f>
        <v>1,3354</v>
      </c>
      <c r="F34" s="87" t="s">
        <v>29</v>
      </c>
      <c r="G34" s="87" t="s">
        <v>1008</v>
      </c>
      <c r="H34" s="70" t="s">
        <v>84</v>
      </c>
      <c r="I34" s="71"/>
      <c r="J34" s="71"/>
      <c r="K34" s="71"/>
      <c r="L34" s="39">
        <v>0</v>
      </c>
      <c r="M34" s="87" t="str">
        <f>"0,0000"</f>
        <v>0,0000</v>
      </c>
      <c r="N34" s="87" t="s">
        <v>130</v>
      </c>
    </row>
    <row r="36" spans="2:13" ht="15.75">
      <c r="B36" s="118" t="s">
        <v>228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4" ht="12.75">
      <c r="A37" s="47">
        <v>1</v>
      </c>
      <c r="B37" s="35" t="s">
        <v>245</v>
      </c>
      <c r="C37" s="35" t="s">
        <v>246</v>
      </c>
      <c r="D37" s="35" t="s">
        <v>247</v>
      </c>
      <c r="E37" s="35" t="str">
        <f>"0,8057"</f>
        <v>0,8057</v>
      </c>
      <c r="F37" s="35" t="s">
        <v>14</v>
      </c>
      <c r="G37" s="35" t="s">
        <v>15</v>
      </c>
      <c r="H37" s="20" t="s">
        <v>232</v>
      </c>
      <c r="I37" s="20" t="s">
        <v>213</v>
      </c>
      <c r="J37" s="20" t="s">
        <v>248</v>
      </c>
      <c r="K37" s="72"/>
      <c r="L37" s="34">
        <v>72.5</v>
      </c>
      <c r="M37" s="35" t="str">
        <f>"58,4133"</f>
        <v>58,4133</v>
      </c>
      <c r="N37" s="35" t="s">
        <v>938</v>
      </c>
    </row>
    <row r="39" spans="2:13" ht="15.75">
      <c r="B39" s="118" t="s">
        <v>249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4" ht="12.75">
      <c r="A40" s="48">
        <v>1</v>
      </c>
      <c r="B40" s="86" t="s">
        <v>250</v>
      </c>
      <c r="C40" s="86" t="s">
        <v>251</v>
      </c>
      <c r="D40" s="86" t="s">
        <v>252</v>
      </c>
      <c r="E40" s="86" t="str">
        <f>"0,7345"</f>
        <v>0,7345</v>
      </c>
      <c r="F40" s="86" t="s">
        <v>29</v>
      </c>
      <c r="G40" s="86" t="s">
        <v>1000</v>
      </c>
      <c r="H40" s="21" t="s">
        <v>47</v>
      </c>
      <c r="I40" s="66" t="s">
        <v>253</v>
      </c>
      <c r="J40" s="66" t="s">
        <v>253</v>
      </c>
      <c r="K40" s="68"/>
      <c r="L40" s="38">
        <v>127.5</v>
      </c>
      <c r="M40" s="86" t="str">
        <f>"93,6487"</f>
        <v>93,6487</v>
      </c>
      <c r="N40" s="86" t="s">
        <v>130</v>
      </c>
    </row>
    <row r="41" spans="1:14" ht="12.75">
      <c r="A41" s="50">
        <v>2</v>
      </c>
      <c r="B41" s="88" t="s">
        <v>254</v>
      </c>
      <c r="C41" s="88" t="s">
        <v>255</v>
      </c>
      <c r="D41" s="88" t="s">
        <v>256</v>
      </c>
      <c r="E41" s="88" t="str">
        <f>"0,7519"</f>
        <v>0,7519</v>
      </c>
      <c r="F41" s="88" t="s">
        <v>29</v>
      </c>
      <c r="G41" s="88" t="s">
        <v>1000</v>
      </c>
      <c r="H41" s="22" t="s">
        <v>257</v>
      </c>
      <c r="I41" s="67" t="s">
        <v>47</v>
      </c>
      <c r="J41" s="67" t="s">
        <v>48</v>
      </c>
      <c r="K41" s="69"/>
      <c r="L41" s="40">
        <v>122.5</v>
      </c>
      <c r="M41" s="88" t="str">
        <f>"92,1078"</f>
        <v>92,1078</v>
      </c>
      <c r="N41" s="88" t="s">
        <v>941</v>
      </c>
    </row>
    <row r="42" spans="1:14" ht="12.75">
      <c r="A42" s="50">
        <v>3</v>
      </c>
      <c r="B42" s="88" t="s">
        <v>258</v>
      </c>
      <c r="C42" s="88" t="s">
        <v>259</v>
      </c>
      <c r="D42" s="88" t="s">
        <v>260</v>
      </c>
      <c r="E42" s="88" t="str">
        <f>"0,7214"</f>
        <v>0,7214</v>
      </c>
      <c r="F42" s="88" t="s">
        <v>1014</v>
      </c>
      <c r="G42" s="88" t="s">
        <v>239</v>
      </c>
      <c r="H42" s="22" t="s">
        <v>261</v>
      </c>
      <c r="I42" s="22" t="s">
        <v>262</v>
      </c>
      <c r="J42" s="67" t="s">
        <v>263</v>
      </c>
      <c r="K42" s="69"/>
      <c r="L42" s="40">
        <v>107.5</v>
      </c>
      <c r="M42" s="88" t="str">
        <f>"77,5505"</f>
        <v>77,5505</v>
      </c>
      <c r="N42" s="88" t="s">
        <v>943</v>
      </c>
    </row>
    <row r="43" spans="1:14" ht="12.75">
      <c r="A43" s="50">
        <v>1</v>
      </c>
      <c r="B43" s="88" t="s">
        <v>264</v>
      </c>
      <c r="C43" s="88" t="s">
        <v>265</v>
      </c>
      <c r="D43" s="88" t="s">
        <v>260</v>
      </c>
      <c r="E43" s="88" t="str">
        <f>"0,7214"</f>
        <v>0,7214</v>
      </c>
      <c r="F43" s="88" t="s">
        <v>191</v>
      </c>
      <c r="G43" s="88" t="s">
        <v>1000</v>
      </c>
      <c r="H43" s="22" t="s">
        <v>140</v>
      </c>
      <c r="I43" s="22" t="s">
        <v>266</v>
      </c>
      <c r="J43" s="22" t="s">
        <v>23</v>
      </c>
      <c r="K43" s="69"/>
      <c r="L43" s="40">
        <v>160</v>
      </c>
      <c r="M43" s="88" t="str">
        <f>"115,4240"</f>
        <v>115,4240</v>
      </c>
      <c r="N43" s="88" t="s">
        <v>130</v>
      </c>
    </row>
    <row r="44" spans="1:14" ht="12.75">
      <c r="A44" s="50">
        <v>2</v>
      </c>
      <c r="B44" s="88" t="s">
        <v>267</v>
      </c>
      <c r="C44" s="88" t="s">
        <v>268</v>
      </c>
      <c r="D44" s="88" t="s">
        <v>269</v>
      </c>
      <c r="E44" s="88" t="str">
        <f>"0,7453"</f>
        <v>0,7453</v>
      </c>
      <c r="F44" s="88" t="s">
        <v>29</v>
      </c>
      <c r="G44" s="88" t="s">
        <v>239</v>
      </c>
      <c r="H44" s="22" t="s">
        <v>140</v>
      </c>
      <c r="I44" s="67" t="s">
        <v>266</v>
      </c>
      <c r="J44" s="67" t="s">
        <v>266</v>
      </c>
      <c r="K44" s="69"/>
      <c r="L44" s="40">
        <v>150</v>
      </c>
      <c r="M44" s="88" t="str">
        <f>"111,7950"</f>
        <v>111,7950</v>
      </c>
      <c r="N44" s="88" t="s">
        <v>270</v>
      </c>
    </row>
    <row r="45" spans="1:14" ht="12.75">
      <c r="A45" s="50">
        <v>3</v>
      </c>
      <c r="B45" s="88" t="s">
        <v>271</v>
      </c>
      <c r="C45" s="88" t="s">
        <v>272</v>
      </c>
      <c r="D45" s="88" t="s">
        <v>273</v>
      </c>
      <c r="E45" s="88" t="str">
        <f>"0,7139"</f>
        <v>0,7139</v>
      </c>
      <c r="F45" s="88" t="s">
        <v>29</v>
      </c>
      <c r="G45" s="88" t="s">
        <v>1000</v>
      </c>
      <c r="H45" s="22" t="s">
        <v>274</v>
      </c>
      <c r="I45" s="67" t="s">
        <v>275</v>
      </c>
      <c r="J45" s="67" t="s">
        <v>276</v>
      </c>
      <c r="K45" s="69"/>
      <c r="L45" s="40">
        <v>80</v>
      </c>
      <c r="M45" s="88" t="str">
        <f>"57,1120"</f>
        <v>57,1120</v>
      </c>
      <c r="N45" s="88" t="s">
        <v>130</v>
      </c>
    </row>
    <row r="46" spans="1:14" ht="12.75">
      <c r="A46" s="49">
        <v>0</v>
      </c>
      <c r="B46" s="87" t="s">
        <v>277</v>
      </c>
      <c r="C46" s="87" t="s">
        <v>278</v>
      </c>
      <c r="D46" s="87" t="s">
        <v>269</v>
      </c>
      <c r="E46" s="87" t="str">
        <f>"0,7453"</f>
        <v>0,7453</v>
      </c>
      <c r="F46" s="87" t="s">
        <v>1014</v>
      </c>
      <c r="G46" s="87" t="s">
        <v>239</v>
      </c>
      <c r="H46" s="70" t="s">
        <v>84</v>
      </c>
      <c r="I46" s="71"/>
      <c r="J46" s="71"/>
      <c r="K46" s="71"/>
      <c r="L46" s="39">
        <v>0</v>
      </c>
      <c r="M46" s="87" t="str">
        <f>"0,0000"</f>
        <v>0,0000</v>
      </c>
      <c r="N46" s="87" t="s">
        <v>943</v>
      </c>
    </row>
    <row r="48" spans="2:13" ht="15.75">
      <c r="B48" s="118" t="s">
        <v>19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1:14" ht="12.75">
      <c r="A49" s="48">
        <v>1</v>
      </c>
      <c r="B49" s="86" t="s">
        <v>279</v>
      </c>
      <c r="C49" s="86" t="s">
        <v>280</v>
      </c>
      <c r="D49" s="86" t="s">
        <v>281</v>
      </c>
      <c r="E49" s="86" t="str">
        <f>"0,6785"</f>
        <v>0,6785</v>
      </c>
      <c r="F49" s="86" t="s">
        <v>29</v>
      </c>
      <c r="G49" s="86" t="s">
        <v>1000</v>
      </c>
      <c r="H49" s="73" t="s">
        <v>40</v>
      </c>
      <c r="I49" s="66" t="s">
        <v>282</v>
      </c>
      <c r="J49" s="73" t="s">
        <v>41</v>
      </c>
      <c r="K49" s="68"/>
      <c r="L49" s="38">
        <v>142.5</v>
      </c>
      <c r="M49" s="86" t="str">
        <f>"96,6862"</f>
        <v>96,6862</v>
      </c>
      <c r="N49" s="86" t="s">
        <v>130</v>
      </c>
    </row>
    <row r="50" spans="1:14" ht="12.75">
      <c r="A50" s="50">
        <v>2</v>
      </c>
      <c r="B50" s="88" t="s">
        <v>283</v>
      </c>
      <c r="C50" s="88" t="s">
        <v>284</v>
      </c>
      <c r="D50" s="88" t="s">
        <v>34</v>
      </c>
      <c r="E50" s="88" t="str">
        <f>"0,6724"</f>
        <v>0,6724</v>
      </c>
      <c r="F50" s="88" t="s">
        <v>29</v>
      </c>
      <c r="G50" s="88" t="s">
        <v>1000</v>
      </c>
      <c r="H50" s="67" t="s">
        <v>48</v>
      </c>
      <c r="I50" s="22" t="s">
        <v>48</v>
      </c>
      <c r="J50" s="67" t="s">
        <v>36</v>
      </c>
      <c r="K50" s="69"/>
      <c r="L50" s="40">
        <v>130</v>
      </c>
      <c r="M50" s="88" t="str">
        <f>"87,4120"</f>
        <v>87,4120</v>
      </c>
      <c r="N50" s="88" t="s">
        <v>130</v>
      </c>
    </row>
    <row r="51" spans="1:14" ht="12.75">
      <c r="A51" s="50">
        <v>1</v>
      </c>
      <c r="B51" s="88" t="s">
        <v>285</v>
      </c>
      <c r="C51" s="88" t="s">
        <v>286</v>
      </c>
      <c r="D51" s="88" t="s">
        <v>287</v>
      </c>
      <c r="E51" s="88" t="str">
        <f>"0,6769"</f>
        <v>0,6769</v>
      </c>
      <c r="F51" s="88" t="s">
        <v>29</v>
      </c>
      <c r="G51" s="88" t="s">
        <v>1000</v>
      </c>
      <c r="H51" s="22" t="s">
        <v>25</v>
      </c>
      <c r="I51" s="22" t="s">
        <v>55</v>
      </c>
      <c r="J51" s="67" t="s">
        <v>64</v>
      </c>
      <c r="K51" s="69"/>
      <c r="L51" s="40">
        <v>175</v>
      </c>
      <c r="M51" s="88" t="str">
        <f>"118,4575"</f>
        <v>118,4575</v>
      </c>
      <c r="N51" s="88" t="s">
        <v>130</v>
      </c>
    </row>
    <row r="52" spans="1:14" ht="12.75">
      <c r="A52" s="50">
        <v>2</v>
      </c>
      <c r="B52" s="88" t="s">
        <v>288</v>
      </c>
      <c r="C52" s="88" t="s">
        <v>289</v>
      </c>
      <c r="D52" s="88" t="s">
        <v>290</v>
      </c>
      <c r="E52" s="88" t="str">
        <f>"0,6739"</f>
        <v>0,6739</v>
      </c>
      <c r="F52" s="88" t="s">
        <v>29</v>
      </c>
      <c r="G52" s="88" t="s">
        <v>1000</v>
      </c>
      <c r="H52" s="22" t="s">
        <v>266</v>
      </c>
      <c r="I52" s="22" t="s">
        <v>23</v>
      </c>
      <c r="J52" s="67" t="s">
        <v>24</v>
      </c>
      <c r="K52" s="69"/>
      <c r="L52" s="40">
        <v>160</v>
      </c>
      <c r="M52" s="88" t="str">
        <f>"107,8240"</f>
        <v>107,8240</v>
      </c>
      <c r="N52" s="88" t="s">
        <v>130</v>
      </c>
    </row>
    <row r="53" spans="1:14" ht="12.75">
      <c r="A53" s="50">
        <v>3</v>
      </c>
      <c r="B53" s="88" t="s">
        <v>291</v>
      </c>
      <c r="C53" s="88" t="s">
        <v>292</v>
      </c>
      <c r="D53" s="88" t="s">
        <v>287</v>
      </c>
      <c r="E53" s="88" t="str">
        <f>"0,6769"</f>
        <v>0,6769</v>
      </c>
      <c r="F53" s="88" t="s">
        <v>1014</v>
      </c>
      <c r="G53" s="88" t="s">
        <v>239</v>
      </c>
      <c r="H53" s="22" t="s">
        <v>140</v>
      </c>
      <c r="I53" s="67" t="s">
        <v>266</v>
      </c>
      <c r="J53" s="22" t="s">
        <v>266</v>
      </c>
      <c r="K53" s="69"/>
      <c r="L53" s="40">
        <v>155</v>
      </c>
      <c r="M53" s="88" t="str">
        <f>"104,9195"</f>
        <v>104,9195</v>
      </c>
      <c r="N53" s="88" t="s">
        <v>1038</v>
      </c>
    </row>
    <row r="54" spans="1:14" ht="12.75">
      <c r="A54" s="50">
        <v>4</v>
      </c>
      <c r="B54" s="88" t="s">
        <v>293</v>
      </c>
      <c r="C54" s="88" t="s">
        <v>294</v>
      </c>
      <c r="D54" s="88" t="s">
        <v>281</v>
      </c>
      <c r="E54" s="88" t="str">
        <f>"0,6785"</f>
        <v>0,6785</v>
      </c>
      <c r="F54" s="88" t="s">
        <v>29</v>
      </c>
      <c r="G54" s="88" t="s">
        <v>1000</v>
      </c>
      <c r="H54" s="22" t="s">
        <v>36</v>
      </c>
      <c r="I54" s="22" t="s">
        <v>140</v>
      </c>
      <c r="J54" s="67" t="s">
        <v>295</v>
      </c>
      <c r="K54" s="69"/>
      <c r="L54" s="40">
        <v>150</v>
      </c>
      <c r="M54" s="88" t="str">
        <f>"101,7750"</f>
        <v>101,7750</v>
      </c>
      <c r="N54" s="88" t="s">
        <v>944</v>
      </c>
    </row>
    <row r="55" spans="1:14" ht="12.75">
      <c r="A55" s="50">
        <v>5</v>
      </c>
      <c r="B55" s="88" t="s">
        <v>296</v>
      </c>
      <c r="C55" s="88" t="s">
        <v>297</v>
      </c>
      <c r="D55" s="88" t="s">
        <v>298</v>
      </c>
      <c r="E55" s="88" t="str">
        <f>"0,6764"</f>
        <v>0,6764</v>
      </c>
      <c r="F55" s="88" t="s">
        <v>116</v>
      </c>
      <c r="G55" s="88" t="s">
        <v>1000</v>
      </c>
      <c r="H55" s="22" t="s">
        <v>36</v>
      </c>
      <c r="I55" s="22" t="s">
        <v>140</v>
      </c>
      <c r="J55" s="67" t="s">
        <v>266</v>
      </c>
      <c r="K55" s="69"/>
      <c r="L55" s="40">
        <v>150</v>
      </c>
      <c r="M55" s="88" t="str">
        <f>"101,4600"</f>
        <v>101,4600</v>
      </c>
      <c r="N55" s="88" t="s">
        <v>130</v>
      </c>
    </row>
    <row r="56" spans="1:14" ht="12.75">
      <c r="A56" s="50">
        <v>6</v>
      </c>
      <c r="B56" s="88" t="s">
        <v>299</v>
      </c>
      <c r="C56" s="88" t="s">
        <v>300</v>
      </c>
      <c r="D56" s="88" t="s">
        <v>301</v>
      </c>
      <c r="E56" s="88" t="str">
        <f>"0,6806"</f>
        <v>0,6806</v>
      </c>
      <c r="F56" s="88" t="s">
        <v>29</v>
      </c>
      <c r="G56" s="88" t="s">
        <v>185</v>
      </c>
      <c r="H56" s="22" t="s">
        <v>302</v>
      </c>
      <c r="I56" s="22" t="s">
        <v>47</v>
      </c>
      <c r="J56" s="67" t="s">
        <v>40</v>
      </c>
      <c r="K56" s="69"/>
      <c r="L56" s="40">
        <v>127.5</v>
      </c>
      <c r="M56" s="88" t="str">
        <f>"86,7765"</f>
        <v>86,7765</v>
      </c>
      <c r="N56" s="88" t="s">
        <v>130</v>
      </c>
    </row>
    <row r="57" spans="1:14" ht="12.75">
      <c r="A57" s="50">
        <v>7</v>
      </c>
      <c r="B57" s="88" t="s">
        <v>303</v>
      </c>
      <c r="C57" s="88" t="s">
        <v>304</v>
      </c>
      <c r="D57" s="88" t="s">
        <v>305</v>
      </c>
      <c r="E57" s="88" t="str">
        <f>"0,6744"</f>
        <v>0,6744</v>
      </c>
      <c r="F57" s="88" t="s">
        <v>29</v>
      </c>
      <c r="G57" s="88" t="s">
        <v>1000</v>
      </c>
      <c r="H57" s="22" t="s">
        <v>306</v>
      </c>
      <c r="I57" s="22" t="s">
        <v>47</v>
      </c>
      <c r="J57" s="67" t="s">
        <v>253</v>
      </c>
      <c r="K57" s="69"/>
      <c r="L57" s="40">
        <v>127.5</v>
      </c>
      <c r="M57" s="88" t="str">
        <f>"85,9860"</f>
        <v>85,9860</v>
      </c>
      <c r="N57" s="88" t="s">
        <v>130</v>
      </c>
    </row>
    <row r="58" spans="1:14" ht="12.75">
      <c r="A58" s="50">
        <v>8</v>
      </c>
      <c r="B58" s="88" t="s">
        <v>307</v>
      </c>
      <c r="C58" s="88" t="s">
        <v>308</v>
      </c>
      <c r="D58" s="88" t="s">
        <v>309</v>
      </c>
      <c r="E58" s="88" t="str">
        <f>"0,6719"</f>
        <v>0,6719</v>
      </c>
      <c r="F58" s="88" t="s">
        <v>83</v>
      </c>
      <c r="G58" s="88" t="s">
        <v>1000</v>
      </c>
      <c r="H58" s="67" t="s">
        <v>46</v>
      </c>
      <c r="I58" s="22" t="s">
        <v>47</v>
      </c>
      <c r="J58" s="67" t="s">
        <v>48</v>
      </c>
      <c r="K58" s="69"/>
      <c r="L58" s="40">
        <v>127.5</v>
      </c>
      <c r="M58" s="88" t="str">
        <f>"85,6672"</f>
        <v>85,6672</v>
      </c>
      <c r="N58" s="88" t="s">
        <v>923</v>
      </c>
    </row>
    <row r="59" spans="1:14" ht="12.75">
      <c r="A59" s="50">
        <v>1</v>
      </c>
      <c r="B59" s="88" t="s">
        <v>310</v>
      </c>
      <c r="C59" s="88" t="s">
        <v>311</v>
      </c>
      <c r="D59" s="88" t="s">
        <v>312</v>
      </c>
      <c r="E59" s="88" t="str">
        <f>"0,6800"</f>
        <v>0,6800</v>
      </c>
      <c r="F59" s="88" t="s">
        <v>29</v>
      </c>
      <c r="G59" s="88" t="s">
        <v>1000</v>
      </c>
      <c r="H59" s="22" t="s">
        <v>262</v>
      </c>
      <c r="I59" s="22" t="s">
        <v>313</v>
      </c>
      <c r="J59" s="22" t="s">
        <v>46</v>
      </c>
      <c r="K59" s="69"/>
      <c r="L59" s="40">
        <v>120</v>
      </c>
      <c r="M59" s="88" t="str">
        <f>"81,6000"</f>
        <v>81,6000</v>
      </c>
      <c r="N59" s="88" t="s">
        <v>1039</v>
      </c>
    </row>
    <row r="60" spans="1:14" ht="12.75">
      <c r="A60" s="49">
        <v>1</v>
      </c>
      <c r="B60" s="87" t="s">
        <v>314</v>
      </c>
      <c r="C60" s="87" t="s">
        <v>315</v>
      </c>
      <c r="D60" s="87" t="s">
        <v>316</v>
      </c>
      <c r="E60" s="87" t="str">
        <f>"0,6714"</f>
        <v>0,6714</v>
      </c>
      <c r="F60" s="87" t="s">
        <v>106</v>
      </c>
      <c r="G60" s="87" t="s">
        <v>1000</v>
      </c>
      <c r="H60" s="23" t="s">
        <v>317</v>
      </c>
      <c r="I60" s="23" t="s">
        <v>318</v>
      </c>
      <c r="J60" s="23" t="s">
        <v>276</v>
      </c>
      <c r="K60" s="71"/>
      <c r="L60" s="39">
        <v>92.5</v>
      </c>
      <c r="M60" s="87" t="str">
        <f>"82,1022"</f>
        <v>82,1022</v>
      </c>
      <c r="N60" s="87" t="s">
        <v>319</v>
      </c>
    </row>
    <row r="62" spans="2:13" ht="15.75">
      <c r="B62" s="118" t="s">
        <v>49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</row>
    <row r="63" spans="1:14" ht="12.75">
      <c r="A63" s="48">
        <v>1</v>
      </c>
      <c r="B63" s="86" t="s">
        <v>320</v>
      </c>
      <c r="C63" s="86" t="s">
        <v>321</v>
      </c>
      <c r="D63" s="86" t="s">
        <v>322</v>
      </c>
      <c r="E63" s="86" t="str">
        <f>"0,6507"</f>
        <v>0,6507</v>
      </c>
      <c r="F63" s="86" t="s">
        <v>29</v>
      </c>
      <c r="G63" s="86" t="s">
        <v>1000</v>
      </c>
      <c r="H63" s="66" t="s">
        <v>306</v>
      </c>
      <c r="I63" s="73" t="s">
        <v>253</v>
      </c>
      <c r="J63" s="66" t="s">
        <v>40</v>
      </c>
      <c r="K63" s="68"/>
      <c r="L63" s="38">
        <v>132.5</v>
      </c>
      <c r="M63" s="86" t="str">
        <f>"86,2177"</f>
        <v>86,2177</v>
      </c>
      <c r="N63" s="86" t="s">
        <v>918</v>
      </c>
    </row>
    <row r="64" spans="1:14" ht="12.75">
      <c r="A64" s="50">
        <v>2</v>
      </c>
      <c r="B64" s="88" t="s">
        <v>323</v>
      </c>
      <c r="C64" s="88" t="s">
        <v>324</v>
      </c>
      <c r="D64" s="88" t="s">
        <v>325</v>
      </c>
      <c r="E64" s="88" t="str">
        <f>"0,6562"</f>
        <v>0,6562</v>
      </c>
      <c r="F64" s="88" t="s">
        <v>83</v>
      </c>
      <c r="G64" s="88" t="s">
        <v>1000</v>
      </c>
      <c r="H64" s="22" t="s">
        <v>326</v>
      </c>
      <c r="I64" s="22" t="s">
        <v>46</v>
      </c>
      <c r="J64" s="22" t="s">
        <v>306</v>
      </c>
      <c r="K64" s="69"/>
      <c r="L64" s="40">
        <v>125</v>
      </c>
      <c r="M64" s="88" t="str">
        <f>"82,0250"</f>
        <v>82,0250</v>
      </c>
      <c r="N64" s="88" t="s">
        <v>923</v>
      </c>
    </row>
    <row r="65" spans="1:14" ht="12.75">
      <c r="A65" s="50">
        <v>1</v>
      </c>
      <c r="B65" s="88" t="s">
        <v>327</v>
      </c>
      <c r="C65" s="88" t="s">
        <v>328</v>
      </c>
      <c r="D65" s="88" t="s">
        <v>329</v>
      </c>
      <c r="E65" s="88" t="str">
        <f>"0,6436"</f>
        <v>0,6436</v>
      </c>
      <c r="F65" s="88" t="s">
        <v>29</v>
      </c>
      <c r="G65" s="88" t="s">
        <v>1000</v>
      </c>
      <c r="H65" s="67" t="s">
        <v>36</v>
      </c>
      <c r="I65" s="67" t="s">
        <v>295</v>
      </c>
      <c r="J65" s="22" t="s">
        <v>295</v>
      </c>
      <c r="K65" s="69"/>
      <c r="L65" s="40">
        <v>152.5</v>
      </c>
      <c r="M65" s="88" t="str">
        <f>"98,1490"</f>
        <v>98,1490</v>
      </c>
      <c r="N65" s="88" t="s">
        <v>945</v>
      </c>
    </row>
    <row r="66" spans="1:14" ht="12.75">
      <c r="A66" s="50">
        <v>2</v>
      </c>
      <c r="B66" s="88" t="s">
        <v>330</v>
      </c>
      <c r="C66" s="88" t="s">
        <v>331</v>
      </c>
      <c r="D66" s="88" t="s">
        <v>332</v>
      </c>
      <c r="E66" s="88" t="str">
        <f>"0,6459"</f>
        <v>0,6459</v>
      </c>
      <c r="F66" s="88" t="s">
        <v>29</v>
      </c>
      <c r="G66" s="88" t="s">
        <v>1000</v>
      </c>
      <c r="H66" s="22" t="s">
        <v>40</v>
      </c>
      <c r="I66" s="67" t="s">
        <v>36</v>
      </c>
      <c r="J66" s="22" t="s">
        <v>140</v>
      </c>
      <c r="K66" s="69"/>
      <c r="L66" s="40">
        <v>150</v>
      </c>
      <c r="M66" s="88" t="str">
        <f>"96,8850"</f>
        <v>96,8850</v>
      </c>
      <c r="N66" s="88" t="s">
        <v>946</v>
      </c>
    </row>
    <row r="67" spans="1:14" ht="12.75">
      <c r="A67" s="50">
        <v>0</v>
      </c>
      <c r="B67" s="88" t="s">
        <v>50</v>
      </c>
      <c r="C67" s="88" t="s">
        <v>51</v>
      </c>
      <c r="D67" s="88" t="s">
        <v>52</v>
      </c>
      <c r="E67" s="88" t="str">
        <f>"0,6483"</f>
        <v>0,6483</v>
      </c>
      <c r="F67" s="88" t="s">
        <v>29</v>
      </c>
      <c r="G67" s="88" t="s">
        <v>53</v>
      </c>
      <c r="H67" s="67" t="s">
        <v>25</v>
      </c>
      <c r="I67" s="69"/>
      <c r="J67" s="69"/>
      <c r="K67" s="69"/>
      <c r="L67" s="40">
        <v>0</v>
      </c>
      <c r="M67" s="88" t="str">
        <f>"0,0000"</f>
        <v>0,0000</v>
      </c>
      <c r="N67" s="88" t="s">
        <v>1040</v>
      </c>
    </row>
    <row r="68" spans="1:14" ht="12.75">
      <c r="A68" s="50">
        <v>1</v>
      </c>
      <c r="B68" s="88" t="s">
        <v>333</v>
      </c>
      <c r="C68" s="88" t="s">
        <v>334</v>
      </c>
      <c r="D68" s="88" t="s">
        <v>335</v>
      </c>
      <c r="E68" s="88" t="str">
        <f>"0,6398"</f>
        <v>0,6398</v>
      </c>
      <c r="F68" s="88" t="s">
        <v>29</v>
      </c>
      <c r="G68" s="88" t="s">
        <v>1000</v>
      </c>
      <c r="H68" s="22" t="s">
        <v>23</v>
      </c>
      <c r="I68" s="69"/>
      <c r="J68" s="69"/>
      <c r="K68" s="69"/>
      <c r="L68" s="40">
        <v>160</v>
      </c>
      <c r="M68" s="88" t="str">
        <f>"102,3680"</f>
        <v>102,3680</v>
      </c>
      <c r="N68" s="88" t="s">
        <v>130</v>
      </c>
    </row>
    <row r="69" spans="1:14" ht="12.75">
      <c r="A69" s="50">
        <v>2</v>
      </c>
      <c r="B69" s="88" t="s">
        <v>336</v>
      </c>
      <c r="C69" s="88" t="s">
        <v>337</v>
      </c>
      <c r="D69" s="88" t="s">
        <v>338</v>
      </c>
      <c r="E69" s="88" t="str">
        <f>"0,6549"</f>
        <v>0,6549</v>
      </c>
      <c r="F69" s="88" t="s">
        <v>1018</v>
      </c>
      <c r="G69" s="88" t="s">
        <v>1000</v>
      </c>
      <c r="H69" s="22" t="s">
        <v>36</v>
      </c>
      <c r="I69" s="22" t="s">
        <v>295</v>
      </c>
      <c r="J69" s="22" t="s">
        <v>266</v>
      </c>
      <c r="K69" s="69"/>
      <c r="L69" s="40">
        <v>155</v>
      </c>
      <c r="M69" s="88" t="str">
        <f>"101,5095"</f>
        <v>101,5095</v>
      </c>
      <c r="N69" s="88" t="s">
        <v>130</v>
      </c>
    </row>
    <row r="70" spans="1:14" ht="12.75">
      <c r="A70" s="50">
        <v>3</v>
      </c>
      <c r="B70" s="88" t="s">
        <v>339</v>
      </c>
      <c r="C70" s="88" t="s">
        <v>340</v>
      </c>
      <c r="D70" s="88" t="s">
        <v>341</v>
      </c>
      <c r="E70" s="88" t="str">
        <f>"0,6421"</f>
        <v>0,6421</v>
      </c>
      <c r="F70" s="88" t="s">
        <v>83</v>
      </c>
      <c r="G70" s="88" t="s">
        <v>1000</v>
      </c>
      <c r="H70" s="22" t="s">
        <v>36</v>
      </c>
      <c r="I70" s="67" t="s">
        <v>295</v>
      </c>
      <c r="J70" s="22" t="s">
        <v>295</v>
      </c>
      <c r="K70" s="69"/>
      <c r="L70" s="40">
        <v>152.5</v>
      </c>
      <c r="M70" s="88" t="str">
        <f>"97,9202"</f>
        <v>97,9202</v>
      </c>
      <c r="N70" s="88" t="s">
        <v>923</v>
      </c>
    </row>
    <row r="71" spans="1:14" ht="12.75">
      <c r="A71" s="50">
        <v>4</v>
      </c>
      <c r="B71" s="88" t="s">
        <v>342</v>
      </c>
      <c r="C71" s="88" t="s">
        <v>343</v>
      </c>
      <c r="D71" s="88" t="s">
        <v>344</v>
      </c>
      <c r="E71" s="88" t="str">
        <f>"0,6532"</f>
        <v>0,6532</v>
      </c>
      <c r="F71" s="88" t="s">
        <v>29</v>
      </c>
      <c r="G71" s="88" t="s">
        <v>1000</v>
      </c>
      <c r="H71" s="22" t="s">
        <v>253</v>
      </c>
      <c r="I71" s="67" t="s">
        <v>40</v>
      </c>
      <c r="J71" s="22" t="s">
        <v>40</v>
      </c>
      <c r="K71" s="69"/>
      <c r="L71" s="40">
        <v>135</v>
      </c>
      <c r="M71" s="88" t="str">
        <f>"88,1820"</f>
        <v>88,1820</v>
      </c>
      <c r="N71" s="88" t="s">
        <v>926</v>
      </c>
    </row>
    <row r="72" spans="1:14" ht="12.75">
      <c r="A72" s="50">
        <v>0</v>
      </c>
      <c r="B72" s="88" t="s">
        <v>345</v>
      </c>
      <c r="C72" s="88" t="s">
        <v>346</v>
      </c>
      <c r="D72" s="88" t="s">
        <v>347</v>
      </c>
      <c r="E72" s="88" t="str">
        <f>"0,6413"</f>
        <v>0,6413</v>
      </c>
      <c r="F72" s="88" t="s">
        <v>29</v>
      </c>
      <c r="G72" s="88" t="s">
        <v>1010</v>
      </c>
      <c r="H72" s="67" t="s">
        <v>306</v>
      </c>
      <c r="I72" s="67" t="s">
        <v>47</v>
      </c>
      <c r="J72" s="67" t="s">
        <v>47</v>
      </c>
      <c r="K72" s="69"/>
      <c r="L72" s="40">
        <v>0</v>
      </c>
      <c r="M72" s="88" t="str">
        <f>"0,0000"</f>
        <v>0,0000</v>
      </c>
      <c r="N72" s="88" t="s">
        <v>1041</v>
      </c>
    </row>
    <row r="73" spans="1:14" ht="12.75">
      <c r="A73" s="49">
        <v>1</v>
      </c>
      <c r="B73" s="87" t="s">
        <v>348</v>
      </c>
      <c r="C73" s="87" t="s">
        <v>349</v>
      </c>
      <c r="D73" s="87" t="s">
        <v>332</v>
      </c>
      <c r="E73" s="87" t="str">
        <f>"0,6459"</f>
        <v>0,6459</v>
      </c>
      <c r="F73" s="87" t="s">
        <v>29</v>
      </c>
      <c r="G73" s="87" t="s">
        <v>1000</v>
      </c>
      <c r="H73" s="23" t="s">
        <v>35</v>
      </c>
      <c r="I73" s="23" t="s">
        <v>36</v>
      </c>
      <c r="J73" s="70" t="s">
        <v>295</v>
      </c>
      <c r="K73" s="71"/>
      <c r="L73" s="39">
        <v>145</v>
      </c>
      <c r="M73" s="87" t="str">
        <f>"119,2235"</f>
        <v>119,2235</v>
      </c>
      <c r="N73" s="87" t="s">
        <v>130</v>
      </c>
    </row>
    <row r="74" ht="12.75">
      <c r="I74" s="76"/>
    </row>
    <row r="75" spans="2:13" ht="15.75">
      <c r="B75" s="118" t="s">
        <v>72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4" ht="12.75">
      <c r="A76" s="48">
        <v>1</v>
      </c>
      <c r="B76" s="86" t="s">
        <v>350</v>
      </c>
      <c r="C76" s="86" t="s">
        <v>351</v>
      </c>
      <c r="D76" s="86" t="s">
        <v>92</v>
      </c>
      <c r="E76" s="86" t="str">
        <f>"0,6134"</f>
        <v>0,6134</v>
      </c>
      <c r="F76" s="86" t="s">
        <v>29</v>
      </c>
      <c r="G76" s="86" t="s">
        <v>1000</v>
      </c>
      <c r="H76" s="21" t="s">
        <v>352</v>
      </c>
      <c r="I76" s="21" t="s">
        <v>353</v>
      </c>
      <c r="J76" s="21" t="s">
        <v>313</v>
      </c>
      <c r="K76" s="68"/>
      <c r="L76" s="38">
        <v>112.5</v>
      </c>
      <c r="M76" s="86" t="str">
        <f>"69,0075"</f>
        <v>69,0075</v>
      </c>
      <c r="N76" s="86" t="s">
        <v>919</v>
      </c>
    </row>
    <row r="77" spans="1:14" ht="12.75">
      <c r="A77" s="50">
        <v>0</v>
      </c>
      <c r="B77" s="88" t="s">
        <v>354</v>
      </c>
      <c r="C77" s="88" t="s">
        <v>355</v>
      </c>
      <c r="D77" s="88" t="s">
        <v>356</v>
      </c>
      <c r="E77" s="88" t="str">
        <f>"0,6194"</f>
        <v>0,6194</v>
      </c>
      <c r="F77" s="88" t="s">
        <v>29</v>
      </c>
      <c r="G77" s="88" t="s">
        <v>1000</v>
      </c>
      <c r="H77" s="67" t="s">
        <v>266</v>
      </c>
      <c r="I77" s="67" t="s">
        <v>266</v>
      </c>
      <c r="J77" s="67" t="s">
        <v>266</v>
      </c>
      <c r="K77" s="69"/>
      <c r="L77" s="40">
        <v>0</v>
      </c>
      <c r="M77" s="88" t="str">
        <f>"0,0000"</f>
        <v>0,0000</v>
      </c>
      <c r="N77" s="88" t="s">
        <v>1042</v>
      </c>
    </row>
    <row r="78" spans="1:14" ht="12.75">
      <c r="A78" s="50">
        <v>1</v>
      </c>
      <c r="B78" s="88" t="s">
        <v>357</v>
      </c>
      <c r="C78" s="88" t="s">
        <v>358</v>
      </c>
      <c r="D78" s="88" t="s">
        <v>359</v>
      </c>
      <c r="E78" s="88" t="str">
        <f>"0,6169"</f>
        <v>0,6169</v>
      </c>
      <c r="F78" s="88" t="s">
        <v>14</v>
      </c>
      <c r="G78" s="88" t="s">
        <v>15</v>
      </c>
      <c r="H78" s="22" t="s">
        <v>266</v>
      </c>
      <c r="I78" s="22" t="s">
        <v>360</v>
      </c>
      <c r="J78" s="67" t="s">
        <v>25</v>
      </c>
      <c r="K78" s="69"/>
      <c r="L78" s="40">
        <v>162.5</v>
      </c>
      <c r="M78" s="88" t="str">
        <f>"100,2463"</f>
        <v>100,2463</v>
      </c>
      <c r="N78" s="88" t="s">
        <v>930</v>
      </c>
    </row>
    <row r="79" spans="1:14" ht="12.75">
      <c r="A79" s="50">
        <v>2</v>
      </c>
      <c r="B79" s="88" t="s">
        <v>361</v>
      </c>
      <c r="C79" s="88" t="s">
        <v>362</v>
      </c>
      <c r="D79" s="88" t="s">
        <v>363</v>
      </c>
      <c r="E79" s="88" t="str">
        <f>"0,6147"</f>
        <v>0,6147</v>
      </c>
      <c r="F79" s="88" t="s">
        <v>29</v>
      </c>
      <c r="G79" s="88" t="s">
        <v>1005</v>
      </c>
      <c r="H79" s="22" t="s">
        <v>266</v>
      </c>
      <c r="I79" s="22" t="s">
        <v>23</v>
      </c>
      <c r="J79" s="77" t="s">
        <v>360</v>
      </c>
      <c r="K79" s="69"/>
      <c r="L79" s="40">
        <v>162.5</v>
      </c>
      <c r="M79" s="88" t="str">
        <f>"99,8888"</f>
        <v>99,8888</v>
      </c>
      <c r="N79" s="88" t="s">
        <v>130</v>
      </c>
    </row>
    <row r="80" spans="1:14" ht="12.75">
      <c r="A80" s="50">
        <v>3</v>
      </c>
      <c r="B80" s="88" t="s">
        <v>364</v>
      </c>
      <c r="C80" s="88" t="s">
        <v>365</v>
      </c>
      <c r="D80" s="88" t="s">
        <v>366</v>
      </c>
      <c r="E80" s="88" t="str">
        <f>"0,6106"</f>
        <v>0,6106</v>
      </c>
      <c r="F80" s="88" t="s">
        <v>1014</v>
      </c>
      <c r="G80" s="88" t="s">
        <v>239</v>
      </c>
      <c r="H80" s="22" t="s">
        <v>266</v>
      </c>
      <c r="I80" s="22" t="s">
        <v>360</v>
      </c>
      <c r="J80" s="67" t="s">
        <v>25</v>
      </c>
      <c r="K80" s="69"/>
      <c r="L80" s="40">
        <v>162.5</v>
      </c>
      <c r="M80" s="88" t="str">
        <f>"99,2225"</f>
        <v>99,2225</v>
      </c>
      <c r="N80" s="88" t="s">
        <v>130</v>
      </c>
    </row>
    <row r="81" spans="1:14" ht="12.75">
      <c r="A81" s="50">
        <v>4</v>
      </c>
      <c r="B81" s="88" t="s">
        <v>367</v>
      </c>
      <c r="C81" s="88" t="s">
        <v>368</v>
      </c>
      <c r="D81" s="88" t="s">
        <v>369</v>
      </c>
      <c r="E81" s="88" t="str">
        <f>"0,6203"</f>
        <v>0,6203</v>
      </c>
      <c r="F81" s="88" t="s">
        <v>29</v>
      </c>
      <c r="G81" s="88" t="s">
        <v>1000</v>
      </c>
      <c r="H81" s="22" t="s">
        <v>140</v>
      </c>
      <c r="I81" s="22" t="s">
        <v>266</v>
      </c>
      <c r="J81" s="22" t="s">
        <v>23</v>
      </c>
      <c r="K81" s="69"/>
      <c r="L81" s="40">
        <v>160</v>
      </c>
      <c r="M81" s="88" t="str">
        <f>"99,2480"</f>
        <v>99,2480</v>
      </c>
      <c r="N81" s="88" t="s">
        <v>130</v>
      </c>
    </row>
    <row r="82" spans="1:14" ht="12.75">
      <c r="A82" s="50">
        <v>1</v>
      </c>
      <c r="B82" s="88" t="s">
        <v>370</v>
      </c>
      <c r="C82" s="88" t="s">
        <v>371</v>
      </c>
      <c r="D82" s="88" t="s">
        <v>372</v>
      </c>
      <c r="E82" s="88" t="str">
        <f>"0,6123"</f>
        <v>0,6123</v>
      </c>
      <c r="F82" s="88" t="s">
        <v>14</v>
      </c>
      <c r="G82" s="88" t="s">
        <v>15</v>
      </c>
      <c r="H82" s="22" t="s">
        <v>326</v>
      </c>
      <c r="I82" s="22" t="s">
        <v>46</v>
      </c>
      <c r="J82" s="22" t="s">
        <v>306</v>
      </c>
      <c r="K82" s="69"/>
      <c r="L82" s="40">
        <v>125</v>
      </c>
      <c r="M82" s="88" t="str">
        <f>"76,5375"</f>
        <v>76,5375</v>
      </c>
      <c r="N82" s="88" t="s">
        <v>930</v>
      </c>
    </row>
    <row r="83" spans="1:14" ht="12.75">
      <c r="A83" s="49">
        <v>1</v>
      </c>
      <c r="B83" s="87" t="s">
        <v>364</v>
      </c>
      <c r="C83" s="87" t="s">
        <v>373</v>
      </c>
      <c r="D83" s="87" t="s">
        <v>366</v>
      </c>
      <c r="E83" s="87" t="str">
        <f>"0,6106"</f>
        <v>0,6106</v>
      </c>
      <c r="F83" s="87" t="s">
        <v>1014</v>
      </c>
      <c r="G83" s="87" t="s">
        <v>239</v>
      </c>
      <c r="H83" s="23" t="s">
        <v>266</v>
      </c>
      <c r="I83" s="23" t="s">
        <v>360</v>
      </c>
      <c r="J83" s="70" t="s">
        <v>25</v>
      </c>
      <c r="K83" s="71"/>
      <c r="L83" s="39">
        <v>162.5</v>
      </c>
      <c r="M83" s="87" t="str">
        <f>"106,9619"</f>
        <v>106,9619</v>
      </c>
      <c r="N83" s="87" t="s">
        <v>130</v>
      </c>
    </row>
    <row r="85" spans="2:13" ht="15.75">
      <c r="B85" s="118" t="s">
        <v>95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1:14" ht="12.75">
      <c r="A86" s="48">
        <v>1</v>
      </c>
      <c r="B86" s="86" t="s">
        <v>374</v>
      </c>
      <c r="C86" s="86" t="s">
        <v>375</v>
      </c>
      <c r="D86" s="86" t="s">
        <v>376</v>
      </c>
      <c r="E86" s="86" t="str">
        <f>"0,5966"</f>
        <v>0,5966</v>
      </c>
      <c r="F86" s="86" t="s">
        <v>14</v>
      </c>
      <c r="G86" s="86" t="s">
        <v>15</v>
      </c>
      <c r="H86" s="21" t="s">
        <v>377</v>
      </c>
      <c r="I86" s="21" t="s">
        <v>352</v>
      </c>
      <c r="J86" s="66" t="s">
        <v>261</v>
      </c>
      <c r="K86" s="68"/>
      <c r="L86" s="38">
        <v>95</v>
      </c>
      <c r="M86" s="86" t="str">
        <f>"56,6770"</f>
        <v>56,6770</v>
      </c>
      <c r="N86" s="86" t="s">
        <v>930</v>
      </c>
    </row>
    <row r="87" spans="1:14" ht="12.75">
      <c r="A87" s="50">
        <v>1</v>
      </c>
      <c r="B87" s="88" t="s">
        <v>378</v>
      </c>
      <c r="C87" s="88" t="s">
        <v>379</v>
      </c>
      <c r="D87" s="88" t="s">
        <v>380</v>
      </c>
      <c r="E87" s="88" t="str">
        <f>"0,5903"</f>
        <v>0,5903</v>
      </c>
      <c r="F87" s="88" t="s">
        <v>1014</v>
      </c>
      <c r="G87" s="88" t="s">
        <v>239</v>
      </c>
      <c r="H87" s="22" t="s">
        <v>93</v>
      </c>
      <c r="I87" s="22" t="s">
        <v>381</v>
      </c>
      <c r="J87" s="67" t="s">
        <v>77</v>
      </c>
      <c r="K87" s="69"/>
      <c r="L87" s="40">
        <v>187.5</v>
      </c>
      <c r="M87" s="88" t="str">
        <f>"110,6813"</f>
        <v>110,6813</v>
      </c>
      <c r="N87" s="88" t="s">
        <v>130</v>
      </c>
    </row>
    <row r="88" spans="1:14" ht="12.75">
      <c r="A88" s="50">
        <v>2</v>
      </c>
      <c r="B88" s="88" t="s">
        <v>382</v>
      </c>
      <c r="C88" s="88" t="s">
        <v>383</v>
      </c>
      <c r="D88" s="88" t="s">
        <v>384</v>
      </c>
      <c r="E88" s="88" t="str">
        <f>"0,5898"</f>
        <v>0,5898</v>
      </c>
      <c r="F88" s="88" t="s">
        <v>29</v>
      </c>
      <c r="G88" s="88" t="s">
        <v>1000</v>
      </c>
      <c r="H88" s="22" t="s">
        <v>55</v>
      </c>
      <c r="I88" s="22" t="s">
        <v>93</v>
      </c>
      <c r="J88" s="22" t="s">
        <v>113</v>
      </c>
      <c r="K88" s="69"/>
      <c r="L88" s="40">
        <v>182.5</v>
      </c>
      <c r="M88" s="88" t="str">
        <f>"107,6385"</f>
        <v>107,6385</v>
      </c>
      <c r="N88" s="88" t="s">
        <v>130</v>
      </c>
    </row>
    <row r="89" spans="1:14" ht="12.75">
      <c r="A89" s="50">
        <v>3</v>
      </c>
      <c r="B89" s="88" t="s">
        <v>117</v>
      </c>
      <c r="C89" s="88" t="s">
        <v>243</v>
      </c>
      <c r="D89" s="88" t="s">
        <v>119</v>
      </c>
      <c r="E89" s="88" t="str">
        <f>"0,5924"</f>
        <v>0,5924</v>
      </c>
      <c r="F89" s="88" t="s">
        <v>29</v>
      </c>
      <c r="G89" s="88" t="s">
        <v>1010</v>
      </c>
      <c r="H89" s="22" t="s">
        <v>54</v>
      </c>
      <c r="I89" s="69"/>
      <c r="J89" s="69"/>
      <c r="K89" s="69"/>
      <c r="L89" s="40">
        <v>172.5</v>
      </c>
      <c r="M89" s="88" t="str">
        <f>"102,1890"</f>
        <v>102,1890</v>
      </c>
      <c r="N89" s="88" t="s">
        <v>130</v>
      </c>
    </row>
    <row r="90" spans="1:14" ht="12.75">
      <c r="A90" s="50">
        <v>4</v>
      </c>
      <c r="B90" s="88" t="s">
        <v>385</v>
      </c>
      <c r="C90" s="88" t="s">
        <v>386</v>
      </c>
      <c r="D90" s="88" t="s">
        <v>387</v>
      </c>
      <c r="E90" s="88" t="str">
        <f>"0,5968"</f>
        <v>0,5968</v>
      </c>
      <c r="F90" s="88" t="s">
        <v>29</v>
      </c>
      <c r="G90" s="88" t="s">
        <v>388</v>
      </c>
      <c r="H90" s="22" t="s">
        <v>389</v>
      </c>
      <c r="I90" s="67" t="s">
        <v>390</v>
      </c>
      <c r="J90" s="67" t="s">
        <v>390</v>
      </c>
      <c r="K90" s="69"/>
      <c r="L90" s="40">
        <v>147.5</v>
      </c>
      <c r="M90" s="88" t="str">
        <f>"88,0280"</f>
        <v>88,0280</v>
      </c>
      <c r="N90" s="88" t="s">
        <v>130</v>
      </c>
    </row>
    <row r="91" spans="1:14" ht="12.75">
      <c r="A91" s="50">
        <v>0</v>
      </c>
      <c r="B91" s="88" t="s">
        <v>117</v>
      </c>
      <c r="C91" s="88" t="s">
        <v>243</v>
      </c>
      <c r="D91" s="88" t="s">
        <v>119</v>
      </c>
      <c r="E91" s="88" t="str">
        <f>"0,5924"</f>
        <v>0,5924</v>
      </c>
      <c r="F91" s="88" t="s">
        <v>29</v>
      </c>
      <c r="G91" s="88" t="s">
        <v>1010</v>
      </c>
      <c r="H91" s="67" t="s">
        <v>54</v>
      </c>
      <c r="I91" s="69"/>
      <c r="J91" s="69"/>
      <c r="K91" s="69"/>
      <c r="L91" s="40">
        <v>0</v>
      </c>
      <c r="M91" s="88" t="str">
        <f>"0,0000"</f>
        <v>0,0000</v>
      </c>
      <c r="N91" s="88" t="s">
        <v>130</v>
      </c>
    </row>
    <row r="92" spans="1:14" ht="12.75">
      <c r="A92" s="49">
        <v>1</v>
      </c>
      <c r="B92" s="87" t="s">
        <v>117</v>
      </c>
      <c r="C92" s="87" t="s">
        <v>118</v>
      </c>
      <c r="D92" s="87" t="s">
        <v>119</v>
      </c>
      <c r="E92" s="87" t="str">
        <f>"0,5924"</f>
        <v>0,5924</v>
      </c>
      <c r="F92" s="87" t="s">
        <v>29</v>
      </c>
      <c r="G92" s="87" t="s">
        <v>1010</v>
      </c>
      <c r="H92" s="23" t="s">
        <v>54</v>
      </c>
      <c r="I92" s="70" t="s">
        <v>64</v>
      </c>
      <c r="J92" s="70" t="s">
        <v>113</v>
      </c>
      <c r="K92" s="71"/>
      <c r="L92" s="39">
        <v>172.5</v>
      </c>
      <c r="M92" s="87" t="str">
        <f>"105,0503"</f>
        <v>105,0503</v>
      </c>
      <c r="N92" s="87" t="s">
        <v>130</v>
      </c>
    </row>
    <row r="94" spans="2:13" ht="15.75">
      <c r="B94" s="118" t="s">
        <v>123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</row>
    <row r="95" spans="1:14" ht="12.75">
      <c r="A95" s="48">
        <v>1</v>
      </c>
      <c r="B95" s="86" t="s">
        <v>391</v>
      </c>
      <c r="C95" s="86" t="s">
        <v>392</v>
      </c>
      <c r="D95" s="86" t="s">
        <v>393</v>
      </c>
      <c r="E95" s="86" t="str">
        <f>"0,5878"</f>
        <v>0,5878</v>
      </c>
      <c r="F95" s="86" t="s">
        <v>1014</v>
      </c>
      <c r="G95" s="86" t="s">
        <v>239</v>
      </c>
      <c r="H95" s="21" t="s">
        <v>79</v>
      </c>
      <c r="I95" s="21" t="s">
        <v>394</v>
      </c>
      <c r="J95" s="66" t="s">
        <v>395</v>
      </c>
      <c r="K95" s="68"/>
      <c r="L95" s="38">
        <v>210</v>
      </c>
      <c r="M95" s="86" t="str">
        <f>"123,4380"</f>
        <v>123,4380</v>
      </c>
      <c r="N95" s="86" t="s">
        <v>943</v>
      </c>
    </row>
    <row r="96" spans="1:14" ht="12.75">
      <c r="A96" s="49">
        <v>2</v>
      </c>
      <c r="B96" s="87" t="s">
        <v>391</v>
      </c>
      <c r="C96" s="87" t="s">
        <v>396</v>
      </c>
      <c r="D96" s="87" t="s">
        <v>393</v>
      </c>
      <c r="E96" s="87" t="str">
        <f>"0,5878"</f>
        <v>0,5878</v>
      </c>
      <c r="F96" s="87" t="s">
        <v>1014</v>
      </c>
      <c r="G96" s="87" t="s">
        <v>239</v>
      </c>
      <c r="H96" s="23" t="s">
        <v>79</v>
      </c>
      <c r="I96" s="23" t="s">
        <v>394</v>
      </c>
      <c r="J96" s="70" t="s">
        <v>395</v>
      </c>
      <c r="K96" s="71"/>
      <c r="L96" s="39">
        <v>210</v>
      </c>
      <c r="M96" s="87" t="str">
        <f>"123,4380"</f>
        <v>123,4380</v>
      </c>
      <c r="N96" s="87" t="s">
        <v>943</v>
      </c>
    </row>
    <row r="98" spans="2:3" ht="18">
      <c r="B98" s="89" t="s">
        <v>146</v>
      </c>
      <c r="C98" s="89"/>
    </row>
    <row r="99" spans="2:3" ht="15.75">
      <c r="B99" s="18" t="s">
        <v>153</v>
      </c>
      <c r="C99" s="18"/>
    </row>
    <row r="100" spans="2:3" ht="13.5">
      <c r="B100" s="90"/>
      <c r="C100" s="90" t="s">
        <v>397</v>
      </c>
    </row>
    <row r="101" spans="1:6" ht="13.5">
      <c r="A101" s="78" t="s">
        <v>873</v>
      </c>
      <c r="B101" s="16" t="s">
        <v>148</v>
      </c>
      <c r="C101" s="16" t="s">
        <v>149</v>
      </c>
      <c r="D101" s="16" t="s">
        <v>150</v>
      </c>
      <c r="E101" s="16" t="s">
        <v>151</v>
      </c>
      <c r="F101" s="16" t="s">
        <v>152</v>
      </c>
    </row>
    <row r="102" spans="1:6" ht="12.75">
      <c r="A102" s="79">
        <v>1</v>
      </c>
      <c r="B102" s="36" t="s">
        <v>320</v>
      </c>
      <c r="C102" s="36" t="s">
        <v>398</v>
      </c>
      <c r="D102" s="36" t="s">
        <v>156</v>
      </c>
      <c r="E102" s="36" t="s">
        <v>253</v>
      </c>
      <c r="F102" s="80" t="s">
        <v>399</v>
      </c>
    </row>
    <row r="103" spans="1:6" ht="12.75">
      <c r="A103" s="79">
        <v>2</v>
      </c>
      <c r="B103" s="36" t="s">
        <v>323</v>
      </c>
      <c r="C103" s="36" t="s">
        <v>398</v>
      </c>
      <c r="D103" s="36" t="s">
        <v>156</v>
      </c>
      <c r="E103" s="36" t="s">
        <v>306</v>
      </c>
      <c r="F103" s="80" t="s">
        <v>400</v>
      </c>
    </row>
    <row r="104" spans="1:6" ht="12.75">
      <c r="A104" s="79">
        <v>3</v>
      </c>
      <c r="B104" s="36" t="s">
        <v>350</v>
      </c>
      <c r="C104" s="36" t="s">
        <v>398</v>
      </c>
      <c r="D104" s="36" t="s">
        <v>157</v>
      </c>
      <c r="E104" s="36" t="s">
        <v>313</v>
      </c>
      <c r="F104" s="80" t="s">
        <v>401</v>
      </c>
    </row>
    <row r="105" ht="12.75">
      <c r="F105" s="80"/>
    </row>
    <row r="106" spans="2:3" ht="13.5">
      <c r="B106" s="90"/>
      <c r="C106" s="90" t="s">
        <v>154</v>
      </c>
    </row>
    <row r="107" spans="1:6" ht="13.5">
      <c r="A107" s="78" t="s">
        <v>873</v>
      </c>
      <c r="B107" s="16" t="s">
        <v>148</v>
      </c>
      <c r="C107" s="16" t="s">
        <v>149</v>
      </c>
      <c r="D107" s="16" t="s">
        <v>150</v>
      </c>
      <c r="E107" s="16" t="s">
        <v>151</v>
      </c>
      <c r="F107" s="16" t="s">
        <v>152</v>
      </c>
    </row>
    <row r="108" spans="1:6" ht="12.75">
      <c r="A108" s="79">
        <v>1</v>
      </c>
      <c r="B108" s="36" t="s">
        <v>327</v>
      </c>
      <c r="C108" s="36" t="s">
        <v>155</v>
      </c>
      <c r="D108" s="36" t="s">
        <v>156</v>
      </c>
      <c r="E108" s="36" t="s">
        <v>295</v>
      </c>
      <c r="F108" s="80" t="s">
        <v>402</v>
      </c>
    </row>
    <row r="109" spans="1:6" ht="12.75">
      <c r="A109" s="79">
        <v>2</v>
      </c>
      <c r="B109" s="36" t="s">
        <v>330</v>
      </c>
      <c r="C109" s="36" t="s">
        <v>155</v>
      </c>
      <c r="D109" s="36" t="s">
        <v>156</v>
      </c>
      <c r="E109" s="36" t="s">
        <v>140</v>
      </c>
      <c r="F109" s="80" t="s">
        <v>403</v>
      </c>
    </row>
    <row r="110" spans="1:6" ht="12.75">
      <c r="A110" s="79">
        <v>3</v>
      </c>
      <c r="B110" s="36" t="s">
        <v>279</v>
      </c>
      <c r="C110" s="36" t="s">
        <v>155</v>
      </c>
      <c r="D110" s="36" t="s">
        <v>163</v>
      </c>
      <c r="E110" s="36" t="s">
        <v>41</v>
      </c>
      <c r="F110" s="80" t="s">
        <v>404</v>
      </c>
    </row>
    <row r="111" spans="2:6" ht="1.5" customHeight="1">
      <c r="B111" s="36" t="s">
        <v>250</v>
      </c>
      <c r="C111" s="36" t="s">
        <v>155</v>
      </c>
      <c r="D111" s="36" t="s">
        <v>405</v>
      </c>
      <c r="E111" s="36" t="s">
        <v>47</v>
      </c>
      <c r="F111" s="80" t="s">
        <v>406</v>
      </c>
    </row>
    <row r="112" spans="2:3" ht="13.5">
      <c r="B112" s="90"/>
      <c r="C112" s="90" t="s">
        <v>147</v>
      </c>
    </row>
    <row r="113" spans="1:6" ht="13.5">
      <c r="A113" s="78" t="s">
        <v>873</v>
      </c>
      <c r="B113" s="16" t="s">
        <v>148</v>
      </c>
      <c r="C113" s="16" t="s">
        <v>149</v>
      </c>
      <c r="D113" s="16" t="s">
        <v>150</v>
      </c>
      <c r="E113" s="16" t="s">
        <v>151</v>
      </c>
      <c r="F113" s="16" t="s">
        <v>152</v>
      </c>
    </row>
    <row r="114" spans="1:6" ht="12.75">
      <c r="A114" s="79">
        <v>1</v>
      </c>
      <c r="B114" s="36" t="s">
        <v>391</v>
      </c>
      <c r="C114" s="36" t="s">
        <v>147</v>
      </c>
      <c r="D114" s="36" t="s">
        <v>162</v>
      </c>
      <c r="E114" s="36" t="s">
        <v>394</v>
      </c>
      <c r="F114" s="80" t="s">
        <v>407</v>
      </c>
    </row>
    <row r="115" spans="1:6" ht="12.75">
      <c r="A115" s="79">
        <v>2</v>
      </c>
      <c r="B115" s="36" t="s">
        <v>285</v>
      </c>
      <c r="C115" s="36" t="s">
        <v>147</v>
      </c>
      <c r="D115" s="36" t="s">
        <v>163</v>
      </c>
      <c r="E115" s="36" t="s">
        <v>55</v>
      </c>
      <c r="F115" s="80" t="s">
        <v>408</v>
      </c>
    </row>
    <row r="116" spans="1:6" ht="12.75">
      <c r="A116" s="79">
        <v>3</v>
      </c>
      <c r="B116" s="36" t="s">
        <v>264</v>
      </c>
      <c r="C116" s="36" t="s">
        <v>147</v>
      </c>
      <c r="D116" s="36" t="s">
        <v>405</v>
      </c>
      <c r="E116" s="36" t="s">
        <v>23</v>
      </c>
      <c r="F116" s="80" t="s">
        <v>409</v>
      </c>
    </row>
    <row r="117" spans="1:14" ht="12.75">
      <c r="A117" s="36"/>
      <c r="E117" s="37"/>
      <c r="H117" s="82"/>
      <c r="I117" s="82"/>
      <c r="J117" s="82"/>
      <c r="K117" s="82"/>
      <c r="L117" s="82"/>
      <c r="M117" s="82"/>
      <c r="N117" s="82"/>
    </row>
    <row r="118" spans="1:14" ht="12.75">
      <c r="A118" s="36"/>
      <c r="E118" s="37"/>
      <c r="H118" s="82"/>
      <c r="I118" s="82"/>
      <c r="J118" s="82"/>
      <c r="K118" s="82"/>
      <c r="L118" s="82"/>
      <c r="M118" s="82"/>
      <c r="N118" s="82"/>
    </row>
    <row r="119" spans="1:14" ht="12.75">
      <c r="A119" s="36"/>
      <c r="E119" s="37"/>
      <c r="H119" s="82"/>
      <c r="I119" s="82"/>
      <c r="J119" s="82"/>
      <c r="K119" s="82"/>
      <c r="L119" s="82"/>
      <c r="M119" s="82"/>
      <c r="N119" s="82"/>
    </row>
    <row r="120" spans="1:14" ht="12.75">
      <c r="A120" s="36"/>
      <c r="E120" s="37"/>
      <c r="H120" s="82"/>
      <c r="I120" s="82"/>
      <c r="J120" s="82"/>
      <c r="K120" s="82"/>
      <c r="L120" s="82"/>
      <c r="M120" s="82"/>
      <c r="N120" s="82"/>
    </row>
    <row r="121" spans="1:14" ht="12.75">
      <c r="A121" s="36"/>
      <c r="E121" s="37"/>
      <c r="H121" s="82"/>
      <c r="I121" s="82"/>
      <c r="J121" s="82"/>
      <c r="K121" s="82"/>
      <c r="L121" s="82"/>
      <c r="M121" s="82"/>
      <c r="N121" s="82"/>
    </row>
    <row r="122" spans="1:14" ht="12.75">
      <c r="A122" s="36"/>
      <c r="E122" s="37"/>
      <c r="H122" s="82"/>
      <c r="I122" s="82"/>
      <c r="J122" s="82"/>
      <c r="K122" s="82"/>
      <c r="L122" s="82"/>
      <c r="M122" s="82"/>
      <c r="N122" s="82"/>
    </row>
    <row r="123" spans="1:14" ht="12.75">
      <c r="A123" s="36"/>
      <c r="E123" s="37"/>
      <c r="H123" s="82"/>
      <c r="I123" s="82"/>
      <c r="J123" s="82"/>
      <c r="K123" s="82"/>
      <c r="L123" s="82"/>
      <c r="M123" s="82"/>
      <c r="N123" s="82"/>
    </row>
    <row r="124" spans="1:14" ht="12.75">
      <c r="A124" s="36"/>
      <c r="E124" s="37"/>
      <c r="H124" s="82"/>
      <c r="I124" s="82"/>
      <c r="J124" s="82"/>
      <c r="K124" s="82"/>
      <c r="L124" s="82"/>
      <c r="M124" s="82"/>
      <c r="N124" s="82"/>
    </row>
    <row r="125" spans="1:14" ht="12.75">
      <c r="A125" s="36"/>
      <c r="E125" s="37"/>
      <c r="H125" s="82"/>
      <c r="I125" s="82"/>
      <c r="J125" s="82"/>
      <c r="K125" s="82"/>
      <c r="L125" s="82"/>
      <c r="M125" s="82"/>
      <c r="N125" s="82"/>
    </row>
    <row r="126" spans="1:14" ht="12.75">
      <c r="A126" s="36"/>
      <c r="E126" s="37"/>
      <c r="H126" s="82"/>
      <c r="I126" s="82"/>
      <c r="J126" s="82"/>
      <c r="K126" s="82"/>
      <c r="L126" s="82"/>
      <c r="M126" s="82"/>
      <c r="N126" s="82"/>
    </row>
    <row r="127" spans="1:14" ht="12.75">
      <c r="A127" s="36"/>
      <c r="E127" s="37"/>
      <c r="H127" s="82"/>
      <c r="I127" s="82"/>
      <c r="J127" s="82"/>
      <c r="K127" s="82"/>
      <c r="L127" s="82"/>
      <c r="M127" s="82"/>
      <c r="N127" s="82"/>
    </row>
    <row r="128" spans="1:14" ht="12.75">
      <c r="A128" s="36"/>
      <c r="E128" s="37"/>
      <c r="H128" s="82"/>
      <c r="I128" s="82"/>
      <c r="J128" s="82"/>
      <c r="K128" s="82"/>
      <c r="L128" s="82"/>
      <c r="M128" s="82"/>
      <c r="N128" s="82"/>
    </row>
    <row r="129" spans="1:14" ht="12.75">
      <c r="A129" s="36"/>
      <c r="E129" s="37"/>
      <c r="H129" s="82"/>
      <c r="I129" s="82"/>
      <c r="J129" s="82"/>
      <c r="K129" s="82"/>
      <c r="L129" s="82"/>
      <c r="M129" s="82"/>
      <c r="N129" s="82"/>
    </row>
    <row r="130" spans="1:14" ht="12.75">
      <c r="A130" s="36"/>
      <c r="E130" s="37"/>
      <c r="H130" s="82"/>
      <c r="I130" s="82"/>
      <c r="J130" s="82"/>
      <c r="K130" s="82"/>
      <c r="L130" s="82"/>
      <c r="M130" s="82"/>
      <c r="N130" s="82"/>
    </row>
    <row r="131" spans="1:14" ht="12.75">
      <c r="A131" s="36"/>
      <c r="E131" s="37"/>
      <c r="H131" s="82"/>
      <c r="I131" s="82"/>
      <c r="J131" s="82"/>
      <c r="K131" s="82"/>
      <c r="L131" s="82"/>
      <c r="M131" s="82"/>
      <c r="N131" s="82"/>
    </row>
    <row r="132" spans="1:14" ht="12.75">
      <c r="A132" s="36"/>
      <c r="E132" s="37"/>
      <c r="H132" s="82"/>
      <c r="I132" s="82"/>
      <c r="J132" s="82"/>
      <c r="K132" s="82"/>
      <c r="L132" s="82"/>
      <c r="M132" s="82"/>
      <c r="N132" s="82"/>
    </row>
    <row r="133" spans="1:14" ht="12.75">
      <c r="A133" s="36"/>
      <c r="E133" s="37"/>
      <c r="H133" s="82"/>
      <c r="I133" s="82"/>
      <c r="J133" s="82"/>
      <c r="K133" s="82"/>
      <c r="L133" s="82"/>
      <c r="M133" s="82"/>
      <c r="N133" s="82"/>
    </row>
    <row r="134" spans="1:14" ht="12.75">
      <c r="A134" s="36"/>
      <c r="E134" s="37"/>
      <c r="H134" s="82"/>
      <c r="I134" s="82"/>
      <c r="J134" s="82"/>
      <c r="K134" s="82"/>
      <c r="L134" s="82"/>
      <c r="M134" s="82"/>
      <c r="N134" s="82"/>
    </row>
    <row r="135" spans="1:14" ht="12.75">
      <c r="A135" s="36"/>
      <c r="E135" s="37"/>
      <c r="H135" s="82"/>
      <c r="I135" s="82"/>
      <c r="J135" s="82"/>
      <c r="K135" s="82"/>
      <c r="L135" s="82"/>
      <c r="M135" s="82"/>
      <c r="N135" s="82"/>
    </row>
    <row r="136" spans="1:14" ht="12.75">
      <c r="A136" s="36"/>
      <c r="E136" s="37"/>
      <c r="H136" s="82"/>
      <c r="I136" s="82"/>
      <c r="J136" s="82"/>
      <c r="K136" s="82"/>
      <c r="L136" s="82"/>
      <c r="M136" s="82"/>
      <c r="N136" s="82"/>
    </row>
    <row r="137" spans="1:14" ht="12.75">
      <c r="A137" s="36"/>
      <c r="E137" s="37"/>
      <c r="H137" s="82"/>
      <c r="I137" s="82"/>
      <c r="J137" s="82"/>
      <c r="K137" s="82"/>
      <c r="L137" s="82"/>
      <c r="M137" s="82"/>
      <c r="N137" s="82"/>
    </row>
    <row r="138" spans="1:14" ht="12.75">
      <c r="A138" s="36"/>
      <c r="E138" s="37"/>
      <c r="H138" s="82"/>
      <c r="I138" s="82"/>
      <c r="J138" s="82"/>
      <c r="K138" s="82"/>
      <c r="L138" s="82"/>
      <c r="M138" s="82"/>
      <c r="N138" s="82"/>
    </row>
    <row r="139" spans="1:14" ht="12.75">
      <c r="A139" s="36"/>
      <c r="E139" s="37"/>
      <c r="H139" s="82"/>
      <c r="I139" s="82"/>
      <c r="J139" s="82"/>
      <c r="K139" s="82"/>
      <c r="L139" s="82"/>
      <c r="M139" s="82"/>
      <c r="N139" s="82"/>
    </row>
    <row r="140" spans="1:14" ht="12.75">
      <c r="A140" s="36"/>
      <c r="E140" s="37"/>
      <c r="H140" s="82"/>
      <c r="I140" s="82"/>
      <c r="J140" s="82"/>
      <c r="K140" s="82"/>
      <c r="L140" s="82"/>
      <c r="M140" s="82"/>
      <c r="N140" s="82"/>
    </row>
    <row r="141" spans="1:14" ht="12.75">
      <c r="A141" s="36"/>
      <c r="E141" s="37"/>
      <c r="H141" s="82"/>
      <c r="I141" s="82"/>
      <c r="J141" s="82"/>
      <c r="K141" s="82"/>
      <c r="L141" s="82"/>
      <c r="M141" s="82"/>
      <c r="N141" s="82"/>
    </row>
    <row r="142" spans="1:14" ht="12.75">
      <c r="A142" s="36"/>
      <c r="E142" s="37"/>
      <c r="H142" s="82"/>
      <c r="I142" s="82"/>
      <c r="J142" s="82"/>
      <c r="K142" s="82"/>
      <c r="L142" s="82"/>
      <c r="M142" s="82"/>
      <c r="N142" s="82"/>
    </row>
    <row r="143" spans="1:14" ht="12.75">
      <c r="A143" s="36"/>
      <c r="E143" s="37"/>
      <c r="H143" s="82"/>
      <c r="I143" s="82"/>
      <c r="J143" s="82"/>
      <c r="K143" s="82"/>
      <c r="L143" s="82"/>
      <c r="M143" s="82"/>
      <c r="N143" s="82"/>
    </row>
    <row r="144" spans="1:14" ht="12.75">
      <c r="A144" s="36"/>
      <c r="E144" s="37"/>
      <c r="H144" s="82"/>
      <c r="I144" s="82"/>
      <c r="J144" s="82"/>
      <c r="K144" s="82"/>
      <c r="L144" s="82"/>
      <c r="M144" s="82"/>
      <c r="N144" s="82"/>
    </row>
    <row r="145" spans="1:14" ht="12.75">
      <c r="A145" s="36"/>
      <c r="E145" s="37"/>
      <c r="H145" s="82"/>
      <c r="I145" s="82"/>
      <c r="J145" s="82"/>
      <c r="K145" s="82"/>
      <c r="L145" s="82"/>
      <c r="M145" s="82"/>
      <c r="N145" s="82"/>
    </row>
    <row r="146" spans="1:14" ht="12.75">
      <c r="A146" s="36"/>
      <c r="E146" s="37"/>
      <c r="H146" s="82"/>
      <c r="I146" s="82"/>
      <c r="J146" s="82"/>
      <c r="K146" s="82"/>
      <c r="L146" s="82"/>
      <c r="M146" s="82"/>
      <c r="N146" s="82"/>
    </row>
    <row r="147" spans="1:14" ht="12.75">
      <c r="A147" s="36"/>
      <c r="E147" s="37"/>
      <c r="H147" s="82"/>
      <c r="I147" s="82"/>
      <c r="J147" s="82"/>
      <c r="K147" s="82"/>
      <c r="L147" s="82"/>
      <c r="M147" s="82"/>
      <c r="N147" s="82"/>
    </row>
    <row r="148" spans="1:14" ht="12.75">
      <c r="A148" s="36"/>
      <c r="E148" s="37"/>
      <c r="H148" s="82"/>
      <c r="I148" s="82"/>
      <c r="J148" s="82"/>
      <c r="K148" s="82"/>
      <c r="L148" s="82"/>
      <c r="M148" s="82"/>
      <c r="N148" s="82"/>
    </row>
    <row r="149" spans="1:14" ht="12.75">
      <c r="A149" s="36"/>
      <c r="E149" s="37"/>
      <c r="H149" s="82"/>
      <c r="I149" s="82"/>
      <c r="J149" s="82"/>
      <c r="K149" s="82"/>
      <c r="L149" s="82"/>
      <c r="M149" s="82"/>
      <c r="N149" s="82"/>
    </row>
    <row r="150" spans="1:14" ht="12.75">
      <c r="A150" s="36"/>
      <c r="E150" s="37"/>
      <c r="H150" s="82"/>
      <c r="I150" s="82"/>
      <c r="J150" s="82"/>
      <c r="K150" s="82"/>
      <c r="L150" s="82"/>
      <c r="M150" s="82"/>
      <c r="N150" s="82"/>
    </row>
    <row r="151" spans="1:14" ht="12.75">
      <c r="A151" s="36"/>
      <c r="E151" s="37"/>
      <c r="H151" s="82"/>
      <c r="I151" s="82"/>
      <c r="J151" s="82"/>
      <c r="K151" s="82"/>
      <c r="L151" s="82"/>
      <c r="M151" s="82"/>
      <c r="N151" s="82"/>
    </row>
  </sheetData>
  <sheetProtection/>
  <mergeCells count="25">
    <mergeCell ref="E3:E4"/>
    <mergeCell ref="F3:F4"/>
    <mergeCell ref="G3:G4"/>
    <mergeCell ref="H3:K3"/>
    <mergeCell ref="L3:L4"/>
    <mergeCell ref="B62:M62"/>
    <mergeCell ref="M3:M4"/>
    <mergeCell ref="N3:N4"/>
    <mergeCell ref="B5:M5"/>
    <mergeCell ref="B9:M9"/>
    <mergeCell ref="A1:N2"/>
    <mergeCell ref="A3:A4"/>
    <mergeCell ref="B3:B4"/>
    <mergeCell ref="C3:C4"/>
    <mergeCell ref="D3:D4"/>
    <mergeCell ref="B75:M75"/>
    <mergeCell ref="B17:M17"/>
    <mergeCell ref="B85:M85"/>
    <mergeCell ref="B94:M94"/>
    <mergeCell ref="B20:M20"/>
    <mergeCell ref="B27:M27"/>
    <mergeCell ref="B30:M30"/>
    <mergeCell ref="B36:M36"/>
    <mergeCell ref="B39:M39"/>
    <mergeCell ref="B48:M48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375" style="36" bestFit="1" customWidth="1"/>
    <col min="8" max="10" width="5.625" style="36" bestFit="1" customWidth="1"/>
    <col min="11" max="11" width="4.625" style="36" bestFit="1" customWidth="1"/>
    <col min="12" max="12" width="12.25390625" style="36" customWidth="1"/>
    <col min="13" max="13" width="8.625" style="36" bestFit="1" customWidth="1"/>
    <col min="14" max="14" width="19.875" style="36" bestFit="1" customWidth="1"/>
  </cols>
  <sheetData>
    <row r="1" spans="1:14" s="1" customFormat="1" ht="15" customHeight="1">
      <c r="A1" s="106" t="s">
        <v>981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2</v>
      </c>
      <c r="I3" s="101"/>
      <c r="J3" s="101"/>
      <c r="K3" s="101"/>
      <c r="L3" s="101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02"/>
      <c r="M4" s="102"/>
      <c r="N4" s="104"/>
    </row>
    <row r="5" spans="2:13" ht="15.75">
      <c r="B5" s="105" t="s">
        <v>72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35" t="s">
        <v>413</v>
      </c>
      <c r="C6" s="35" t="s">
        <v>414</v>
      </c>
      <c r="D6" s="35" t="s">
        <v>415</v>
      </c>
      <c r="E6" s="35" t="str">
        <f>"0,6118"</f>
        <v>0,6118</v>
      </c>
      <c r="F6" s="35" t="s">
        <v>416</v>
      </c>
      <c r="G6" s="35" t="s">
        <v>1000</v>
      </c>
      <c r="H6" s="20" t="s">
        <v>395</v>
      </c>
      <c r="I6" s="20" t="s">
        <v>417</v>
      </c>
      <c r="J6" s="20" t="s">
        <v>418</v>
      </c>
      <c r="K6" s="72"/>
      <c r="L6" s="34">
        <v>235</v>
      </c>
      <c r="M6" s="35" t="str">
        <f>"143,7730"</f>
        <v>143,7730</v>
      </c>
      <c r="N6" s="35" t="s">
        <v>937</v>
      </c>
    </row>
  </sheetData>
  <sheetProtection/>
  <mergeCells count="13">
    <mergeCell ref="B5:M5"/>
    <mergeCell ref="E3:E4"/>
    <mergeCell ref="F3:F4"/>
    <mergeCell ref="G3:G4"/>
    <mergeCell ref="H3:K3"/>
    <mergeCell ref="A1:N2"/>
    <mergeCell ref="A3:A4"/>
    <mergeCell ref="B3:B4"/>
    <mergeCell ref="C3:C4"/>
    <mergeCell ref="D3:D4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40" sqref="G40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75390625" style="36" bestFit="1" customWidth="1"/>
    <col min="8" max="10" width="5.625" style="36" bestFit="1" customWidth="1"/>
    <col min="11" max="11" width="4.625" style="36" bestFit="1" customWidth="1"/>
    <col min="12" max="12" width="11.375" style="36" customWidth="1"/>
    <col min="13" max="13" width="8.625" style="36" bestFit="1" customWidth="1"/>
    <col min="14" max="14" width="24.625" style="36" bestFit="1" customWidth="1"/>
  </cols>
  <sheetData>
    <row r="1" spans="1:14" s="1" customFormat="1" ht="15" customHeight="1">
      <c r="A1" s="106" t="s">
        <v>982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83.2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2</v>
      </c>
      <c r="I3" s="101"/>
      <c r="J3" s="101"/>
      <c r="K3" s="101"/>
      <c r="L3" s="101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02"/>
      <c r="M4" s="102"/>
      <c r="N4" s="104"/>
    </row>
    <row r="5" spans="2:13" ht="15.75">
      <c r="B5" s="105" t="s">
        <v>95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35" t="s">
        <v>410</v>
      </c>
      <c r="C6" s="35" t="s">
        <v>411</v>
      </c>
      <c r="D6" s="35" t="s">
        <v>412</v>
      </c>
      <c r="E6" s="35" t="str">
        <f>"0,5958"</f>
        <v>0,5958</v>
      </c>
      <c r="F6" s="35" t="s">
        <v>875</v>
      </c>
      <c r="G6" s="35" t="s">
        <v>1003</v>
      </c>
      <c r="H6" s="20" t="s">
        <v>69</v>
      </c>
      <c r="I6" s="20" t="s">
        <v>77</v>
      </c>
      <c r="J6" s="65" t="s">
        <v>78</v>
      </c>
      <c r="K6" s="72"/>
      <c r="L6" s="34">
        <v>195</v>
      </c>
      <c r="M6" s="35" t="str">
        <f>"116,1810"</f>
        <v>116,1810</v>
      </c>
      <c r="N6" s="35" t="s">
        <v>1043</v>
      </c>
    </row>
  </sheetData>
  <sheetProtection/>
  <mergeCells count="13">
    <mergeCell ref="B5:M5"/>
    <mergeCell ref="E3:E4"/>
    <mergeCell ref="F3:F4"/>
    <mergeCell ref="G3:G4"/>
    <mergeCell ref="H3:K3"/>
    <mergeCell ref="A1:N2"/>
    <mergeCell ref="A3:A4"/>
    <mergeCell ref="B3:B4"/>
    <mergeCell ref="C3:C4"/>
    <mergeCell ref="D3:D4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625" style="36" customWidth="1"/>
    <col min="4" max="4" width="10.625" style="36" customWidth="1"/>
    <col min="5" max="5" width="6.625" style="36" bestFit="1" customWidth="1"/>
    <col min="6" max="6" width="22.75390625" style="36" bestFit="1" customWidth="1"/>
    <col min="7" max="7" width="30.375" style="36" bestFit="1" customWidth="1"/>
    <col min="8" max="10" width="5.625" style="36" bestFit="1" customWidth="1"/>
    <col min="11" max="11" width="4.625" style="36" bestFit="1" customWidth="1"/>
    <col min="12" max="12" width="11.625" style="36" customWidth="1"/>
    <col min="13" max="13" width="6.625" style="36" bestFit="1" customWidth="1"/>
    <col min="14" max="14" width="15.375" style="36" bestFit="1" customWidth="1"/>
  </cols>
  <sheetData>
    <row r="1" spans="1:14" s="1" customFormat="1" ht="15" customHeight="1">
      <c r="A1" s="106" t="s">
        <v>983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2</v>
      </c>
      <c r="I3" s="101"/>
      <c r="J3" s="101"/>
      <c r="K3" s="101"/>
      <c r="L3" s="101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02"/>
      <c r="M4" s="102"/>
      <c r="N4" s="104"/>
    </row>
    <row r="5" spans="2:13" ht="15.75">
      <c r="B5" s="105" t="s">
        <v>123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0</v>
      </c>
      <c r="B6" s="35" t="s">
        <v>470</v>
      </c>
      <c r="C6" s="35" t="s">
        <v>471</v>
      </c>
      <c r="D6" s="35" t="s">
        <v>472</v>
      </c>
      <c r="E6" s="35" t="str">
        <f>"0,5742"</f>
        <v>0,5742</v>
      </c>
      <c r="F6" s="35" t="s">
        <v>29</v>
      </c>
      <c r="G6" s="35" t="s">
        <v>1000</v>
      </c>
      <c r="H6" s="65" t="s">
        <v>473</v>
      </c>
      <c r="I6" s="65" t="s">
        <v>473</v>
      </c>
      <c r="J6" s="65" t="s">
        <v>473</v>
      </c>
      <c r="K6" s="72"/>
      <c r="L6" s="35">
        <v>0</v>
      </c>
      <c r="M6" s="35" t="str">
        <f>"0,0000"</f>
        <v>0,0000</v>
      </c>
      <c r="N6" s="35" t="s">
        <v>130</v>
      </c>
    </row>
  </sheetData>
  <sheetProtection/>
  <mergeCells count="13">
    <mergeCell ref="B5:M5"/>
    <mergeCell ref="E3:E4"/>
    <mergeCell ref="F3:F4"/>
    <mergeCell ref="G3:G4"/>
    <mergeCell ref="H3:K3"/>
    <mergeCell ref="A1:N2"/>
    <mergeCell ref="A3:A4"/>
    <mergeCell ref="B3:B4"/>
    <mergeCell ref="C3:C4"/>
    <mergeCell ref="D3:D4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375" style="36" bestFit="1" customWidth="1"/>
    <col min="8" max="10" width="5.625" style="36" bestFit="1" customWidth="1"/>
    <col min="11" max="11" width="4.625" style="36" bestFit="1" customWidth="1"/>
    <col min="12" max="12" width="12.00390625" style="36" customWidth="1"/>
    <col min="13" max="13" width="8.625" style="36" bestFit="1" customWidth="1"/>
    <col min="14" max="14" width="15.375" style="36" bestFit="1" customWidth="1"/>
  </cols>
  <sheetData>
    <row r="1" spans="1:14" s="1" customFormat="1" ht="15" customHeight="1">
      <c r="A1" s="106" t="s">
        <v>984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8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01" t="s">
        <v>2</v>
      </c>
      <c r="I3" s="101"/>
      <c r="J3" s="101"/>
      <c r="K3" s="101"/>
      <c r="L3" s="101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02"/>
      <c r="M4" s="102"/>
      <c r="N4" s="104"/>
    </row>
    <row r="5" spans="2:13" ht="15.75">
      <c r="B5" s="105" t="s">
        <v>72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97" t="s">
        <v>367</v>
      </c>
      <c r="C6" s="35" t="s">
        <v>368</v>
      </c>
      <c r="D6" s="35" t="s">
        <v>369</v>
      </c>
      <c r="E6" s="35" t="str">
        <f>"0,5932"</f>
        <v>0,5932</v>
      </c>
      <c r="F6" s="35" t="s">
        <v>29</v>
      </c>
      <c r="G6" s="35" t="s">
        <v>1000</v>
      </c>
      <c r="H6" s="20" t="s">
        <v>266</v>
      </c>
      <c r="I6" s="20" t="s">
        <v>360</v>
      </c>
      <c r="J6" s="20" t="s">
        <v>25</v>
      </c>
      <c r="K6" s="72"/>
      <c r="L6" s="34">
        <v>170</v>
      </c>
      <c r="M6" s="35" t="str">
        <f>"100,8355"</f>
        <v>100,8355</v>
      </c>
      <c r="N6" s="35" t="s">
        <v>130</v>
      </c>
    </row>
  </sheetData>
  <sheetProtection/>
  <mergeCells count="13">
    <mergeCell ref="G3:G4"/>
    <mergeCell ref="B5:M5"/>
    <mergeCell ref="H3:K3"/>
    <mergeCell ref="A1:N2"/>
    <mergeCell ref="A3:A4"/>
    <mergeCell ref="L3:L4"/>
    <mergeCell ref="M3:M4"/>
    <mergeCell ref="N3:N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B1">
      <selection activeCell="J37" sqref="J37"/>
    </sheetView>
  </sheetViews>
  <sheetFormatPr defaultColWidth="9.125" defaultRowHeight="12.75"/>
  <cols>
    <col min="1" max="1" width="9.125" style="1" customWidth="1"/>
    <col min="2" max="2" width="28.25390625" style="46" bestFit="1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22.75390625" style="1" bestFit="1" customWidth="1"/>
    <col min="7" max="7" width="31.875" style="1" bestFit="1" customWidth="1"/>
    <col min="8" max="8" width="8.125" style="1" customWidth="1"/>
    <col min="9" max="9" width="9.25390625" style="1" customWidth="1"/>
    <col min="10" max="10" width="11.875" style="46" customWidth="1"/>
    <col min="11" max="11" width="9.625" style="1" bestFit="1" customWidth="1"/>
    <col min="12" max="12" width="24.125" style="1" bestFit="1" customWidth="1"/>
    <col min="13" max="16384" width="9.125" style="1" customWidth="1"/>
  </cols>
  <sheetData>
    <row r="1" spans="1:12" ht="15" customHeight="1">
      <c r="A1" s="106" t="s">
        <v>985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77.2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01" t="s">
        <v>710</v>
      </c>
      <c r="I3" s="101"/>
      <c r="J3" s="101" t="s">
        <v>883</v>
      </c>
      <c r="K3" s="101" t="s">
        <v>6</v>
      </c>
      <c r="L3" s="103" t="s">
        <v>5</v>
      </c>
    </row>
    <row r="4" spans="1:12" s="2" customFormat="1" ht="21" customHeight="1" thickBot="1">
      <c r="A4" s="111"/>
      <c r="B4" s="113"/>
      <c r="C4" s="102"/>
      <c r="D4" s="102"/>
      <c r="E4" s="102"/>
      <c r="F4" s="102"/>
      <c r="G4" s="102"/>
      <c r="H4" s="3" t="s">
        <v>711</v>
      </c>
      <c r="I4" s="3" t="s">
        <v>712</v>
      </c>
      <c r="J4" s="102"/>
      <c r="K4" s="102"/>
      <c r="L4" s="104"/>
    </row>
    <row r="5" spans="2:11" ht="15.75">
      <c r="B5" s="126" t="s">
        <v>207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2" ht="12.75">
      <c r="A6" s="42" t="s">
        <v>877</v>
      </c>
      <c r="B6" s="91" t="s">
        <v>771</v>
      </c>
      <c r="C6" s="4" t="s">
        <v>772</v>
      </c>
      <c r="D6" s="4" t="s">
        <v>773</v>
      </c>
      <c r="E6" s="4" t="str">
        <f>"0,8425"</f>
        <v>0,8425</v>
      </c>
      <c r="F6" s="4" t="s">
        <v>29</v>
      </c>
      <c r="G6" s="4" t="s">
        <v>1011</v>
      </c>
      <c r="H6" s="20" t="s">
        <v>220</v>
      </c>
      <c r="I6" s="30" t="s">
        <v>751</v>
      </c>
      <c r="J6" s="56" t="s">
        <v>903</v>
      </c>
      <c r="K6" s="4" t="str">
        <f>"1010,9400"</f>
        <v>1010,9400</v>
      </c>
      <c r="L6" s="4" t="s">
        <v>130</v>
      </c>
    </row>
    <row r="8" spans="2:11" ht="15.75">
      <c r="B8" s="125" t="s">
        <v>249</v>
      </c>
      <c r="C8" s="118"/>
      <c r="D8" s="118"/>
      <c r="E8" s="118"/>
      <c r="F8" s="118"/>
      <c r="G8" s="118"/>
      <c r="H8" s="118"/>
      <c r="I8" s="118"/>
      <c r="J8" s="118"/>
      <c r="K8" s="118"/>
    </row>
    <row r="9" spans="1:12" ht="12.75">
      <c r="A9" s="43" t="s">
        <v>877</v>
      </c>
      <c r="B9" s="92" t="s">
        <v>267</v>
      </c>
      <c r="C9" s="6" t="s">
        <v>268</v>
      </c>
      <c r="D9" s="6" t="s">
        <v>774</v>
      </c>
      <c r="E9" s="6" t="str">
        <f>"0,7254"</f>
        <v>0,7254</v>
      </c>
      <c r="F9" s="6" t="s">
        <v>1014</v>
      </c>
      <c r="G9" s="6" t="s">
        <v>239</v>
      </c>
      <c r="H9" s="21" t="s">
        <v>248</v>
      </c>
      <c r="I9" s="31" t="s">
        <v>775</v>
      </c>
      <c r="J9" s="57" t="s">
        <v>904</v>
      </c>
      <c r="K9" s="6" t="str">
        <f>"1735,5194"</f>
        <v>1735,5194</v>
      </c>
      <c r="L9" s="6" t="s">
        <v>270</v>
      </c>
    </row>
    <row r="10" spans="1:12" ht="12.75">
      <c r="A10" s="44" t="s">
        <v>878</v>
      </c>
      <c r="B10" s="94" t="s">
        <v>277</v>
      </c>
      <c r="C10" s="10" t="s">
        <v>278</v>
      </c>
      <c r="D10" s="10" t="s">
        <v>269</v>
      </c>
      <c r="E10" s="10" t="str">
        <f>"0,7221"</f>
        <v>0,7221</v>
      </c>
      <c r="F10" s="10" t="s">
        <v>1014</v>
      </c>
      <c r="G10" s="10" t="s">
        <v>239</v>
      </c>
      <c r="H10" s="23" t="s">
        <v>248</v>
      </c>
      <c r="I10" s="32" t="s">
        <v>776</v>
      </c>
      <c r="J10" s="58" t="s">
        <v>905</v>
      </c>
      <c r="K10" s="10" t="str">
        <f>"1622,9198"</f>
        <v>1622,9198</v>
      </c>
      <c r="L10" s="10" t="s">
        <v>943</v>
      </c>
    </row>
    <row r="12" spans="2:11" ht="15.75">
      <c r="B12" s="125" t="s">
        <v>19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2" ht="12.75">
      <c r="A13" s="43" t="s">
        <v>877</v>
      </c>
      <c r="B13" s="92" t="s">
        <v>285</v>
      </c>
      <c r="C13" s="6" t="s">
        <v>286</v>
      </c>
      <c r="D13" s="6" t="s">
        <v>287</v>
      </c>
      <c r="E13" s="6" t="str">
        <f>"0,6518"</f>
        <v>0,6518</v>
      </c>
      <c r="F13" s="6" t="s">
        <v>29</v>
      </c>
      <c r="G13" s="6" t="s">
        <v>1000</v>
      </c>
      <c r="H13" s="21" t="s">
        <v>317</v>
      </c>
      <c r="I13" s="31" t="s">
        <v>187</v>
      </c>
      <c r="J13" s="57" t="s">
        <v>906</v>
      </c>
      <c r="K13" s="6" t="str">
        <f>"1613,3287"</f>
        <v>1613,3287</v>
      </c>
      <c r="L13" s="6" t="s">
        <v>130</v>
      </c>
    </row>
    <row r="14" spans="1:12" ht="12.75">
      <c r="A14" s="45" t="s">
        <v>878</v>
      </c>
      <c r="B14" s="93" t="s">
        <v>291</v>
      </c>
      <c r="C14" s="8" t="s">
        <v>292</v>
      </c>
      <c r="D14" s="8" t="s">
        <v>777</v>
      </c>
      <c r="E14" s="8" t="str">
        <f>"0,6497"</f>
        <v>0,6497</v>
      </c>
      <c r="F14" s="8" t="s">
        <v>1014</v>
      </c>
      <c r="G14" s="8" t="s">
        <v>239</v>
      </c>
      <c r="H14" s="22" t="s">
        <v>317</v>
      </c>
      <c r="I14" s="33" t="s">
        <v>741</v>
      </c>
      <c r="J14" s="59" t="s">
        <v>907</v>
      </c>
      <c r="K14" s="8" t="str">
        <f>"1500,9225"</f>
        <v>1500,9225</v>
      </c>
      <c r="L14" s="8" t="s">
        <v>1044</v>
      </c>
    </row>
    <row r="15" spans="1:12" ht="12.75">
      <c r="A15" s="44" t="s">
        <v>879</v>
      </c>
      <c r="B15" s="94" t="s">
        <v>778</v>
      </c>
      <c r="C15" s="10" t="s">
        <v>779</v>
      </c>
      <c r="D15" s="10" t="s">
        <v>316</v>
      </c>
      <c r="E15" s="10" t="str">
        <f>"0,6461"</f>
        <v>0,6461</v>
      </c>
      <c r="F15" s="10" t="s">
        <v>29</v>
      </c>
      <c r="G15" s="10" t="s">
        <v>1000</v>
      </c>
      <c r="H15" s="23" t="s">
        <v>317</v>
      </c>
      <c r="I15" s="32" t="s">
        <v>731</v>
      </c>
      <c r="J15" s="58" t="s">
        <v>908</v>
      </c>
      <c r="K15" s="10" t="str">
        <f>"1279,3770"</f>
        <v>1279,3770</v>
      </c>
      <c r="L15" s="10" t="s">
        <v>954</v>
      </c>
    </row>
    <row r="17" spans="2:11" ht="15.75">
      <c r="B17" s="125" t="s">
        <v>49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2" ht="12.75">
      <c r="A18" s="43" t="s">
        <v>880</v>
      </c>
      <c r="B18" s="92" t="s">
        <v>50</v>
      </c>
      <c r="C18" s="6" t="s">
        <v>51</v>
      </c>
      <c r="D18" s="6" t="s">
        <v>52</v>
      </c>
      <c r="E18" s="6" t="str">
        <f>"0,6222"</f>
        <v>0,6222</v>
      </c>
      <c r="F18" s="6" t="s">
        <v>29</v>
      </c>
      <c r="G18" s="6" t="s">
        <v>53</v>
      </c>
      <c r="H18" s="26" t="s">
        <v>318</v>
      </c>
      <c r="I18" s="7"/>
      <c r="J18" s="57" t="s">
        <v>898</v>
      </c>
      <c r="K18" s="6" t="str">
        <f>"0,0000"</f>
        <v>0,0000</v>
      </c>
      <c r="L18" s="6" t="s">
        <v>56</v>
      </c>
    </row>
    <row r="19" spans="1:12" ht="12.75">
      <c r="A19" s="45" t="s">
        <v>877</v>
      </c>
      <c r="B19" s="93" t="s">
        <v>780</v>
      </c>
      <c r="C19" s="8" t="s">
        <v>781</v>
      </c>
      <c r="D19" s="8" t="s">
        <v>782</v>
      </c>
      <c r="E19" s="8" t="str">
        <f>"0,6431"</f>
        <v>0,6431</v>
      </c>
      <c r="F19" s="8" t="s">
        <v>29</v>
      </c>
      <c r="G19" s="8" t="s">
        <v>783</v>
      </c>
      <c r="H19" s="22" t="s">
        <v>377</v>
      </c>
      <c r="I19" s="33" t="s">
        <v>187</v>
      </c>
      <c r="J19" s="59" t="s">
        <v>909</v>
      </c>
      <c r="K19" s="8" t="str">
        <f>"1639,9051"</f>
        <v>1639,9051</v>
      </c>
      <c r="L19" s="8" t="s">
        <v>130</v>
      </c>
    </row>
    <row r="20" spans="1:12" ht="12.75">
      <c r="A20" s="45" t="s">
        <v>878</v>
      </c>
      <c r="B20" s="93" t="s">
        <v>342</v>
      </c>
      <c r="C20" s="8" t="s">
        <v>343</v>
      </c>
      <c r="D20" s="8" t="s">
        <v>344</v>
      </c>
      <c r="E20" s="8" t="str">
        <f>"0,6273"</f>
        <v>0,6273</v>
      </c>
      <c r="F20" s="8" t="s">
        <v>29</v>
      </c>
      <c r="G20" s="8" t="s">
        <v>1000</v>
      </c>
      <c r="H20" s="22" t="s">
        <v>318</v>
      </c>
      <c r="I20" s="33" t="s">
        <v>755</v>
      </c>
      <c r="J20" s="59" t="s">
        <v>910</v>
      </c>
      <c r="K20" s="8" t="str">
        <f>"987,9188"</f>
        <v>987,9188</v>
      </c>
      <c r="L20" s="8" t="s">
        <v>926</v>
      </c>
    </row>
    <row r="21" spans="1:12" ht="12.75">
      <c r="A21" s="44" t="s">
        <v>877</v>
      </c>
      <c r="B21" s="94" t="s">
        <v>784</v>
      </c>
      <c r="C21" s="10" t="s">
        <v>785</v>
      </c>
      <c r="D21" s="10" t="s">
        <v>633</v>
      </c>
      <c r="E21" s="10" t="str">
        <f>"0,6165"</f>
        <v>0,6165</v>
      </c>
      <c r="F21" s="10" t="s">
        <v>29</v>
      </c>
      <c r="G21" s="10" t="s">
        <v>1000</v>
      </c>
      <c r="H21" s="23" t="s">
        <v>275</v>
      </c>
      <c r="I21" s="32" t="s">
        <v>786</v>
      </c>
      <c r="J21" s="58" t="s">
        <v>911</v>
      </c>
      <c r="K21" s="10" t="str">
        <f>"710,9826"</f>
        <v>710,9826</v>
      </c>
      <c r="L21" s="10" t="s">
        <v>130</v>
      </c>
    </row>
    <row r="23" spans="2:11" ht="15.75">
      <c r="B23" s="125" t="s">
        <v>72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2" ht="12.75">
      <c r="A24" s="42" t="s">
        <v>877</v>
      </c>
      <c r="B24" s="91" t="s">
        <v>787</v>
      </c>
      <c r="C24" s="4" t="s">
        <v>788</v>
      </c>
      <c r="D24" s="4" t="s">
        <v>789</v>
      </c>
      <c r="E24" s="4" t="str">
        <f>"0,6040"</f>
        <v>0,6040</v>
      </c>
      <c r="F24" s="4" t="s">
        <v>29</v>
      </c>
      <c r="G24" s="4" t="s">
        <v>185</v>
      </c>
      <c r="H24" s="20" t="s">
        <v>276</v>
      </c>
      <c r="I24" s="30" t="s">
        <v>741</v>
      </c>
      <c r="J24" s="56" t="s">
        <v>912</v>
      </c>
      <c r="K24" s="4" t="str">
        <f>"1564,3599"</f>
        <v>1564,3599</v>
      </c>
      <c r="L24" s="4" t="s">
        <v>130</v>
      </c>
    </row>
    <row r="26" spans="2:11" ht="15.75">
      <c r="B26" s="125" t="s">
        <v>95</v>
      </c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2" ht="12.75">
      <c r="A27" s="42" t="s">
        <v>877</v>
      </c>
      <c r="B27" s="91" t="s">
        <v>378</v>
      </c>
      <c r="C27" s="4" t="s">
        <v>379</v>
      </c>
      <c r="D27" s="4" t="s">
        <v>380</v>
      </c>
      <c r="E27" s="4" t="str">
        <f>"0,5641"</f>
        <v>0,5641</v>
      </c>
      <c r="F27" s="4" t="s">
        <v>1014</v>
      </c>
      <c r="G27" s="4" t="s">
        <v>239</v>
      </c>
      <c r="H27" s="20" t="s">
        <v>326</v>
      </c>
      <c r="I27" s="30" t="s">
        <v>186</v>
      </c>
      <c r="J27" s="56" t="s">
        <v>913</v>
      </c>
      <c r="K27" s="4" t="str">
        <f>"1551,1376"</f>
        <v>1551,1376</v>
      </c>
      <c r="L27" s="4" t="s">
        <v>130</v>
      </c>
    </row>
    <row r="29" spans="2:11" ht="15.75">
      <c r="B29" s="125" t="s">
        <v>123</v>
      </c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2" ht="12.75">
      <c r="A30" s="42" t="s">
        <v>877</v>
      </c>
      <c r="B30" s="91" t="s">
        <v>391</v>
      </c>
      <c r="C30" s="4" t="s">
        <v>392</v>
      </c>
      <c r="D30" s="4" t="s">
        <v>393</v>
      </c>
      <c r="E30" s="4" t="str">
        <f>"0,5619"</f>
        <v>0,5619</v>
      </c>
      <c r="F30" s="4" t="s">
        <v>1014</v>
      </c>
      <c r="G30" s="4" t="s">
        <v>239</v>
      </c>
      <c r="H30" s="20" t="s">
        <v>313</v>
      </c>
      <c r="I30" s="30" t="s">
        <v>790</v>
      </c>
      <c r="J30" s="56" t="s">
        <v>914</v>
      </c>
      <c r="K30" s="4" t="str">
        <f>"1706,7713"</f>
        <v>1706,7713</v>
      </c>
      <c r="L30" s="4" t="s">
        <v>943</v>
      </c>
    </row>
    <row r="32" spans="2:3" ht="18">
      <c r="B32" s="95" t="s">
        <v>146</v>
      </c>
      <c r="C32" s="12"/>
    </row>
    <row r="33" spans="2:3" ht="15.75">
      <c r="B33" s="19" t="s">
        <v>153</v>
      </c>
      <c r="C33" s="13"/>
    </row>
    <row r="34" spans="2:3" ht="13.5">
      <c r="B34" s="96"/>
      <c r="C34" s="14" t="s">
        <v>147</v>
      </c>
    </row>
    <row r="35" spans="1:6" ht="13.5">
      <c r="A35" s="83" t="s">
        <v>873</v>
      </c>
      <c r="B35" s="15" t="s">
        <v>148</v>
      </c>
      <c r="C35" s="15" t="s">
        <v>149</v>
      </c>
      <c r="D35" s="15" t="s">
        <v>150</v>
      </c>
      <c r="E35" s="15" t="s">
        <v>151</v>
      </c>
      <c r="F35" s="15" t="s">
        <v>709</v>
      </c>
    </row>
    <row r="36" spans="1:6" ht="12.75">
      <c r="A36" s="46" t="s">
        <v>877</v>
      </c>
      <c r="B36" s="46" t="s">
        <v>267</v>
      </c>
      <c r="C36" s="1" t="s">
        <v>147</v>
      </c>
      <c r="D36" s="1" t="s">
        <v>405</v>
      </c>
      <c r="E36" s="1" t="s">
        <v>791</v>
      </c>
      <c r="F36" s="46" t="s">
        <v>792</v>
      </c>
    </row>
    <row r="37" spans="1:6" ht="12.75">
      <c r="A37" s="46" t="s">
        <v>878</v>
      </c>
      <c r="B37" s="46" t="s">
        <v>391</v>
      </c>
      <c r="C37" s="1" t="s">
        <v>147</v>
      </c>
      <c r="D37" s="1" t="s">
        <v>162</v>
      </c>
      <c r="E37" s="1" t="s">
        <v>793</v>
      </c>
      <c r="F37" s="46" t="s">
        <v>794</v>
      </c>
    </row>
    <row r="38" spans="1:6" ht="12.75">
      <c r="A38" s="46" t="s">
        <v>879</v>
      </c>
      <c r="B38" s="46" t="s">
        <v>780</v>
      </c>
      <c r="C38" s="1" t="s">
        <v>147</v>
      </c>
      <c r="D38" s="1" t="s">
        <v>156</v>
      </c>
      <c r="E38" s="1" t="s">
        <v>762</v>
      </c>
      <c r="F38" s="46" t="s">
        <v>795</v>
      </c>
    </row>
    <row r="39" ht="12.75"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ht="12.75">
      <c r="F44" s="46"/>
    </row>
    <row r="45" ht="12.75">
      <c r="F45" s="46"/>
    </row>
    <row r="46" ht="15" customHeight="1"/>
  </sheetData>
  <sheetProtection/>
  <mergeCells count="19">
    <mergeCell ref="K3:K4"/>
    <mergeCell ref="B26:K26"/>
    <mergeCell ref="B29:K29"/>
    <mergeCell ref="L3:L4"/>
    <mergeCell ref="B5:K5"/>
    <mergeCell ref="B8:K8"/>
    <mergeCell ref="B12:K12"/>
    <mergeCell ref="B17:K17"/>
    <mergeCell ref="B23:K23"/>
    <mergeCell ref="A1:L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J36" sqref="J36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125" style="36" bestFit="1" customWidth="1"/>
    <col min="8" max="8" width="8.125" style="36" customWidth="1"/>
    <col min="9" max="9" width="8.875" style="36" customWidth="1"/>
    <col min="10" max="10" width="11.375" style="37" customWidth="1"/>
    <col min="11" max="11" width="9.625" style="36" bestFit="1" customWidth="1"/>
    <col min="12" max="12" width="23.875" style="36" bestFit="1" customWidth="1"/>
  </cols>
  <sheetData>
    <row r="1" spans="1:12" s="1" customFormat="1" ht="15" customHeight="1">
      <c r="A1" s="106" t="s">
        <v>986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s="1" customFormat="1" ht="71.2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01" t="s">
        <v>710</v>
      </c>
      <c r="I3" s="101"/>
      <c r="J3" s="115" t="s">
        <v>883</v>
      </c>
      <c r="K3" s="101" t="s">
        <v>6</v>
      </c>
      <c r="L3" s="103" t="s">
        <v>5</v>
      </c>
    </row>
    <row r="4" spans="1:12" s="2" customFormat="1" ht="21" customHeight="1" thickBot="1">
      <c r="A4" s="111"/>
      <c r="B4" s="113"/>
      <c r="C4" s="102"/>
      <c r="D4" s="102"/>
      <c r="E4" s="102"/>
      <c r="F4" s="102"/>
      <c r="G4" s="102"/>
      <c r="H4" s="3" t="s">
        <v>711</v>
      </c>
      <c r="I4" s="3" t="s">
        <v>712</v>
      </c>
      <c r="J4" s="116"/>
      <c r="K4" s="102"/>
      <c r="L4" s="104"/>
    </row>
    <row r="5" spans="2:11" ht="15.75">
      <c r="B5" s="105" t="s">
        <v>228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2" ht="12.75">
      <c r="A6" s="47">
        <v>1</v>
      </c>
      <c r="B6" s="35" t="s">
        <v>717</v>
      </c>
      <c r="C6" s="35" t="s">
        <v>718</v>
      </c>
      <c r="D6" s="35" t="s">
        <v>719</v>
      </c>
      <c r="E6" s="35" t="str">
        <f>"0,7977"</f>
        <v>0,7977</v>
      </c>
      <c r="F6" s="35" t="s">
        <v>14</v>
      </c>
      <c r="G6" s="35" t="s">
        <v>15</v>
      </c>
      <c r="H6" s="20" t="s">
        <v>232</v>
      </c>
      <c r="I6" s="30" t="s">
        <v>720</v>
      </c>
      <c r="J6" s="34">
        <v>910</v>
      </c>
      <c r="K6" s="35" t="str">
        <f>"740,4251"</f>
        <v>740,4251</v>
      </c>
      <c r="L6" s="35" t="s">
        <v>950</v>
      </c>
    </row>
    <row r="8" spans="2:11" ht="15.75">
      <c r="B8" s="118" t="s">
        <v>249</v>
      </c>
      <c r="C8" s="118"/>
      <c r="D8" s="118"/>
      <c r="E8" s="118"/>
      <c r="F8" s="118"/>
      <c r="G8" s="118"/>
      <c r="H8" s="118"/>
      <c r="I8" s="118"/>
      <c r="J8" s="118"/>
      <c r="K8" s="118"/>
    </row>
    <row r="9" spans="1:12" ht="12.75">
      <c r="A9" s="47">
        <v>1</v>
      </c>
      <c r="B9" s="35" t="s">
        <v>721</v>
      </c>
      <c r="C9" s="35" t="s">
        <v>722</v>
      </c>
      <c r="D9" s="35" t="s">
        <v>723</v>
      </c>
      <c r="E9" s="35" t="str">
        <f>"0,6920"</f>
        <v>0,6920</v>
      </c>
      <c r="F9" s="35" t="s">
        <v>83</v>
      </c>
      <c r="G9" s="35" t="s">
        <v>1000</v>
      </c>
      <c r="H9" s="20" t="s">
        <v>479</v>
      </c>
      <c r="I9" s="30" t="s">
        <v>724</v>
      </c>
      <c r="J9" s="34">
        <v>1425</v>
      </c>
      <c r="K9" s="35" t="str">
        <f>"986,0288"</f>
        <v>986,0288</v>
      </c>
      <c r="L9" s="35" t="s">
        <v>923</v>
      </c>
    </row>
    <row r="11" spans="2:11" ht="15.75">
      <c r="B11" s="118" t="s">
        <v>19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2" ht="12.75">
      <c r="A12" s="48">
        <v>1</v>
      </c>
      <c r="B12" s="86" t="s">
        <v>725</v>
      </c>
      <c r="C12" s="86" t="s">
        <v>726</v>
      </c>
      <c r="D12" s="86" t="s">
        <v>727</v>
      </c>
      <c r="E12" s="86" t="str">
        <f>"0,6451"</f>
        <v>0,6451</v>
      </c>
      <c r="F12" s="86" t="s">
        <v>184</v>
      </c>
      <c r="G12" s="86" t="s">
        <v>704</v>
      </c>
      <c r="H12" s="21" t="s">
        <v>317</v>
      </c>
      <c r="I12" s="31" t="s">
        <v>186</v>
      </c>
      <c r="J12" s="38">
        <v>2062.5</v>
      </c>
      <c r="K12" s="86" t="str">
        <f>"1330,5187"</f>
        <v>1330,5187</v>
      </c>
      <c r="L12" s="86" t="s">
        <v>130</v>
      </c>
    </row>
    <row r="13" spans="1:12" ht="12.75">
      <c r="A13" s="50">
        <v>1</v>
      </c>
      <c r="B13" s="88" t="s">
        <v>728</v>
      </c>
      <c r="C13" s="88" t="s">
        <v>729</v>
      </c>
      <c r="D13" s="88" t="s">
        <v>287</v>
      </c>
      <c r="E13" s="88" t="str">
        <f>"0,6518"</f>
        <v>0,6518</v>
      </c>
      <c r="F13" s="88" t="s">
        <v>14</v>
      </c>
      <c r="G13" s="88" t="s">
        <v>15</v>
      </c>
      <c r="H13" s="22" t="s">
        <v>317</v>
      </c>
      <c r="I13" s="33" t="s">
        <v>730</v>
      </c>
      <c r="J13" s="40">
        <v>3217.5</v>
      </c>
      <c r="K13" s="88" t="str">
        <f>"2097,3273"</f>
        <v>2097,3273</v>
      </c>
      <c r="L13" s="88" t="s">
        <v>130</v>
      </c>
    </row>
    <row r="14" spans="1:12" ht="12.75">
      <c r="A14" s="50">
        <v>2</v>
      </c>
      <c r="B14" s="88" t="s">
        <v>26</v>
      </c>
      <c r="C14" s="88" t="s">
        <v>27</v>
      </c>
      <c r="D14" s="88" t="s">
        <v>28</v>
      </c>
      <c r="E14" s="88" t="str">
        <f>"0,6477"</f>
        <v>0,6477</v>
      </c>
      <c r="F14" s="88" t="s">
        <v>29</v>
      </c>
      <c r="G14" s="88" t="s">
        <v>1000</v>
      </c>
      <c r="H14" s="22" t="s">
        <v>317</v>
      </c>
      <c r="I14" s="33" t="s">
        <v>731</v>
      </c>
      <c r="J14" s="40">
        <v>1980</v>
      </c>
      <c r="K14" s="88" t="str">
        <f>"1282,3470"</f>
        <v>1282,3470</v>
      </c>
      <c r="L14" s="88" t="s">
        <v>947</v>
      </c>
    </row>
    <row r="15" spans="1:12" ht="12.75">
      <c r="A15" s="50">
        <v>1</v>
      </c>
      <c r="B15" s="88" t="s">
        <v>728</v>
      </c>
      <c r="C15" s="88" t="s">
        <v>732</v>
      </c>
      <c r="D15" s="88" t="s">
        <v>287</v>
      </c>
      <c r="E15" s="88" t="str">
        <f>"0,6518"</f>
        <v>0,6518</v>
      </c>
      <c r="F15" s="88" t="s">
        <v>14</v>
      </c>
      <c r="G15" s="88" t="s">
        <v>15</v>
      </c>
      <c r="H15" s="22" t="s">
        <v>317</v>
      </c>
      <c r="I15" s="33" t="s">
        <v>730</v>
      </c>
      <c r="J15" s="40">
        <v>3217.5</v>
      </c>
      <c r="K15" s="88" t="str">
        <f>"2187,5124"</f>
        <v>2187,5124</v>
      </c>
      <c r="L15" s="88" t="s">
        <v>130</v>
      </c>
    </row>
    <row r="16" spans="1:12" ht="12.75">
      <c r="A16" s="49">
        <v>2</v>
      </c>
      <c r="B16" s="87" t="s">
        <v>733</v>
      </c>
      <c r="C16" s="87" t="s">
        <v>734</v>
      </c>
      <c r="D16" s="87" t="s">
        <v>735</v>
      </c>
      <c r="E16" s="87" t="str">
        <f>"0,6456"</f>
        <v>0,6456</v>
      </c>
      <c r="F16" s="87" t="s">
        <v>29</v>
      </c>
      <c r="G16" s="87" t="s">
        <v>1000</v>
      </c>
      <c r="H16" s="23" t="s">
        <v>317</v>
      </c>
      <c r="I16" s="32" t="s">
        <v>736</v>
      </c>
      <c r="J16" s="39">
        <v>1732.5</v>
      </c>
      <c r="K16" s="87" t="str">
        <f>"1140,8721"</f>
        <v>1140,8721</v>
      </c>
      <c r="L16" s="87" t="s">
        <v>951</v>
      </c>
    </row>
    <row r="18" spans="2:11" ht="15.75"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2" ht="12.75">
      <c r="A19" s="48">
        <v>1</v>
      </c>
      <c r="B19" s="86" t="s">
        <v>50</v>
      </c>
      <c r="C19" s="86" t="s">
        <v>51</v>
      </c>
      <c r="D19" s="86" t="s">
        <v>52</v>
      </c>
      <c r="E19" s="86" t="str">
        <f>"0,6222"</f>
        <v>0,6222</v>
      </c>
      <c r="F19" s="86" t="s">
        <v>29</v>
      </c>
      <c r="G19" s="86" t="s">
        <v>53</v>
      </c>
      <c r="H19" s="21" t="s">
        <v>318</v>
      </c>
      <c r="I19" s="31" t="s">
        <v>16</v>
      </c>
      <c r="J19" s="38">
        <v>3062.5</v>
      </c>
      <c r="K19" s="86" t="str">
        <f>"1905,3344"</f>
        <v>1905,3344</v>
      </c>
      <c r="L19" s="86" t="s">
        <v>1045</v>
      </c>
    </row>
    <row r="20" spans="1:12" ht="12.75">
      <c r="A20" s="49">
        <v>1</v>
      </c>
      <c r="B20" s="87" t="s">
        <v>737</v>
      </c>
      <c r="C20" s="87" t="s">
        <v>738</v>
      </c>
      <c r="D20" s="87" t="s">
        <v>739</v>
      </c>
      <c r="E20" s="87" t="str">
        <f>"0,6354"</f>
        <v>0,6354</v>
      </c>
      <c r="F20" s="87" t="s">
        <v>14</v>
      </c>
      <c r="G20" s="87" t="s">
        <v>1000</v>
      </c>
      <c r="H20" s="23" t="s">
        <v>377</v>
      </c>
      <c r="I20" s="32" t="s">
        <v>187</v>
      </c>
      <c r="J20" s="39">
        <v>2550</v>
      </c>
      <c r="K20" s="87" t="str">
        <f>"1689,9416"</f>
        <v>1689,9416</v>
      </c>
      <c r="L20" s="87" t="s">
        <v>130</v>
      </c>
    </row>
    <row r="22" spans="2:11" ht="15.75">
      <c r="B22" s="118" t="s">
        <v>72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2" ht="12.75">
      <c r="A23" s="47">
        <v>1</v>
      </c>
      <c r="B23" s="35" t="s">
        <v>80</v>
      </c>
      <c r="C23" s="35" t="s">
        <v>81</v>
      </c>
      <c r="D23" s="35" t="s">
        <v>82</v>
      </c>
      <c r="E23" s="35" t="str">
        <f>"0,5968"</f>
        <v>0,5968</v>
      </c>
      <c r="F23" s="35" t="s">
        <v>83</v>
      </c>
      <c r="G23" s="35" t="s">
        <v>1000</v>
      </c>
      <c r="H23" s="20" t="s">
        <v>352</v>
      </c>
      <c r="I23" s="30" t="s">
        <v>740</v>
      </c>
      <c r="J23" s="34">
        <v>3895</v>
      </c>
      <c r="K23" s="35" t="str">
        <f>"2324,3413"</f>
        <v>2324,3413</v>
      </c>
      <c r="L23" s="35" t="s">
        <v>130</v>
      </c>
    </row>
    <row r="25" spans="2:11" ht="15.75">
      <c r="B25" s="118" t="s">
        <v>95</v>
      </c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2" ht="12.75">
      <c r="A26" s="48">
        <v>1</v>
      </c>
      <c r="B26" s="86" t="s">
        <v>103</v>
      </c>
      <c r="C26" s="86" t="s">
        <v>104</v>
      </c>
      <c r="D26" s="86" t="s">
        <v>105</v>
      </c>
      <c r="E26" s="86" t="str">
        <f>"0,5774"</f>
        <v>0,5774</v>
      </c>
      <c r="F26" s="86" t="s">
        <v>106</v>
      </c>
      <c r="G26" s="86" t="s">
        <v>30</v>
      </c>
      <c r="H26" s="21" t="s">
        <v>261</v>
      </c>
      <c r="I26" s="31" t="s">
        <v>741</v>
      </c>
      <c r="J26" s="38">
        <v>2870</v>
      </c>
      <c r="K26" s="86" t="str">
        <f>"1657,1381"</f>
        <v>1657,1381</v>
      </c>
      <c r="L26" s="86" t="s">
        <v>130</v>
      </c>
    </row>
    <row r="27" spans="1:12" ht="12.75">
      <c r="A27" s="50">
        <v>2</v>
      </c>
      <c r="B27" s="88" t="s">
        <v>742</v>
      </c>
      <c r="C27" s="88" t="s">
        <v>743</v>
      </c>
      <c r="D27" s="88" t="s">
        <v>744</v>
      </c>
      <c r="E27" s="88" t="str">
        <f>"0,5692"</f>
        <v>0,5692</v>
      </c>
      <c r="F27" s="88" t="s">
        <v>29</v>
      </c>
      <c r="G27" s="88" t="s">
        <v>1000</v>
      </c>
      <c r="H27" s="22" t="s">
        <v>262</v>
      </c>
      <c r="I27" s="33" t="s">
        <v>745</v>
      </c>
      <c r="J27" s="40">
        <v>1397.5</v>
      </c>
      <c r="K27" s="88" t="str">
        <f>"795,4570"</f>
        <v>795,4570</v>
      </c>
      <c r="L27" s="88" t="s">
        <v>130</v>
      </c>
    </row>
    <row r="28" spans="1:12" ht="12.75">
      <c r="A28" s="49">
        <v>1</v>
      </c>
      <c r="B28" s="87" t="s">
        <v>120</v>
      </c>
      <c r="C28" s="87" t="s">
        <v>746</v>
      </c>
      <c r="D28" s="87" t="s">
        <v>122</v>
      </c>
      <c r="E28" s="87" t="str">
        <f>"0,5720"</f>
        <v>0,5720</v>
      </c>
      <c r="F28" s="87" t="s">
        <v>29</v>
      </c>
      <c r="G28" s="87" t="s">
        <v>1000</v>
      </c>
      <c r="H28" s="23" t="s">
        <v>353</v>
      </c>
      <c r="I28" s="32" t="s">
        <v>186</v>
      </c>
      <c r="J28" s="39">
        <v>2625</v>
      </c>
      <c r="K28" s="87" t="str">
        <f>"1903,9021"</f>
        <v>1903,9021</v>
      </c>
      <c r="L28" s="87" t="s">
        <v>130</v>
      </c>
    </row>
    <row r="30" spans="2:11" ht="15.75">
      <c r="B30" s="118" t="s">
        <v>123</v>
      </c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2" ht="12.75">
      <c r="A31" s="48">
        <v>1</v>
      </c>
      <c r="B31" s="86" t="s">
        <v>747</v>
      </c>
      <c r="C31" s="86" t="s">
        <v>748</v>
      </c>
      <c r="D31" s="86" t="s">
        <v>749</v>
      </c>
      <c r="E31" s="86" t="str">
        <f>"0,5611"</f>
        <v>0,5611</v>
      </c>
      <c r="F31" s="86" t="s">
        <v>29</v>
      </c>
      <c r="G31" s="86" t="s">
        <v>1000</v>
      </c>
      <c r="H31" s="21" t="s">
        <v>313</v>
      </c>
      <c r="I31" s="31" t="s">
        <v>750</v>
      </c>
      <c r="J31" s="38">
        <v>2587.5</v>
      </c>
      <c r="K31" s="86" t="str">
        <f>"1451,8463"</f>
        <v>1451,8463</v>
      </c>
      <c r="L31" s="86" t="s">
        <v>130</v>
      </c>
    </row>
    <row r="32" spans="1:12" ht="12.75">
      <c r="A32" s="50">
        <v>2</v>
      </c>
      <c r="B32" s="88" t="s">
        <v>124</v>
      </c>
      <c r="C32" s="88" t="s">
        <v>125</v>
      </c>
      <c r="D32" s="88" t="s">
        <v>126</v>
      </c>
      <c r="E32" s="88" t="str">
        <f>"0,5493"</f>
        <v>0,5493</v>
      </c>
      <c r="F32" s="88" t="s">
        <v>29</v>
      </c>
      <c r="G32" s="88" t="s">
        <v>1000</v>
      </c>
      <c r="H32" s="22" t="s">
        <v>257</v>
      </c>
      <c r="I32" s="33" t="s">
        <v>751</v>
      </c>
      <c r="J32" s="40">
        <v>2450</v>
      </c>
      <c r="K32" s="88" t="str">
        <f>"1345,7850"</f>
        <v>1345,7850</v>
      </c>
      <c r="L32" s="88" t="s">
        <v>1032</v>
      </c>
    </row>
    <row r="33" spans="1:12" ht="12.75">
      <c r="A33" s="49">
        <v>3</v>
      </c>
      <c r="B33" s="87" t="s">
        <v>752</v>
      </c>
      <c r="C33" s="87" t="s">
        <v>753</v>
      </c>
      <c r="D33" s="87" t="s">
        <v>754</v>
      </c>
      <c r="E33" s="87" t="str">
        <f>"0,5620"</f>
        <v>0,5620</v>
      </c>
      <c r="F33" s="87" t="s">
        <v>29</v>
      </c>
      <c r="G33" s="87" t="s">
        <v>1000</v>
      </c>
      <c r="H33" s="23" t="s">
        <v>313</v>
      </c>
      <c r="I33" s="32" t="s">
        <v>755</v>
      </c>
      <c r="J33" s="39">
        <v>2025</v>
      </c>
      <c r="K33" s="87" t="str">
        <f>"1138,1512"</f>
        <v>1138,1512</v>
      </c>
      <c r="L33" s="87" t="s">
        <v>130</v>
      </c>
    </row>
    <row r="35" spans="2:3" ht="18">
      <c r="B35" s="89" t="s">
        <v>146</v>
      </c>
      <c r="C35" s="89"/>
    </row>
    <row r="36" spans="2:3" ht="15.75">
      <c r="B36" s="18" t="s">
        <v>153</v>
      </c>
      <c r="C36" s="18"/>
    </row>
    <row r="38" spans="2:3" ht="13.5">
      <c r="B38" s="90"/>
      <c r="C38" s="90" t="s">
        <v>147</v>
      </c>
    </row>
    <row r="39" spans="1:6" ht="13.5">
      <c r="A39" s="84" t="s">
        <v>873</v>
      </c>
      <c r="B39" s="16" t="s">
        <v>148</v>
      </c>
      <c r="C39" s="16" t="s">
        <v>149</v>
      </c>
      <c r="D39" s="16" t="s">
        <v>150</v>
      </c>
      <c r="E39" s="16" t="s">
        <v>151</v>
      </c>
      <c r="F39" s="16" t="s">
        <v>709</v>
      </c>
    </row>
    <row r="40" spans="1:6" ht="12.75">
      <c r="A40" s="85">
        <v>1</v>
      </c>
      <c r="B40" s="36" t="s">
        <v>80</v>
      </c>
      <c r="C40" s="36" t="s">
        <v>147</v>
      </c>
      <c r="D40" s="36" t="s">
        <v>157</v>
      </c>
      <c r="E40" s="36" t="s">
        <v>756</v>
      </c>
      <c r="F40" s="80" t="s">
        <v>757</v>
      </c>
    </row>
    <row r="41" spans="1:6" ht="12.75">
      <c r="A41" s="85">
        <v>2</v>
      </c>
      <c r="B41" s="36" t="s">
        <v>728</v>
      </c>
      <c r="C41" s="36" t="s">
        <v>147</v>
      </c>
      <c r="D41" s="36" t="s">
        <v>163</v>
      </c>
      <c r="E41" s="36" t="s">
        <v>758</v>
      </c>
      <c r="F41" s="80" t="s">
        <v>759</v>
      </c>
    </row>
    <row r="42" spans="1:6" ht="12.75">
      <c r="A42" s="85">
        <v>3</v>
      </c>
      <c r="B42" s="36" t="s">
        <v>103</v>
      </c>
      <c r="C42" s="36" t="s">
        <v>147</v>
      </c>
      <c r="D42" s="36" t="s">
        <v>160</v>
      </c>
      <c r="E42" s="36" t="s">
        <v>760</v>
      </c>
      <c r="F42" s="80" t="s">
        <v>761</v>
      </c>
    </row>
    <row r="43" ht="12.75">
      <c r="F43" s="80"/>
    </row>
    <row r="44" ht="12.75">
      <c r="F44" s="80"/>
    </row>
    <row r="45" ht="12.75">
      <c r="F45" s="80"/>
    </row>
    <row r="46" ht="12.75">
      <c r="F46" s="80"/>
    </row>
    <row r="47" ht="12.75">
      <c r="F47" s="80"/>
    </row>
    <row r="48" ht="12.75">
      <c r="F48" s="80"/>
    </row>
  </sheetData>
  <sheetProtection/>
  <mergeCells count="19">
    <mergeCell ref="K3:K4"/>
    <mergeCell ref="B25:K25"/>
    <mergeCell ref="B30:K30"/>
    <mergeCell ref="L3:L4"/>
    <mergeCell ref="B5:K5"/>
    <mergeCell ref="B8:K8"/>
    <mergeCell ref="B11:K11"/>
    <mergeCell ref="B18:K18"/>
    <mergeCell ref="B22:K22"/>
    <mergeCell ref="A1:L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B1">
      <selection activeCell="H27" sqref="H27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00390625" style="36" bestFit="1" customWidth="1"/>
    <col min="8" max="8" width="9.375" style="36" customWidth="1"/>
    <col min="9" max="9" width="9.125" style="36" customWidth="1"/>
    <col min="10" max="10" width="11.375" style="37" customWidth="1"/>
    <col min="11" max="11" width="9.625" style="36" bestFit="1" customWidth="1"/>
    <col min="12" max="12" width="28.125" style="36" bestFit="1" customWidth="1"/>
  </cols>
  <sheetData>
    <row r="1" spans="1:12" s="1" customFormat="1" ht="15" customHeight="1">
      <c r="A1" s="106" t="s">
        <v>987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s="1" customFormat="1" ht="74.2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s="2" customFormat="1" ht="12.75" customHeight="1">
      <c r="A3" s="110" t="s">
        <v>873</v>
      </c>
      <c r="B3" s="127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01" t="s">
        <v>710</v>
      </c>
      <c r="I3" s="101"/>
      <c r="J3" s="115" t="s">
        <v>883</v>
      </c>
      <c r="K3" s="101" t="s">
        <v>6</v>
      </c>
      <c r="L3" s="103" t="s">
        <v>5</v>
      </c>
    </row>
    <row r="4" spans="1:12" s="2" customFormat="1" ht="21" customHeight="1" thickBot="1">
      <c r="A4" s="111"/>
      <c r="B4" s="128"/>
      <c r="C4" s="102"/>
      <c r="D4" s="102"/>
      <c r="E4" s="102"/>
      <c r="F4" s="102"/>
      <c r="G4" s="102"/>
      <c r="H4" s="3" t="s">
        <v>711</v>
      </c>
      <c r="I4" s="3" t="s">
        <v>712</v>
      </c>
      <c r="J4" s="116"/>
      <c r="K4" s="102"/>
      <c r="L4" s="104"/>
    </row>
    <row r="5" spans="2:11" ht="15.75">
      <c r="B5" s="105" t="s">
        <v>10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2" ht="12.75">
      <c r="A6" s="47">
        <v>1</v>
      </c>
      <c r="B6" s="35" t="s">
        <v>763</v>
      </c>
      <c r="C6" s="35" t="s">
        <v>764</v>
      </c>
      <c r="D6" s="35" t="s">
        <v>765</v>
      </c>
      <c r="E6" s="35" t="str">
        <f>"1,0877"</f>
        <v>1,0877</v>
      </c>
      <c r="F6" s="35" t="s">
        <v>29</v>
      </c>
      <c r="G6" s="35" t="s">
        <v>1000</v>
      </c>
      <c r="H6" s="20" t="s">
        <v>205</v>
      </c>
      <c r="I6" s="30" t="s">
        <v>766</v>
      </c>
      <c r="J6" s="34">
        <v>440</v>
      </c>
      <c r="K6" s="35" t="str">
        <f>"478,5880"</f>
        <v>478,5880</v>
      </c>
      <c r="L6" s="35" t="s">
        <v>952</v>
      </c>
    </row>
    <row r="8" spans="2:11" ht="15.75">
      <c r="B8" s="118" t="s">
        <v>207</v>
      </c>
      <c r="C8" s="118"/>
      <c r="D8" s="118"/>
      <c r="E8" s="118"/>
      <c r="F8" s="118"/>
      <c r="G8" s="118"/>
      <c r="H8" s="118"/>
      <c r="I8" s="118"/>
      <c r="J8" s="118"/>
      <c r="K8" s="118"/>
    </row>
    <row r="9" spans="1:12" ht="12.75">
      <c r="A9" s="48">
        <v>1</v>
      </c>
      <c r="B9" s="86" t="s">
        <v>217</v>
      </c>
      <c r="C9" s="86" t="s">
        <v>218</v>
      </c>
      <c r="D9" s="86" t="s">
        <v>219</v>
      </c>
      <c r="E9" s="86" t="str">
        <f>"0,9984"</f>
        <v>0,9984</v>
      </c>
      <c r="F9" s="86" t="s">
        <v>29</v>
      </c>
      <c r="G9" s="86" t="s">
        <v>1000</v>
      </c>
      <c r="H9" s="21" t="s">
        <v>187</v>
      </c>
      <c r="I9" s="31" t="s">
        <v>16</v>
      </c>
      <c r="J9" s="38">
        <v>1050</v>
      </c>
      <c r="K9" s="86" t="str">
        <f>"1048,2675"</f>
        <v>1048,2675</v>
      </c>
      <c r="L9" s="86" t="s">
        <v>1035</v>
      </c>
    </row>
    <row r="10" spans="1:12" ht="12.75">
      <c r="A10" s="50">
        <v>2</v>
      </c>
      <c r="B10" s="88" t="s">
        <v>221</v>
      </c>
      <c r="C10" s="88" t="s">
        <v>222</v>
      </c>
      <c r="D10" s="88" t="s">
        <v>223</v>
      </c>
      <c r="E10" s="88" t="str">
        <f>"1,0234"</f>
        <v>1,0234</v>
      </c>
      <c r="F10" s="88" t="s">
        <v>184</v>
      </c>
      <c r="G10" s="88" t="s">
        <v>185</v>
      </c>
      <c r="H10" s="22" t="s">
        <v>187</v>
      </c>
      <c r="I10" s="33" t="s">
        <v>767</v>
      </c>
      <c r="J10" s="40">
        <v>1020</v>
      </c>
      <c r="K10" s="88" t="str">
        <f>"1043,8679"</f>
        <v>1043,8679</v>
      </c>
      <c r="L10" s="88" t="s">
        <v>1046</v>
      </c>
    </row>
    <row r="11" spans="1:12" ht="12.75">
      <c r="A11" s="49">
        <v>1</v>
      </c>
      <c r="B11" s="87" t="s">
        <v>768</v>
      </c>
      <c r="C11" s="87" t="s">
        <v>769</v>
      </c>
      <c r="D11" s="87" t="s">
        <v>210</v>
      </c>
      <c r="E11" s="87" t="str">
        <f>"0,9997"</f>
        <v>0,9997</v>
      </c>
      <c r="F11" s="87" t="s">
        <v>29</v>
      </c>
      <c r="G11" s="87" t="s">
        <v>1000</v>
      </c>
      <c r="H11" s="23" t="s">
        <v>187</v>
      </c>
      <c r="I11" s="32" t="s">
        <v>770</v>
      </c>
      <c r="J11" s="39">
        <v>1140</v>
      </c>
      <c r="K11" s="87" t="str">
        <f>"1268,4394"</f>
        <v>1268,4394</v>
      </c>
      <c r="L11" s="87" t="s">
        <v>953</v>
      </c>
    </row>
    <row r="12" ht="12" customHeight="1"/>
    <row r="13" ht="15.75">
      <c r="F13" s="98"/>
    </row>
  </sheetData>
  <sheetProtection/>
  <mergeCells count="14">
    <mergeCell ref="G3:G4"/>
    <mergeCell ref="H3:I3"/>
    <mergeCell ref="J3:J4"/>
    <mergeCell ref="K3:K4"/>
    <mergeCell ref="L3:L4"/>
    <mergeCell ref="A1:L2"/>
    <mergeCell ref="A3:A4"/>
    <mergeCell ref="B5:K5"/>
    <mergeCell ref="B8:K8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G6" sqref="G6"/>
    </sheetView>
  </sheetViews>
  <sheetFormatPr defaultColWidth="8.75390625" defaultRowHeight="12.75"/>
  <cols>
    <col min="1" max="1" width="8.75390625" style="0" customWidth="1"/>
    <col min="2" max="3" width="26.0039062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375" style="36" bestFit="1" customWidth="1"/>
    <col min="8" max="8" width="11.625" style="36" customWidth="1"/>
    <col min="9" max="9" width="10.00390625" style="36" customWidth="1"/>
    <col min="10" max="10" width="12.75390625" style="36" customWidth="1"/>
    <col min="11" max="11" width="9.625" style="36" bestFit="1" customWidth="1"/>
    <col min="12" max="12" width="14.875" style="36" bestFit="1" customWidth="1"/>
  </cols>
  <sheetData>
    <row r="1" spans="1:12" s="1" customFormat="1" ht="15" customHeight="1">
      <c r="A1" s="106" t="s">
        <v>988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s="1" customFormat="1" ht="78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01" t="s">
        <v>710</v>
      </c>
      <c r="I3" s="101"/>
      <c r="J3" s="101" t="s">
        <v>883</v>
      </c>
      <c r="K3" s="101" t="s">
        <v>6</v>
      </c>
      <c r="L3" s="103" t="s">
        <v>5</v>
      </c>
    </row>
    <row r="4" spans="1:12" s="2" customFormat="1" ht="21" customHeight="1" thickBot="1">
      <c r="A4" s="111"/>
      <c r="B4" s="113"/>
      <c r="C4" s="102"/>
      <c r="D4" s="102"/>
      <c r="E4" s="102"/>
      <c r="F4" s="102"/>
      <c r="G4" s="102"/>
      <c r="H4" s="3" t="s">
        <v>711</v>
      </c>
      <c r="I4" s="3" t="s">
        <v>712</v>
      </c>
      <c r="J4" s="102"/>
      <c r="K4" s="102"/>
      <c r="L4" s="104"/>
    </row>
    <row r="5" spans="2:11" ht="15.75">
      <c r="B5" s="105" t="s">
        <v>10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2" ht="12.75">
      <c r="A6" s="47">
        <v>1</v>
      </c>
      <c r="B6" s="35" t="s">
        <v>713</v>
      </c>
      <c r="C6" s="35" t="s">
        <v>714</v>
      </c>
      <c r="D6" s="35" t="s">
        <v>715</v>
      </c>
      <c r="E6" s="35" t="str">
        <f>"1,0469"</f>
        <v>1,0469</v>
      </c>
      <c r="F6" s="35" t="s">
        <v>83</v>
      </c>
      <c r="G6" s="35" t="s">
        <v>1000</v>
      </c>
      <c r="H6" s="20" t="s">
        <v>205</v>
      </c>
      <c r="I6" s="30" t="s">
        <v>716</v>
      </c>
      <c r="J6" s="35">
        <v>1292.5</v>
      </c>
      <c r="K6" s="35" t="str">
        <f>"1353,1183"</f>
        <v>1353,1183</v>
      </c>
      <c r="L6" s="35" t="s">
        <v>949</v>
      </c>
    </row>
  </sheetData>
  <sheetProtection/>
  <mergeCells count="13">
    <mergeCell ref="G3:G4"/>
    <mergeCell ref="B5:K5"/>
    <mergeCell ref="H3:I3"/>
    <mergeCell ref="A1:L2"/>
    <mergeCell ref="A3:A4"/>
    <mergeCell ref="J3:J4"/>
    <mergeCell ref="K3:K4"/>
    <mergeCell ref="L3:L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F1">
      <selection activeCell="V29" sqref="V29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375" style="36" bestFit="1" customWidth="1"/>
    <col min="8" max="10" width="5.625" style="36" bestFit="1" customWidth="1"/>
    <col min="11" max="11" width="4.625" style="36" bestFit="1" customWidth="1"/>
    <col min="12" max="14" width="5.625" style="36" bestFit="1" customWidth="1"/>
    <col min="15" max="15" width="4.625" style="36" bestFit="1" customWidth="1"/>
    <col min="16" max="18" width="5.625" style="36" bestFit="1" customWidth="1"/>
    <col min="19" max="19" width="4.625" style="36" bestFit="1" customWidth="1"/>
    <col min="20" max="20" width="7.875" style="37" bestFit="1" customWidth="1"/>
    <col min="21" max="21" width="8.625" style="36" bestFit="1" customWidth="1"/>
    <col min="22" max="22" width="17.75390625" style="36" bestFit="1" customWidth="1"/>
  </cols>
  <sheetData>
    <row r="1" spans="1:22" s="1" customFormat="1" ht="15" customHeight="1">
      <c r="A1" s="106" t="s">
        <v>972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s="1" customFormat="1" ht="78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15" t="s">
        <v>4</v>
      </c>
      <c r="U3" s="101" t="s">
        <v>6</v>
      </c>
      <c r="V3" s="103" t="s">
        <v>5</v>
      </c>
    </row>
    <row r="4" spans="1:22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6"/>
      <c r="U4" s="102"/>
      <c r="V4" s="104"/>
    </row>
    <row r="5" spans="2:21" ht="15.75">
      <c r="B5" s="105" t="s">
        <v>10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2" ht="12.75">
      <c r="A6" s="47">
        <v>1</v>
      </c>
      <c r="B6" s="35" t="s">
        <v>426</v>
      </c>
      <c r="C6" s="35" t="s">
        <v>427</v>
      </c>
      <c r="D6" s="35" t="s">
        <v>428</v>
      </c>
      <c r="E6" s="35" t="str">
        <f>"1,1832"</f>
        <v>1,1832</v>
      </c>
      <c r="F6" s="35" t="s">
        <v>68</v>
      </c>
      <c r="G6" s="35" t="s">
        <v>1000</v>
      </c>
      <c r="H6" s="20" t="s">
        <v>275</v>
      </c>
      <c r="I6" s="20" t="s">
        <v>352</v>
      </c>
      <c r="J6" s="20" t="s">
        <v>429</v>
      </c>
      <c r="K6" s="72"/>
      <c r="L6" s="20" t="s">
        <v>192</v>
      </c>
      <c r="M6" s="20" t="s">
        <v>170</v>
      </c>
      <c r="N6" s="65" t="s">
        <v>171</v>
      </c>
      <c r="O6" s="72"/>
      <c r="P6" s="20" t="s">
        <v>257</v>
      </c>
      <c r="Q6" s="65" t="s">
        <v>48</v>
      </c>
      <c r="R6" s="65" t="s">
        <v>48</v>
      </c>
      <c r="S6" s="72"/>
      <c r="T6" s="34">
        <v>272.5</v>
      </c>
      <c r="U6" s="35" t="str">
        <f>"322,4220"</f>
        <v>322,4220</v>
      </c>
      <c r="V6" s="35" t="s">
        <v>932</v>
      </c>
    </row>
    <row r="8" spans="2:21" ht="15.75">
      <c r="B8" s="118" t="s">
        <v>249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2" ht="12.75">
      <c r="A9" s="47">
        <v>1</v>
      </c>
      <c r="B9" s="35" t="s">
        <v>430</v>
      </c>
      <c r="C9" s="35" t="s">
        <v>431</v>
      </c>
      <c r="D9" s="35" t="s">
        <v>432</v>
      </c>
      <c r="E9" s="35" t="str">
        <f>"0,7132"</f>
        <v>0,7132</v>
      </c>
      <c r="F9" s="35" t="s">
        <v>29</v>
      </c>
      <c r="G9" s="35" t="s">
        <v>433</v>
      </c>
      <c r="H9" s="20" t="s">
        <v>35</v>
      </c>
      <c r="I9" s="20" t="s">
        <v>266</v>
      </c>
      <c r="J9" s="65" t="s">
        <v>24</v>
      </c>
      <c r="K9" s="72"/>
      <c r="L9" s="20" t="s">
        <v>275</v>
      </c>
      <c r="M9" s="20" t="s">
        <v>429</v>
      </c>
      <c r="N9" s="20" t="s">
        <v>353</v>
      </c>
      <c r="O9" s="72"/>
      <c r="P9" s="20" t="s">
        <v>140</v>
      </c>
      <c r="Q9" s="20" t="s">
        <v>24</v>
      </c>
      <c r="R9" s="20" t="s">
        <v>55</v>
      </c>
      <c r="S9" s="72"/>
      <c r="T9" s="34">
        <v>435</v>
      </c>
      <c r="U9" s="35" t="str">
        <f>"310,2420"</f>
        <v>310,2420</v>
      </c>
      <c r="V9" s="35" t="s">
        <v>933</v>
      </c>
    </row>
    <row r="11" spans="2:21" ht="15.75">
      <c r="B11" s="118" t="s">
        <v>19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2" ht="12.75">
      <c r="A12" s="48">
        <v>1</v>
      </c>
      <c r="B12" s="86" t="s">
        <v>434</v>
      </c>
      <c r="C12" s="86" t="s">
        <v>435</v>
      </c>
      <c r="D12" s="86" t="s">
        <v>436</v>
      </c>
      <c r="E12" s="86" t="str">
        <f>"0,6922"</f>
        <v>0,6922</v>
      </c>
      <c r="F12" s="86" t="s">
        <v>116</v>
      </c>
      <c r="G12" s="86" t="s">
        <v>1000</v>
      </c>
      <c r="H12" s="21" t="s">
        <v>78</v>
      </c>
      <c r="I12" s="68"/>
      <c r="J12" s="68"/>
      <c r="K12" s="68"/>
      <c r="L12" s="21" t="s">
        <v>140</v>
      </c>
      <c r="M12" s="68"/>
      <c r="N12" s="68"/>
      <c r="O12" s="68"/>
      <c r="P12" s="21" t="s">
        <v>417</v>
      </c>
      <c r="Q12" s="68"/>
      <c r="R12" s="68"/>
      <c r="S12" s="68"/>
      <c r="T12" s="38">
        <v>580</v>
      </c>
      <c r="U12" s="86" t="str">
        <f>"401,4760"</f>
        <v>401,4760</v>
      </c>
      <c r="V12" s="86" t="s">
        <v>934</v>
      </c>
    </row>
    <row r="13" spans="1:22" ht="12.75">
      <c r="A13" s="50">
        <v>2</v>
      </c>
      <c r="B13" s="88" t="s">
        <v>437</v>
      </c>
      <c r="C13" s="88" t="s">
        <v>438</v>
      </c>
      <c r="D13" s="88" t="s">
        <v>290</v>
      </c>
      <c r="E13" s="88" t="str">
        <f>"0,6739"</f>
        <v>0,6739</v>
      </c>
      <c r="F13" s="88" t="s">
        <v>29</v>
      </c>
      <c r="G13" s="88" t="s">
        <v>439</v>
      </c>
      <c r="H13" s="22" t="s">
        <v>93</v>
      </c>
      <c r="I13" s="22" t="s">
        <v>85</v>
      </c>
      <c r="J13" s="67" t="s">
        <v>78</v>
      </c>
      <c r="K13" s="69"/>
      <c r="L13" s="22" t="s">
        <v>40</v>
      </c>
      <c r="M13" s="67" t="s">
        <v>41</v>
      </c>
      <c r="N13" s="67" t="s">
        <v>41</v>
      </c>
      <c r="O13" s="69"/>
      <c r="P13" s="22" t="s">
        <v>78</v>
      </c>
      <c r="Q13" s="22" t="s">
        <v>394</v>
      </c>
      <c r="R13" s="22" t="s">
        <v>424</v>
      </c>
      <c r="S13" s="69"/>
      <c r="T13" s="40">
        <v>545</v>
      </c>
      <c r="U13" s="88" t="str">
        <f>"367,2755"</f>
        <v>367,2755</v>
      </c>
      <c r="V13" s="88" t="s">
        <v>874</v>
      </c>
    </row>
    <row r="14" spans="1:22" ht="12.75">
      <c r="A14" s="50">
        <v>1</v>
      </c>
      <c r="B14" s="88" t="s">
        <v>440</v>
      </c>
      <c r="C14" s="88" t="s">
        <v>441</v>
      </c>
      <c r="D14" s="88" t="s">
        <v>22</v>
      </c>
      <c r="E14" s="88" t="str">
        <f>"0,6734"</f>
        <v>0,6734</v>
      </c>
      <c r="F14" s="88" t="s">
        <v>442</v>
      </c>
      <c r="G14" s="88" t="s">
        <v>15</v>
      </c>
      <c r="H14" s="22" t="s">
        <v>85</v>
      </c>
      <c r="I14" s="22" t="s">
        <v>99</v>
      </c>
      <c r="J14" s="22" t="s">
        <v>394</v>
      </c>
      <c r="K14" s="69"/>
      <c r="L14" s="22" t="s">
        <v>48</v>
      </c>
      <c r="M14" s="22" t="s">
        <v>35</v>
      </c>
      <c r="N14" s="22" t="s">
        <v>140</v>
      </c>
      <c r="O14" s="69"/>
      <c r="P14" s="22" t="s">
        <v>417</v>
      </c>
      <c r="Q14" s="22" t="s">
        <v>443</v>
      </c>
      <c r="R14" s="22" t="s">
        <v>425</v>
      </c>
      <c r="S14" s="69"/>
      <c r="T14" s="40">
        <v>610</v>
      </c>
      <c r="U14" s="88" t="str">
        <f>"410,7740"</f>
        <v>410,7740</v>
      </c>
      <c r="V14" s="88" t="s">
        <v>921</v>
      </c>
    </row>
    <row r="15" spans="1:22" ht="12.75">
      <c r="A15" s="49">
        <v>2</v>
      </c>
      <c r="B15" s="87" t="s">
        <v>434</v>
      </c>
      <c r="C15" s="87" t="s">
        <v>444</v>
      </c>
      <c r="D15" s="87" t="s">
        <v>436</v>
      </c>
      <c r="E15" s="87" t="str">
        <f>"0,6922"</f>
        <v>0,6922</v>
      </c>
      <c r="F15" s="87" t="s">
        <v>116</v>
      </c>
      <c r="G15" s="87" t="s">
        <v>1000</v>
      </c>
      <c r="H15" s="23" t="s">
        <v>85</v>
      </c>
      <c r="I15" s="23" t="s">
        <v>78</v>
      </c>
      <c r="J15" s="70" t="s">
        <v>79</v>
      </c>
      <c r="K15" s="71"/>
      <c r="L15" s="23" t="s">
        <v>35</v>
      </c>
      <c r="M15" s="23" t="s">
        <v>140</v>
      </c>
      <c r="N15" s="70" t="s">
        <v>295</v>
      </c>
      <c r="O15" s="71"/>
      <c r="P15" s="23" t="s">
        <v>417</v>
      </c>
      <c r="Q15" s="70" t="s">
        <v>445</v>
      </c>
      <c r="R15" s="75" t="s">
        <v>445</v>
      </c>
      <c r="S15" s="71"/>
      <c r="T15" s="39">
        <v>580</v>
      </c>
      <c r="U15" s="87" t="str">
        <f>"401,4760"</f>
        <v>401,4760</v>
      </c>
      <c r="V15" s="87" t="s">
        <v>934</v>
      </c>
    </row>
    <row r="17" spans="2:21" ht="15.75">
      <c r="B17" s="118" t="s">
        <v>49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2" ht="12.75">
      <c r="A18" s="48">
        <v>1</v>
      </c>
      <c r="B18" s="86" t="s">
        <v>446</v>
      </c>
      <c r="C18" s="86" t="s">
        <v>447</v>
      </c>
      <c r="D18" s="86" t="s">
        <v>448</v>
      </c>
      <c r="E18" s="86" t="str">
        <f>"0,6388"</f>
        <v>0,6388</v>
      </c>
      <c r="F18" s="86" t="s">
        <v>116</v>
      </c>
      <c r="G18" s="86" t="s">
        <v>449</v>
      </c>
      <c r="H18" s="21" t="s">
        <v>93</v>
      </c>
      <c r="I18" s="21" t="s">
        <v>85</v>
      </c>
      <c r="J18" s="21" t="s">
        <v>78</v>
      </c>
      <c r="K18" s="68"/>
      <c r="L18" s="21" t="s">
        <v>326</v>
      </c>
      <c r="M18" s="21" t="s">
        <v>263</v>
      </c>
      <c r="N18" s="21" t="s">
        <v>257</v>
      </c>
      <c r="O18" s="68"/>
      <c r="P18" s="21" t="s">
        <v>417</v>
      </c>
      <c r="Q18" s="21" t="s">
        <v>422</v>
      </c>
      <c r="R18" s="21" t="s">
        <v>425</v>
      </c>
      <c r="S18" s="68"/>
      <c r="T18" s="38">
        <v>572.5</v>
      </c>
      <c r="U18" s="133" t="str">
        <f>"365,7130"</f>
        <v>365,7130</v>
      </c>
      <c r="V18" s="86" t="s">
        <v>130</v>
      </c>
    </row>
    <row r="19" spans="1:22" ht="12.75">
      <c r="A19" s="49">
        <v>1</v>
      </c>
      <c r="B19" s="87" t="s">
        <v>450</v>
      </c>
      <c r="C19" s="87" t="s">
        <v>451</v>
      </c>
      <c r="D19" s="87" t="s">
        <v>452</v>
      </c>
      <c r="E19" s="87" t="str">
        <f>"0,6406"</f>
        <v>0,6406</v>
      </c>
      <c r="F19" s="87" t="s">
        <v>68</v>
      </c>
      <c r="G19" s="87" t="s">
        <v>1000</v>
      </c>
      <c r="H19" s="23" t="s">
        <v>36</v>
      </c>
      <c r="I19" s="23" t="s">
        <v>266</v>
      </c>
      <c r="J19" s="23" t="s">
        <v>24</v>
      </c>
      <c r="K19" s="71"/>
      <c r="L19" s="23" t="s">
        <v>263</v>
      </c>
      <c r="M19" s="23" t="s">
        <v>306</v>
      </c>
      <c r="N19" s="70" t="s">
        <v>48</v>
      </c>
      <c r="O19" s="71"/>
      <c r="P19" s="70" t="s">
        <v>77</v>
      </c>
      <c r="Q19" s="23" t="s">
        <v>77</v>
      </c>
      <c r="R19" s="70" t="s">
        <v>99</v>
      </c>
      <c r="S19" s="71"/>
      <c r="T19" s="39">
        <v>485</v>
      </c>
      <c r="U19" s="134" t="str">
        <f>"346,1098"</f>
        <v>346,1098</v>
      </c>
      <c r="V19" s="87" t="s">
        <v>130</v>
      </c>
    </row>
    <row r="21" spans="2:21" ht="15.75">
      <c r="B21" s="118" t="s">
        <v>72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2" ht="12.75">
      <c r="A22" s="48">
        <v>1</v>
      </c>
      <c r="B22" s="86" t="s">
        <v>453</v>
      </c>
      <c r="C22" s="86" t="s">
        <v>454</v>
      </c>
      <c r="D22" s="86" t="s">
        <v>415</v>
      </c>
      <c r="E22" s="86" t="str">
        <f>"0,6118"</f>
        <v>0,6118</v>
      </c>
      <c r="F22" s="133" t="s">
        <v>68</v>
      </c>
      <c r="G22" s="86" t="s">
        <v>1000</v>
      </c>
      <c r="H22" s="135" t="s">
        <v>85</v>
      </c>
      <c r="I22" s="21" t="s">
        <v>79</v>
      </c>
      <c r="J22" s="66" t="s">
        <v>455</v>
      </c>
      <c r="K22" s="68"/>
      <c r="L22" s="21" t="s">
        <v>47</v>
      </c>
      <c r="M22" s="66" t="s">
        <v>253</v>
      </c>
      <c r="N22" s="21" t="s">
        <v>253</v>
      </c>
      <c r="O22" s="68"/>
      <c r="P22" s="21" t="s">
        <v>456</v>
      </c>
      <c r="Q22" s="21" t="s">
        <v>457</v>
      </c>
      <c r="R22" s="21" t="s">
        <v>458</v>
      </c>
      <c r="S22" s="68"/>
      <c r="T22" s="38">
        <v>612.5</v>
      </c>
      <c r="U22" s="86" t="str">
        <f>"374,7275"</f>
        <v>374,7275</v>
      </c>
      <c r="V22" s="86" t="s">
        <v>1024</v>
      </c>
    </row>
    <row r="23" spans="1:22" ht="12.75">
      <c r="A23" s="49">
        <v>1</v>
      </c>
      <c r="B23" s="87" t="s">
        <v>459</v>
      </c>
      <c r="C23" s="87" t="s">
        <v>460</v>
      </c>
      <c r="D23" s="87" t="s">
        <v>461</v>
      </c>
      <c r="E23" s="87" t="str">
        <f>"0,6191"</f>
        <v>0,6191</v>
      </c>
      <c r="F23" s="134" t="s">
        <v>29</v>
      </c>
      <c r="G23" s="87" t="s">
        <v>1000</v>
      </c>
      <c r="H23" s="140" t="s">
        <v>48</v>
      </c>
      <c r="I23" s="23" t="s">
        <v>35</v>
      </c>
      <c r="J23" s="23" t="s">
        <v>140</v>
      </c>
      <c r="K23" s="71"/>
      <c r="L23" s="23" t="s">
        <v>326</v>
      </c>
      <c r="M23" s="23" t="s">
        <v>46</v>
      </c>
      <c r="N23" s="23" t="s">
        <v>306</v>
      </c>
      <c r="O23" s="71"/>
      <c r="P23" s="23" t="s">
        <v>77</v>
      </c>
      <c r="Q23" s="23" t="s">
        <v>394</v>
      </c>
      <c r="R23" s="23" t="s">
        <v>424</v>
      </c>
      <c r="S23" s="71"/>
      <c r="T23" s="39">
        <v>495</v>
      </c>
      <c r="U23" s="87" t="str">
        <f>"413,7136"</f>
        <v>413,7136</v>
      </c>
      <c r="V23" s="87" t="s">
        <v>935</v>
      </c>
    </row>
    <row r="25" spans="1:21" ht="15.75">
      <c r="A25" s="51"/>
      <c r="B25" s="118" t="s">
        <v>95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2" ht="12.75">
      <c r="A26" s="47">
        <v>1</v>
      </c>
      <c r="B26" s="35" t="s">
        <v>462</v>
      </c>
      <c r="C26" s="35" t="s">
        <v>463</v>
      </c>
      <c r="D26" s="35" t="s">
        <v>464</v>
      </c>
      <c r="E26" s="35" t="str">
        <f>"0,6019"</f>
        <v>0,6019</v>
      </c>
      <c r="F26" s="35" t="s">
        <v>29</v>
      </c>
      <c r="G26" s="35" t="s">
        <v>1000</v>
      </c>
      <c r="H26" s="20" t="s">
        <v>23</v>
      </c>
      <c r="I26" s="20" t="s">
        <v>93</v>
      </c>
      <c r="J26" s="20" t="s">
        <v>85</v>
      </c>
      <c r="K26" s="72"/>
      <c r="L26" s="20" t="s">
        <v>140</v>
      </c>
      <c r="M26" s="20" t="s">
        <v>23</v>
      </c>
      <c r="N26" s="20" t="s">
        <v>25</v>
      </c>
      <c r="O26" s="72"/>
      <c r="P26" s="20" t="s">
        <v>77</v>
      </c>
      <c r="Q26" s="20" t="s">
        <v>394</v>
      </c>
      <c r="R26" s="20" t="s">
        <v>424</v>
      </c>
      <c r="S26" s="72"/>
      <c r="T26" s="34">
        <v>580</v>
      </c>
      <c r="U26" s="35" t="str">
        <f>"350,8475"</f>
        <v>350,8475</v>
      </c>
      <c r="V26" s="35" t="s">
        <v>936</v>
      </c>
    </row>
    <row r="28" spans="2:21" ht="15.75">
      <c r="B28" s="118" t="s">
        <v>123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2" ht="12.75">
      <c r="A29" s="47">
        <v>1</v>
      </c>
      <c r="B29" s="35" t="s">
        <v>465</v>
      </c>
      <c r="C29" s="35" t="s">
        <v>466</v>
      </c>
      <c r="D29" s="35" t="s">
        <v>467</v>
      </c>
      <c r="E29" s="35" t="str">
        <f>"0,5731"</f>
        <v>0,5731</v>
      </c>
      <c r="F29" s="35" t="s">
        <v>29</v>
      </c>
      <c r="G29" s="35" t="s">
        <v>1002</v>
      </c>
      <c r="H29" s="20" t="s">
        <v>424</v>
      </c>
      <c r="I29" s="20" t="s">
        <v>417</v>
      </c>
      <c r="J29" s="65" t="s">
        <v>422</v>
      </c>
      <c r="K29" s="72"/>
      <c r="L29" s="20" t="s">
        <v>266</v>
      </c>
      <c r="M29" s="65" t="s">
        <v>24</v>
      </c>
      <c r="N29" s="20" t="s">
        <v>24</v>
      </c>
      <c r="O29" s="72"/>
      <c r="P29" s="20" t="s">
        <v>425</v>
      </c>
      <c r="Q29" s="65" t="s">
        <v>423</v>
      </c>
      <c r="R29" s="65" t="s">
        <v>468</v>
      </c>
      <c r="S29" s="72"/>
      <c r="T29" s="34">
        <v>645</v>
      </c>
      <c r="U29" s="35" t="str">
        <f>"369,6495"</f>
        <v>369,6495</v>
      </c>
      <c r="V29" s="35" t="s">
        <v>130</v>
      </c>
    </row>
  </sheetData>
  <sheetProtection/>
  <mergeCells count="21">
    <mergeCell ref="P3:S3"/>
    <mergeCell ref="B3:B4"/>
    <mergeCell ref="C3:C4"/>
    <mergeCell ref="D3:D4"/>
    <mergeCell ref="E3:E4"/>
    <mergeCell ref="B28:U28"/>
    <mergeCell ref="F3:F4"/>
    <mergeCell ref="A1:V2"/>
    <mergeCell ref="A3:A4"/>
    <mergeCell ref="V3:V4"/>
    <mergeCell ref="T3:T4"/>
    <mergeCell ref="U3:U4"/>
    <mergeCell ref="G3:G4"/>
    <mergeCell ref="H3:K3"/>
    <mergeCell ref="L3:O3"/>
    <mergeCell ref="B5:U5"/>
    <mergeCell ref="B8:U8"/>
    <mergeCell ref="B11:U11"/>
    <mergeCell ref="B17:U17"/>
    <mergeCell ref="B21:U21"/>
    <mergeCell ref="B25:U2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F1">
      <selection activeCell="S14" sqref="S14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7.12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3.25390625" style="36" bestFit="1" customWidth="1"/>
    <col min="8" max="10" width="5.625" style="36" bestFit="1" customWidth="1"/>
    <col min="11" max="11" width="4.625" style="36" bestFit="1" customWidth="1"/>
    <col min="12" max="12" width="11.75390625" style="37" customWidth="1"/>
    <col min="13" max="13" width="8.625" style="36" bestFit="1" customWidth="1"/>
    <col min="14" max="14" width="22.125" style="36" bestFit="1" customWidth="1"/>
  </cols>
  <sheetData>
    <row r="1" spans="1:14" s="1" customFormat="1" ht="15" customHeight="1">
      <c r="A1" s="106" t="s">
        <v>989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3</v>
      </c>
      <c r="I3" s="101"/>
      <c r="J3" s="101"/>
      <c r="K3" s="101"/>
      <c r="L3" s="115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16"/>
      <c r="M4" s="102"/>
      <c r="N4" s="104"/>
    </row>
    <row r="5" spans="2:13" ht="15.75">
      <c r="B5" s="105" t="s">
        <v>177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8">
        <v>1</v>
      </c>
      <c r="B6" s="86" t="s">
        <v>480</v>
      </c>
      <c r="C6" s="86" t="s">
        <v>481</v>
      </c>
      <c r="D6" s="86" t="s">
        <v>183</v>
      </c>
      <c r="E6" s="86" t="str">
        <f>"1,2635"</f>
        <v>1,2635</v>
      </c>
      <c r="F6" s="133" t="s">
        <v>116</v>
      </c>
      <c r="G6" s="86" t="s">
        <v>1000</v>
      </c>
      <c r="H6" s="135" t="s">
        <v>220</v>
      </c>
      <c r="I6" s="21" t="s">
        <v>213</v>
      </c>
      <c r="J6" s="66" t="s">
        <v>274</v>
      </c>
      <c r="K6" s="68"/>
      <c r="L6" s="38">
        <v>70</v>
      </c>
      <c r="M6" s="86" t="str">
        <f>"88,4450"</f>
        <v>88,4450</v>
      </c>
      <c r="N6" s="86" t="s">
        <v>130</v>
      </c>
    </row>
    <row r="7" spans="1:14" ht="12.75">
      <c r="A7" s="49">
        <v>1</v>
      </c>
      <c r="B7" s="87" t="s">
        <v>665</v>
      </c>
      <c r="C7" s="87" t="s">
        <v>666</v>
      </c>
      <c r="D7" s="87" t="s">
        <v>667</v>
      </c>
      <c r="E7" s="87" t="str">
        <f>"1,2788"</f>
        <v>1,2788</v>
      </c>
      <c r="F7" s="134" t="s">
        <v>29</v>
      </c>
      <c r="G7" s="87" t="s">
        <v>1000</v>
      </c>
      <c r="H7" s="140" t="s">
        <v>274</v>
      </c>
      <c r="I7" s="23" t="s">
        <v>377</v>
      </c>
      <c r="J7" s="23" t="s">
        <v>275</v>
      </c>
      <c r="K7" s="71"/>
      <c r="L7" s="39">
        <v>90</v>
      </c>
      <c r="M7" s="87" t="str">
        <f>"115,0920"</f>
        <v>115,0920</v>
      </c>
      <c r="N7" s="87" t="s">
        <v>917</v>
      </c>
    </row>
    <row r="9" spans="2:13" ht="15.75">
      <c r="B9" s="118" t="s">
        <v>10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4" ht="12.75">
      <c r="A10" s="47">
        <v>1</v>
      </c>
      <c r="B10" s="35" t="s">
        <v>668</v>
      </c>
      <c r="C10" s="35" t="s">
        <v>669</v>
      </c>
      <c r="D10" s="35" t="s">
        <v>670</v>
      </c>
      <c r="E10" s="35" t="str">
        <f>"1,2019"</f>
        <v>1,2019</v>
      </c>
      <c r="F10" s="35" t="s">
        <v>116</v>
      </c>
      <c r="G10" s="35" t="s">
        <v>1000</v>
      </c>
      <c r="H10" s="20" t="s">
        <v>263</v>
      </c>
      <c r="I10" s="20" t="s">
        <v>306</v>
      </c>
      <c r="J10" s="20" t="s">
        <v>253</v>
      </c>
      <c r="K10" s="72"/>
      <c r="L10" s="34">
        <v>132.5</v>
      </c>
      <c r="M10" s="35" t="str">
        <f>"159,2518"</f>
        <v>159,2518</v>
      </c>
      <c r="N10" s="35" t="s">
        <v>130</v>
      </c>
    </row>
    <row r="11" ht="12.75">
      <c r="A11" s="17"/>
    </row>
    <row r="12" spans="2:13" ht="15.75">
      <c r="B12" s="118" t="s">
        <v>228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4" ht="12.75">
      <c r="A13" s="47">
        <v>1</v>
      </c>
      <c r="B13" s="35" t="s">
        <v>671</v>
      </c>
      <c r="C13" s="35" t="s">
        <v>672</v>
      </c>
      <c r="D13" s="35" t="s">
        <v>673</v>
      </c>
      <c r="E13" s="35" t="str">
        <f>"1,0294"</f>
        <v>1,0294</v>
      </c>
      <c r="F13" s="35" t="s">
        <v>29</v>
      </c>
      <c r="G13" s="35" t="s">
        <v>1000</v>
      </c>
      <c r="H13" s="20" t="s">
        <v>326</v>
      </c>
      <c r="I13" s="20" t="s">
        <v>263</v>
      </c>
      <c r="J13" s="20" t="s">
        <v>306</v>
      </c>
      <c r="K13" s="72"/>
      <c r="L13" s="34">
        <v>125</v>
      </c>
      <c r="M13" s="35" t="str">
        <f>"128,6750"</f>
        <v>128,6750</v>
      </c>
      <c r="N13" s="35" t="s">
        <v>1047</v>
      </c>
    </row>
    <row r="15" spans="2:13" ht="15.75">
      <c r="B15" s="118" t="s">
        <v>228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4" ht="12.75">
      <c r="A16" s="47">
        <v>1</v>
      </c>
      <c r="B16" s="35" t="s">
        <v>674</v>
      </c>
      <c r="C16" s="35" t="s">
        <v>675</v>
      </c>
      <c r="D16" s="35" t="s">
        <v>676</v>
      </c>
      <c r="E16" s="35" t="str">
        <f>"0,8200"</f>
        <v>0,8200</v>
      </c>
      <c r="F16" s="35" t="s">
        <v>29</v>
      </c>
      <c r="G16" s="35" t="s">
        <v>1000</v>
      </c>
      <c r="H16" s="65" t="s">
        <v>25</v>
      </c>
      <c r="I16" s="65" t="s">
        <v>25</v>
      </c>
      <c r="J16" s="65" t="s">
        <v>25</v>
      </c>
      <c r="K16" s="72"/>
      <c r="L16" s="34">
        <v>0</v>
      </c>
      <c r="M16" s="35" t="str">
        <f>"0,0000"</f>
        <v>0,0000</v>
      </c>
      <c r="N16" s="35" t="s">
        <v>918</v>
      </c>
    </row>
    <row r="18" spans="2:13" ht="15.75">
      <c r="B18" s="118" t="s">
        <v>249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4" ht="12.75">
      <c r="A19" s="47">
        <v>1</v>
      </c>
      <c r="B19" s="35" t="s">
        <v>271</v>
      </c>
      <c r="C19" s="35" t="s">
        <v>272</v>
      </c>
      <c r="D19" s="35" t="s">
        <v>273</v>
      </c>
      <c r="E19" s="35" t="str">
        <f>"0,7139"</f>
        <v>0,7139</v>
      </c>
      <c r="F19" s="35" t="s">
        <v>29</v>
      </c>
      <c r="G19" s="35" t="s">
        <v>1000</v>
      </c>
      <c r="H19" s="20" t="s">
        <v>48</v>
      </c>
      <c r="I19" s="20" t="s">
        <v>41</v>
      </c>
      <c r="J19" s="65" t="s">
        <v>295</v>
      </c>
      <c r="K19" s="72"/>
      <c r="L19" s="34">
        <v>142.5</v>
      </c>
      <c r="M19" s="35" t="str">
        <f>"101,7308"</f>
        <v>101,7308</v>
      </c>
      <c r="N19" s="35" t="s">
        <v>919</v>
      </c>
    </row>
    <row r="21" spans="2:13" ht="15.75">
      <c r="B21" s="118" t="s">
        <v>19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4" ht="12.75">
      <c r="A22" s="48">
        <v>1</v>
      </c>
      <c r="B22" s="86" t="s">
        <v>314</v>
      </c>
      <c r="C22" s="86" t="s">
        <v>677</v>
      </c>
      <c r="D22" s="86" t="s">
        <v>678</v>
      </c>
      <c r="E22" s="86" t="str">
        <f>"0,6795"</f>
        <v>0,6795</v>
      </c>
      <c r="F22" s="86" t="s">
        <v>477</v>
      </c>
      <c r="G22" s="86" t="s">
        <v>679</v>
      </c>
      <c r="H22" s="21" t="s">
        <v>25</v>
      </c>
      <c r="I22" s="21" t="s">
        <v>85</v>
      </c>
      <c r="J22" s="21" t="s">
        <v>78</v>
      </c>
      <c r="K22" s="68"/>
      <c r="L22" s="38">
        <v>200</v>
      </c>
      <c r="M22" s="86" t="str">
        <f>"135,9000"</f>
        <v>135,9000</v>
      </c>
      <c r="N22" s="86" t="s">
        <v>130</v>
      </c>
    </row>
    <row r="23" spans="1:14" ht="12.75">
      <c r="A23" s="50">
        <v>1</v>
      </c>
      <c r="B23" s="88" t="s">
        <v>680</v>
      </c>
      <c r="C23" s="88" t="s">
        <v>681</v>
      </c>
      <c r="D23" s="88" t="s">
        <v>682</v>
      </c>
      <c r="E23" s="88" t="str">
        <f>"0,6849"</f>
        <v>0,6849</v>
      </c>
      <c r="F23" s="88" t="s">
        <v>116</v>
      </c>
      <c r="G23" s="88" t="s">
        <v>683</v>
      </c>
      <c r="H23" s="22" t="s">
        <v>85</v>
      </c>
      <c r="I23" s="22" t="s">
        <v>78</v>
      </c>
      <c r="J23" s="67" t="s">
        <v>395</v>
      </c>
      <c r="K23" s="69"/>
      <c r="L23" s="40">
        <v>200</v>
      </c>
      <c r="M23" s="88" t="str">
        <f>"136,9800"</f>
        <v>136,9800</v>
      </c>
      <c r="N23" s="88" t="s">
        <v>130</v>
      </c>
    </row>
    <row r="24" spans="1:14" ht="12.75">
      <c r="A24" s="50">
        <v>1</v>
      </c>
      <c r="B24" s="88" t="s">
        <v>684</v>
      </c>
      <c r="C24" s="88" t="s">
        <v>685</v>
      </c>
      <c r="D24" s="88" t="s">
        <v>305</v>
      </c>
      <c r="E24" s="88" t="str">
        <f>"0,6744"</f>
        <v>0,6744</v>
      </c>
      <c r="F24" s="88" t="s">
        <v>116</v>
      </c>
      <c r="G24" s="88" t="s">
        <v>1000</v>
      </c>
      <c r="H24" s="22" t="s">
        <v>417</v>
      </c>
      <c r="I24" s="67" t="s">
        <v>422</v>
      </c>
      <c r="J24" s="67" t="s">
        <v>422</v>
      </c>
      <c r="K24" s="69"/>
      <c r="L24" s="40">
        <v>230</v>
      </c>
      <c r="M24" s="88" t="str">
        <f>"155,1120"</f>
        <v>155,1120</v>
      </c>
      <c r="N24" s="88" t="s">
        <v>130</v>
      </c>
    </row>
    <row r="25" spans="1:14" ht="12.75">
      <c r="A25" s="50">
        <v>2</v>
      </c>
      <c r="B25" s="88" t="s">
        <v>686</v>
      </c>
      <c r="C25" s="88" t="s">
        <v>687</v>
      </c>
      <c r="D25" s="88" t="s">
        <v>305</v>
      </c>
      <c r="E25" s="88" t="str">
        <f>"0,6744"</f>
        <v>0,6744</v>
      </c>
      <c r="F25" s="88" t="s">
        <v>29</v>
      </c>
      <c r="G25" s="88" t="s">
        <v>1000</v>
      </c>
      <c r="H25" s="22" t="s">
        <v>85</v>
      </c>
      <c r="I25" s="22" t="s">
        <v>78</v>
      </c>
      <c r="J25" s="67" t="s">
        <v>571</v>
      </c>
      <c r="K25" s="69"/>
      <c r="L25" s="40">
        <v>200</v>
      </c>
      <c r="M25" s="88" t="str">
        <f>"134,8800"</f>
        <v>134,8800</v>
      </c>
      <c r="N25" s="88" t="s">
        <v>130</v>
      </c>
    </row>
    <row r="26" spans="1:14" ht="12.75">
      <c r="A26" s="49">
        <v>1</v>
      </c>
      <c r="B26" s="87" t="s">
        <v>688</v>
      </c>
      <c r="C26" s="87" t="s">
        <v>689</v>
      </c>
      <c r="D26" s="87" t="s">
        <v>281</v>
      </c>
      <c r="E26" s="87" t="str">
        <f>"0,6785"</f>
        <v>0,6785</v>
      </c>
      <c r="F26" s="87" t="s">
        <v>29</v>
      </c>
      <c r="G26" s="87" t="s">
        <v>690</v>
      </c>
      <c r="H26" s="23" t="s">
        <v>24</v>
      </c>
      <c r="I26" s="23" t="s">
        <v>55</v>
      </c>
      <c r="J26" s="70" t="s">
        <v>85</v>
      </c>
      <c r="K26" s="71"/>
      <c r="L26" s="39">
        <v>175</v>
      </c>
      <c r="M26" s="87" t="str">
        <f>"174,5441"</f>
        <v>174,5441</v>
      </c>
      <c r="N26" s="87" t="s">
        <v>130</v>
      </c>
    </row>
    <row r="28" spans="2:13" ht="15.75">
      <c r="B28" s="118" t="s">
        <v>49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4" ht="12.75">
      <c r="A29" s="48">
        <v>1</v>
      </c>
      <c r="B29" s="86" t="s">
        <v>236</v>
      </c>
      <c r="C29" s="86" t="s">
        <v>237</v>
      </c>
      <c r="D29" s="86" t="s">
        <v>544</v>
      </c>
      <c r="E29" s="86" t="str">
        <f>"0,6424"</f>
        <v>0,6424</v>
      </c>
      <c r="F29" s="86" t="s">
        <v>1014</v>
      </c>
      <c r="G29" s="86" t="s">
        <v>239</v>
      </c>
      <c r="H29" s="66" t="s">
        <v>395</v>
      </c>
      <c r="I29" s="68"/>
      <c r="J29" s="68"/>
      <c r="K29" s="68"/>
      <c r="L29" s="38">
        <v>0</v>
      </c>
      <c r="M29" s="86" t="str">
        <f>"0,0000"</f>
        <v>0,0000</v>
      </c>
      <c r="N29" s="86" t="s">
        <v>241</v>
      </c>
    </row>
    <row r="30" spans="1:14" ht="12.75">
      <c r="A30" s="50">
        <v>1</v>
      </c>
      <c r="B30" s="88" t="s">
        <v>542</v>
      </c>
      <c r="C30" s="88" t="s">
        <v>543</v>
      </c>
      <c r="D30" s="88" t="s">
        <v>544</v>
      </c>
      <c r="E30" s="88" t="str">
        <f>"0,6424"</f>
        <v>0,6424</v>
      </c>
      <c r="F30" s="88" t="s">
        <v>1014</v>
      </c>
      <c r="G30" s="88" t="s">
        <v>239</v>
      </c>
      <c r="H30" s="22" t="s">
        <v>418</v>
      </c>
      <c r="I30" s="69"/>
      <c r="J30" s="69"/>
      <c r="K30" s="69"/>
      <c r="L30" s="40">
        <v>235</v>
      </c>
      <c r="M30" s="88" t="str">
        <f>"150,9640"</f>
        <v>150,9640</v>
      </c>
      <c r="N30" s="88" t="s">
        <v>241</v>
      </c>
    </row>
    <row r="31" spans="1:14" ht="12.75">
      <c r="A31" s="49">
        <v>2</v>
      </c>
      <c r="B31" s="87" t="s">
        <v>691</v>
      </c>
      <c r="C31" s="87" t="s">
        <v>692</v>
      </c>
      <c r="D31" s="87" t="s">
        <v>693</v>
      </c>
      <c r="E31" s="87" t="str">
        <f>"0,6566"</f>
        <v>0,6566</v>
      </c>
      <c r="F31" s="87" t="s">
        <v>962</v>
      </c>
      <c r="G31" s="87" t="s">
        <v>1000</v>
      </c>
      <c r="H31" s="23" t="s">
        <v>78</v>
      </c>
      <c r="I31" s="23" t="s">
        <v>395</v>
      </c>
      <c r="J31" s="23" t="s">
        <v>424</v>
      </c>
      <c r="K31" s="71"/>
      <c r="L31" s="39">
        <v>220</v>
      </c>
      <c r="M31" s="87" t="str">
        <f>"144,4520"</f>
        <v>144,4520</v>
      </c>
      <c r="N31" s="87" t="s">
        <v>1028</v>
      </c>
    </row>
    <row r="33" spans="2:13" ht="15.75">
      <c r="B33" s="118" t="s">
        <v>72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4" ht="12.75">
      <c r="A34" s="47">
        <v>1</v>
      </c>
      <c r="B34" s="35" t="s">
        <v>694</v>
      </c>
      <c r="C34" s="35" t="s">
        <v>695</v>
      </c>
      <c r="D34" s="35" t="s">
        <v>696</v>
      </c>
      <c r="E34" s="35" t="str">
        <f>"0,6276"</f>
        <v>0,6276</v>
      </c>
      <c r="F34" s="35" t="s">
        <v>29</v>
      </c>
      <c r="G34" s="35" t="s">
        <v>185</v>
      </c>
      <c r="H34" s="20" t="s">
        <v>394</v>
      </c>
      <c r="I34" s="65" t="s">
        <v>546</v>
      </c>
      <c r="J34" s="20" t="s">
        <v>417</v>
      </c>
      <c r="K34" s="72"/>
      <c r="L34" s="34">
        <v>230</v>
      </c>
      <c r="M34" s="35" t="str">
        <f>"144,3480"</f>
        <v>144,3480</v>
      </c>
      <c r="N34" s="35" t="s">
        <v>1048</v>
      </c>
    </row>
  </sheetData>
  <sheetProtection/>
  <mergeCells count="20">
    <mergeCell ref="G3:G4"/>
    <mergeCell ref="H3:K3"/>
    <mergeCell ref="B3:B4"/>
    <mergeCell ref="C3:C4"/>
    <mergeCell ref="D3:D4"/>
    <mergeCell ref="E3:E4"/>
    <mergeCell ref="F3:F4"/>
    <mergeCell ref="A1:N2"/>
    <mergeCell ref="A3:A4"/>
    <mergeCell ref="N3:N4"/>
    <mergeCell ref="L3:L4"/>
    <mergeCell ref="M3:M4"/>
    <mergeCell ref="B33:M33"/>
    <mergeCell ref="B21:M21"/>
    <mergeCell ref="B28:M28"/>
    <mergeCell ref="B5:M5"/>
    <mergeCell ref="B9:M9"/>
    <mergeCell ref="B12:M12"/>
    <mergeCell ref="B15:M15"/>
    <mergeCell ref="B18:M18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J37" sqref="J37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375" style="36" bestFit="1" customWidth="1"/>
    <col min="8" max="10" width="5.625" style="36" bestFit="1" customWidth="1"/>
    <col min="11" max="11" width="4.625" style="36" bestFit="1" customWidth="1"/>
    <col min="12" max="12" width="12.00390625" style="37" customWidth="1"/>
    <col min="13" max="13" width="8.625" style="36" bestFit="1" customWidth="1"/>
    <col min="14" max="14" width="17.75390625" style="36" bestFit="1" customWidth="1"/>
  </cols>
  <sheetData>
    <row r="1" spans="1:14" s="1" customFormat="1" ht="15" customHeight="1">
      <c r="A1" s="106" t="s">
        <v>990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23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3</v>
      </c>
      <c r="I3" s="101"/>
      <c r="J3" s="101"/>
      <c r="K3" s="101"/>
      <c r="L3" s="115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24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16"/>
      <c r="M4" s="102"/>
      <c r="N4" s="104"/>
    </row>
    <row r="5" spans="2:13" ht="15.75">
      <c r="B5" s="105" t="s">
        <v>19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35" t="s">
        <v>637</v>
      </c>
      <c r="C6" s="35" t="s">
        <v>638</v>
      </c>
      <c r="D6" s="35" t="s">
        <v>639</v>
      </c>
      <c r="E6" s="35" t="str">
        <f>"0,9235"</f>
        <v>0,9235</v>
      </c>
      <c r="F6" s="35" t="s">
        <v>29</v>
      </c>
      <c r="G6" s="35" t="s">
        <v>1000</v>
      </c>
      <c r="H6" s="20" t="s">
        <v>352</v>
      </c>
      <c r="I6" s="20" t="s">
        <v>261</v>
      </c>
      <c r="J6" s="20" t="s">
        <v>262</v>
      </c>
      <c r="K6" s="72"/>
      <c r="L6" s="34">
        <v>107.5</v>
      </c>
      <c r="M6" s="35" t="str">
        <f>"99,2763"</f>
        <v>99,2763</v>
      </c>
      <c r="N6" s="35" t="s">
        <v>920</v>
      </c>
    </row>
    <row r="8" spans="2:13" ht="15.75">
      <c r="B8" s="118" t="s">
        <v>19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4" ht="12.75">
      <c r="A9" s="48">
        <v>1</v>
      </c>
      <c r="B9" s="86" t="s">
        <v>640</v>
      </c>
      <c r="C9" s="86" t="s">
        <v>641</v>
      </c>
      <c r="D9" s="86" t="s">
        <v>301</v>
      </c>
      <c r="E9" s="86" t="str">
        <f>"0,6806"</f>
        <v>0,6806</v>
      </c>
      <c r="F9" s="86" t="s">
        <v>1019</v>
      </c>
      <c r="G9" s="86" t="s">
        <v>433</v>
      </c>
      <c r="H9" s="21" t="s">
        <v>23</v>
      </c>
      <c r="I9" s="21" t="s">
        <v>93</v>
      </c>
      <c r="J9" s="21" t="s">
        <v>78</v>
      </c>
      <c r="K9" s="68"/>
      <c r="L9" s="38">
        <v>200</v>
      </c>
      <c r="M9" s="86" t="str">
        <f>"136,1200"</f>
        <v>136,1200</v>
      </c>
      <c r="N9" s="86" t="s">
        <v>130</v>
      </c>
    </row>
    <row r="10" spans="1:14" ht="12.75">
      <c r="A10" s="49">
        <v>1</v>
      </c>
      <c r="B10" s="87" t="s">
        <v>440</v>
      </c>
      <c r="C10" s="87" t="s">
        <v>441</v>
      </c>
      <c r="D10" s="87" t="s">
        <v>22</v>
      </c>
      <c r="E10" s="87" t="str">
        <f>"0,6734"</f>
        <v>0,6734</v>
      </c>
      <c r="F10" s="87" t="s">
        <v>442</v>
      </c>
      <c r="G10" s="87" t="s">
        <v>15</v>
      </c>
      <c r="H10" s="23" t="s">
        <v>425</v>
      </c>
      <c r="I10" s="71"/>
      <c r="J10" s="71"/>
      <c r="K10" s="71"/>
      <c r="L10" s="39">
        <v>250</v>
      </c>
      <c r="M10" s="87" t="str">
        <f>"168,3500"</f>
        <v>168,3500</v>
      </c>
      <c r="N10" s="87" t="s">
        <v>921</v>
      </c>
    </row>
    <row r="12" spans="2:13" ht="15.75">
      <c r="B12" s="118" t="s">
        <v>49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4" ht="12.75">
      <c r="A13" s="48">
        <v>1</v>
      </c>
      <c r="B13" s="86" t="s">
        <v>446</v>
      </c>
      <c r="C13" s="86" t="s">
        <v>447</v>
      </c>
      <c r="D13" s="86" t="s">
        <v>448</v>
      </c>
      <c r="E13" s="86" t="str">
        <f>"0,6388"</f>
        <v>0,6388</v>
      </c>
      <c r="F13" s="86" t="s">
        <v>116</v>
      </c>
      <c r="G13" s="86" t="s">
        <v>449</v>
      </c>
      <c r="H13" s="21" t="s">
        <v>425</v>
      </c>
      <c r="I13" s="68"/>
      <c r="J13" s="68"/>
      <c r="K13" s="68"/>
      <c r="L13" s="38">
        <v>250</v>
      </c>
      <c r="M13" s="86" t="str">
        <f>"159,7000"</f>
        <v>159,7000</v>
      </c>
      <c r="N13" s="86" t="s">
        <v>130</v>
      </c>
    </row>
    <row r="14" spans="1:14" ht="12.75">
      <c r="A14" s="50">
        <v>2</v>
      </c>
      <c r="B14" s="88" t="s">
        <v>581</v>
      </c>
      <c r="C14" s="88" t="s">
        <v>582</v>
      </c>
      <c r="D14" s="88" t="s">
        <v>329</v>
      </c>
      <c r="E14" s="88" t="str">
        <f>"0,6436"</f>
        <v>0,6436</v>
      </c>
      <c r="F14" s="88" t="s">
        <v>29</v>
      </c>
      <c r="G14" s="88" t="s">
        <v>433</v>
      </c>
      <c r="H14" s="22" t="s">
        <v>422</v>
      </c>
      <c r="I14" s="69"/>
      <c r="J14" s="69"/>
      <c r="K14" s="69"/>
      <c r="L14" s="40">
        <v>240</v>
      </c>
      <c r="M14" s="88" t="str">
        <f>"154,4640"</f>
        <v>154,4640</v>
      </c>
      <c r="N14" s="88" t="s">
        <v>130</v>
      </c>
    </row>
    <row r="15" spans="1:14" ht="12.75">
      <c r="A15" s="50">
        <v>3</v>
      </c>
      <c r="B15" s="88" t="s">
        <v>642</v>
      </c>
      <c r="C15" s="88" t="s">
        <v>643</v>
      </c>
      <c r="D15" s="88" t="s">
        <v>347</v>
      </c>
      <c r="E15" s="88" t="str">
        <f>"0,6413"</f>
        <v>0,6413</v>
      </c>
      <c r="F15" s="88" t="s">
        <v>29</v>
      </c>
      <c r="G15" s="88" t="s">
        <v>1000</v>
      </c>
      <c r="H15" s="22" t="s">
        <v>422</v>
      </c>
      <c r="I15" s="67" t="s">
        <v>423</v>
      </c>
      <c r="J15" s="67" t="s">
        <v>423</v>
      </c>
      <c r="K15" s="69"/>
      <c r="L15" s="40">
        <v>240</v>
      </c>
      <c r="M15" s="88" t="str">
        <f>"153,9120"</f>
        <v>153,9120</v>
      </c>
      <c r="N15" s="88" t="s">
        <v>130</v>
      </c>
    </row>
    <row r="16" spans="1:14" ht="12.75">
      <c r="A16" s="49">
        <v>4</v>
      </c>
      <c r="B16" s="87" t="s">
        <v>644</v>
      </c>
      <c r="C16" s="87" t="s">
        <v>645</v>
      </c>
      <c r="D16" s="87" t="s">
        <v>646</v>
      </c>
      <c r="E16" s="87" t="str">
        <f>"0,6410"</f>
        <v>0,6410</v>
      </c>
      <c r="F16" s="87" t="s">
        <v>29</v>
      </c>
      <c r="G16" s="87" t="s">
        <v>647</v>
      </c>
      <c r="H16" s="23" t="s">
        <v>85</v>
      </c>
      <c r="I16" s="23" t="s">
        <v>395</v>
      </c>
      <c r="J16" s="23" t="s">
        <v>418</v>
      </c>
      <c r="K16" s="71"/>
      <c r="L16" s="39">
        <v>235</v>
      </c>
      <c r="M16" s="87" t="str">
        <f>"150,6350"</f>
        <v>150,6350</v>
      </c>
      <c r="N16" s="87" t="s">
        <v>922</v>
      </c>
    </row>
    <row r="18" spans="2:13" ht="15.75">
      <c r="B18" s="118" t="s">
        <v>72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4" ht="12.75">
      <c r="A19" s="48">
        <v>1</v>
      </c>
      <c r="B19" s="86" t="s">
        <v>648</v>
      </c>
      <c r="C19" s="86" t="s">
        <v>649</v>
      </c>
      <c r="D19" s="86" t="s">
        <v>592</v>
      </c>
      <c r="E19" s="86" t="str">
        <f>"0,6269"</f>
        <v>0,6269</v>
      </c>
      <c r="F19" s="86" t="s">
        <v>29</v>
      </c>
      <c r="G19" s="86" t="s">
        <v>1000</v>
      </c>
      <c r="H19" s="21" t="s">
        <v>422</v>
      </c>
      <c r="I19" s="21" t="s">
        <v>423</v>
      </c>
      <c r="J19" s="66" t="s">
        <v>469</v>
      </c>
      <c r="K19" s="68"/>
      <c r="L19" s="38">
        <v>260</v>
      </c>
      <c r="M19" s="86" t="str">
        <f>"162,9940"</f>
        <v>162,9940</v>
      </c>
      <c r="N19" s="86" t="s">
        <v>130</v>
      </c>
    </row>
    <row r="20" spans="1:14" ht="12.75">
      <c r="A20" s="49">
        <v>2</v>
      </c>
      <c r="B20" s="87" t="s">
        <v>590</v>
      </c>
      <c r="C20" s="87" t="s">
        <v>591</v>
      </c>
      <c r="D20" s="87" t="s">
        <v>592</v>
      </c>
      <c r="E20" s="87" t="str">
        <f>"0,6269"</f>
        <v>0,6269</v>
      </c>
      <c r="F20" s="87" t="s">
        <v>29</v>
      </c>
      <c r="G20" s="87" t="s">
        <v>1000</v>
      </c>
      <c r="H20" s="23" t="s">
        <v>422</v>
      </c>
      <c r="I20" s="71"/>
      <c r="J20" s="71"/>
      <c r="K20" s="71"/>
      <c r="L20" s="39">
        <v>240</v>
      </c>
      <c r="M20" s="87" t="str">
        <f>"150,4560"</f>
        <v>150,4560</v>
      </c>
      <c r="N20" s="87" t="s">
        <v>130</v>
      </c>
    </row>
    <row r="22" spans="2:13" ht="15.75">
      <c r="B22" s="118" t="s">
        <v>95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4" ht="12.75">
      <c r="A23" s="48">
        <v>1</v>
      </c>
      <c r="B23" s="86" t="s">
        <v>650</v>
      </c>
      <c r="C23" s="86" t="s">
        <v>651</v>
      </c>
      <c r="D23" s="86" t="s">
        <v>652</v>
      </c>
      <c r="E23" s="86" t="str">
        <f>"0,5982"</f>
        <v>0,5982</v>
      </c>
      <c r="F23" s="86" t="s">
        <v>29</v>
      </c>
      <c r="G23" s="86" t="s">
        <v>1000</v>
      </c>
      <c r="H23" s="21" t="s">
        <v>424</v>
      </c>
      <c r="I23" s="21" t="s">
        <v>422</v>
      </c>
      <c r="J23" s="21" t="s">
        <v>653</v>
      </c>
      <c r="K23" s="68"/>
      <c r="L23" s="38">
        <v>255</v>
      </c>
      <c r="M23" s="86" t="str">
        <f>"152,5410"</f>
        <v>152,5410</v>
      </c>
      <c r="N23" s="86" t="s">
        <v>130</v>
      </c>
    </row>
    <row r="24" spans="1:14" ht="12.75">
      <c r="A24" s="49">
        <v>2</v>
      </c>
      <c r="B24" s="87" t="s">
        <v>654</v>
      </c>
      <c r="C24" s="87" t="s">
        <v>655</v>
      </c>
      <c r="D24" s="87" t="s">
        <v>656</v>
      </c>
      <c r="E24" s="87" t="str">
        <f>"0,5950"</f>
        <v>0,5950</v>
      </c>
      <c r="F24" s="87" t="s">
        <v>29</v>
      </c>
      <c r="G24" s="87" t="s">
        <v>1000</v>
      </c>
      <c r="H24" s="23" t="s">
        <v>93</v>
      </c>
      <c r="I24" s="23" t="s">
        <v>85</v>
      </c>
      <c r="J24" s="23" t="s">
        <v>78</v>
      </c>
      <c r="K24" s="71"/>
      <c r="L24" s="39">
        <v>200</v>
      </c>
      <c r="M24" s="87" t="str">
        <f>"119,0000"</f>
        <v>119,0000</v>
      </c>
      <c r="N24" s="87" t="s">
        <v>923</v>
      </c>
    </row>
    <row r="26" spans="2:13" ht="15.75">
      <c r="B26" s="118" t="s">
        <v>123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4" ht="12.75">
      <c r="A27" s="47">
        <v>1</v>
      </c>
      <c r="B27" s="35" t="s">
        <v>609</v>
      </c>
      <c r="C27" s="35" t="s">
        <v>610</v>
      </c>
      <c r="D27" s="35" t="s">
        <v>611</v>
      </c>
      <c r="E27" s="35" t="str">
        <f>"0,5723"</f>
        <v>0,5723</v>
      </c>
      <c r="F27" s="35" t="s">
        <v>116</v>
      </c>
      <c r="G27" s="35" t="s">
        <v>612</v>
      </c>
      <c r="H27" s="20" t="s">
        <v>615</v>
      </c>
      <c r="I27" s="72"/>
      <c r="J27" s="72"/>
      <c r="K27" s="72"/>
      <c r="L27" s="34">
        <v>340</v>
      </c>
      <c r="M27" s="35" t="str">
        <f>"194,5820"</f>
        <v>194,5820</v>
      </c>
      <c r="N27" s="35" t="s">
        <v>130</v>
      </c>
    </row>
    <row r="29" spans="2:13" ht="15.75">
      <c r="B29" s="118" t="s">
        <v>141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4" ht="12.75">
      <c r="A30" s="47">
        <v>1</v>
      </c>
      <c r="B30" s="35" t="s">
        <v>657</v>
      </c>
      <c r="C30" s="35" t="s">
        <v>658</v>
      </c>
      <c r="D30" s="35" t="s">
        <v>659</v>
      </c>
      <c r="E30" s="35" t="str">
        <f>"0,5610"</f>
        <v>0,5610</v>
      </c>
      <c r="F30" s="35" t="s">
        <v>29</v>
      </c>
      <c r="G30" s="35" t="s">
        <v>884</v>
      </c>
      <c r="H30" s="20" t="s">
        <v>661</v>
      </c>
      <c r="I30" s="72"/>
      <c r="J30" s="72"/>
      <c r="K30" s="72"/>
      <c r="L30" s="34">
        <v>310</v>
      </c>
      <c r="M30" s="35" t="str">
        <f>"173,9100"</f>
        <v>173,9100</v>
      </c>
      <c r="N30" s="35" t="s">
        <v>130</v>
      </c>
    </row>
    <row r="32" spans="2:3" ht="18">
      <c r="B32" s="89" t="s">
        <v>146</v>
      </c>
      <c r="C32" s="89"/>
    </row>
    <row r="34" spans="2:3" ht="15.75">
      <c r="B34" s="18" t="s">
        <v>153</v>
      </c>
      <c r="C34" s="18"/>
    </row>
    <row r="35" spans="2:3" ht="13.5">
      <c r="B35" s="90"/>
      <c r="C35" s="90" t="s">
        <v>147</v>
      </c>
    </row>
    <row r="36" spans="1:6" ht="13.5">
      <c r="A36" s="78" t="s">
        <v>873</v>
      </c>
      <c r="B36" s="16" t="s">
        <v>148</v>
      </c>
      <c r="C36" s="16" t="s">
        <v>149</v>
      </c>
      <c r="D36" s="16" t="s">
        <v>150</v>
      </c>
      <c r="E36" s="16" t="s">
        <v>151</v>
      </c>
      <c r="F36" s="16" t="s">
        <v>152</v>
      </c>
    </row>
    <row r="37" spans="1:6" ht="12.75">
      <c r="A37" s="79">
        <v>1</v>
      </c>
      <c r="B37" s="36" t="s">
        <v>609</v>
      </c>
      <c r="C37" s="36" t="s">
        <v>147</v>
      </c>
      <c r="D37" s="36" t="s">
        <v>162</v>
      </c>
      <c r="E37" s="36" t="s">
        <v>615</v>
      </c>
      <c r="F37" s="80" t="s">
        <v>662</v>
      </c>
    </row>
    <row r="38" spans="1:6" ht="12.75">
      <c r="A38" s="79">
        <v>2</v>
      </c>
      <c r="B38" s="36" t="s">
        <v>657</v>
      </c>
      <c r="C38" s="36" t="s">
        <v>147</v>
      </c>
      <c r="D38" s="36" t="s">
        <v>164</v>
      </c>
      <c r="E38" s="36" t="s">
        <v>661</v>
      </c>
      <c r="F38" s="80" t="s">
        <v>663</v>
      </c>
    </row>
    <row r="39" spans="1:6" ht="12.75">
      <c r="A39" s="79">
        <v>3</v>
      </c>
      <c r="B39" s="36" t="s">
        <v>440</v>
      </c>
      <c r="C39" s="36" t="s">
        <v>147</v>
      </c>
      <c r="D39" s="36" t="s">
        <v>163</v>
      </c>
      <c r="E39" s="36" t="s">
        <v>425</v>
      </c>
      <c r="F39" s="80" t="s">
        <v>664</v>
      </c>
    </row>
    <row r="40" ht="12.75">
      <c r="F40" s="80"/>
    </row>
    <row r="41" ht="12.75">
      <c r="F41" s="80"/>
    </row>
    <row r="42" ht="12.75">
      <c r="F42" s="80"/>
    </row>
    <row r="43" ht="12.75">
      <c r="F43" s="80"/>
    </row>
    <row r="44" ht="12.75">
      <c r="F44" s="80"/>
    </row>
    <row r="45" ht="12.75">
      <c r="F45" s="80"/>
    </row>
    <row r="46" ht="12.75">
      <c r="F46" s="80"/>
    </row>
    <row r="47" ht="12.75">
      <c r="F47" s="80"/>
    </row>
  </sheetData>
  <sheetProtection/>
  <mergeCells count="19">
    <mergeCell ref="A1:N2"/>
    <mergeCell ref="A3:A4"/>
    <mergeCell ref="N3:N4"/>
    <mergeCell ref="L3:L4"/>
    <mergeCell ref="M3:M4"/>
    <mergeCell ref="G3:G4"/>
    <mergeCell ref="H3:K3"/>
    <mergeCell ref="B3:B4"/>
    <mergeCell ref="C3:C4"/>
    <mergeCell ref="D3:D4"/>
    <mergeCell ref="B26:M26"/>
    <mergeCell ref="B29:M29"/>
    <mergeCell ref="B5:M5"/>
    <mergeCell ref="B8:M8"/>
    <mergeCell ref="B12:M12"/>
    <mergeCell ref="E3:E4"/>
    <mergeCell ref="F3:F4"/>
    <mergeCell ref="B18:M18"/>
    <mergeCell ref="B22:M22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B1">
      <selection activeCell="G38" sqref="G38"/>
    </sheetView>
  </sheetViews>
  <sheetFormatPr defaultColWidth="8.75390625" defaultRowHeight="12.75"/>
  <cols>
    <col min="1" max="1" width="8.75390625" style="0" customWidth="1"/>
    <col min="2" max="3" width="26.0039062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375" style="36" bestFit="1" customWidth="1"/>
    <col min="8" max="10" width="5.625" style="36" bestFit="1" customWidth="1"/>
    <col min="11" max="11" width="4.625" style="36" bestFit="1" customWidth="1"/>
    <col min="12" max="12" width="11.875" style="37" customWidth="1"/>
    <col min="13" max="13" width="8.625" style="36" bestFit="1" customWidth="1"/>
    <col min="14" max="14" width="28.25390625" style="36" bestFit="1" customWidth="1"/>
  </cols>
  <sheetData>
    <row r="1" spans="1:14" s="1" customFormat="1" ht="15" customHeight="1">
      <c r="A1" s="106" t="s">
        <v>991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8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3</v>
      </c>
      <c r="I3" s="101"/>
      <c r="J3" s="101"/>
      <c r="K3" s="101"/>
      <c r="L3" s="115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16"/>
      <c r="M4" s="102"/>
      <c r="N4" s="104"/>
    </row>
    <row r="5" spans="2:13" ht="15.75">
      <c r="B5" s="105" t="s">
        <v>249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35" t="s">
        <v>518</v>
      </c>
      <c r="C6" s="35" t="s">
        <v>519</v>
      </c>
      <c r="D6" s="35" t="s">
        <v>520</v>
      </c>
      <c r="E6" s="35" t="str">
        <f>"0,7494"</f>
        <v>0,7494</v>
      </c>
      <c r="F6" s="35" t="s">
        <v>477</v>
      </c>
      <c r="G6" s="35" t="s">
        <v>478</v>
      </c>
      <c r="H6" s="20" t="s">
        <v>79</v>
      </c>
      <c r="I6" s="72"/>
      <c r="J6" s="72"/>
      <c r="K6" s="72"/>
      <c r="L6" s="34">
        <v>205</v>
      </c>
      <c r="M6" s="35" t="str">
        <f>"153,6270"</f>
        <v>153,6270</v>
      </c>
      <c r="N6" s="35" t="s">
        <v>916</v>
      </c>
    </row>
    <row r="8" spans="2:13" ht="15.75">
      <c r="B8" s="118" t="s">
        <v>19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4" ht="12.75">
      <c r="A9" s="47">
        <v>2</v>
      </c>
      <c r="B9" s="35" t="s">
        <v>697</v>
      </c>
      <c r="C9" s="35" t="s">
        <v>698</v>
      </c>
      <c r="D9" s="35" t="s">
        <v>290</v>
      </c>
      <c r="E9" s="35" t="str">
        <f>"0,6739"</f>
        <v>0,6739</v>
      </c>
      <c r="F9" s="35" t="s">
        <v>416</v>
      </c>
      <c r="G9" s="35" t="s">
        <v>1000</v>
      </c>
      <c r="H9" s="20" t="s">
        <v>78</v>
      </c>
      <c r="I9" s="20" t="s">
        <v>424</v>
      </c>
      <c r="J9" s="65" t="s">
        <v>546</v>
      </c>
      <c r="K9" s="72"/>
      <c r="L9" s="34">
        <v>220</v>
      </c>
      <c r="M9" s="35" t="str">
        <f>"148,2580"</f>
        <v>148,2580</v>
      </c>
      <c r="N9" s="35" t="s">
        <v>1049</v>
      </c>
    </row>
  </sheetData>
  <sheetProtection/>
  <mergeCells count="14">
    <mergeCell ref="N3:N4"/>
    <mergeCell ref="A1:N2"/>
    <mergeCell ref="A3:A4"/>
    <mergeCell ref="B5:M5"/>
    <mergeCell ref="B8:M8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D1">
      <selection activeCell="H29" sqref="H29"/>
    </sheetView>
  </sheetViews>
  <sheetFormatPr defaultColWidth="8.75390625" defaultRowHeight="12.75"/>
  <cols>
    <col min="1" max="1" width="8.75390625" style="0" customWidth="1"/>
    <col min="2" max="3" width="26.0039062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00390625" style="36" bestFit="1" customWidth="1"/>
    <col min="8" max="15" width="4.625" style="36" bestFit="1" customWidth="1"/>
    <col min="16" max="16" width="11.125" style="37" customWidth="1"/>
    <col min="17" max="17" width="7.625" style="36" bestFit="1" customWidth="1"/>
    <col min="18" max="18" width="28.125" style="36" bestFit="1" customWidth="1"/>
  </cols>
  <sheetData>
    <row r="1" spans="1:18" s="1" customFormat="1" ht="15" customHeight="1">
      <c r="A1" s="106" t="s">
        <v>992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</row>
    <row r="2" spans="1:18" s="1" customFormat="1" ht="84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</row>
    <row r="3" spans="1:18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01" t="s">
        <v>796</v>
      </c>
      <c r="I3" s="101"/>
      <c r="J3" s="101"/>
      <c r="K3" s="101"/>
      <c r="L3" s="101" t="s">
        <v>797</v>
      </c>
      <c r="M3" s="101"/>
      <c r="N3" s="101"/>
      <c r="O3" s="101"/>
      <c r="P3" s="115" t="s">
        <v>883</v>
      </c>
      <c r="Q3" s="101" t="s">
        <v>6</v>
      </c>
      <c r="R3" s="103" t="s">
        <v>5</v>
      </c>
    </row>
    <row r="4" spans="1:18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6"/>
      <c r="Q4" s="102"/>
      <c r="R4" s="104"/>
    </row>
    <row r="5" spans="2:17" ht="15.75">
      <c r="B5" s="105" t="s">
        <v>249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8" ht="12.75">
      <c r="A6" s="47">
        <v>1</v>
      </c>
      <c r="B6" s="35" t="s">
        <v>798</v>
      </c>
      <c r="C6" s="35" t="s">
        <v>799</v>
      </c>
      <c r="D6" s="35" t="s">
        <v>800</v>
      </c>
      <c r="E6" s="35" t="str">
        <f>"0,6947"</f>
        <v>0,6947</v>
      </c>
      <c r="F6" s="35" t="s">
        <v>29</v>
      </c>
      <c r="G6" s="35" t="s">
        <v>783</v>
      </c>
      <c r="H6" s="65" t="s">
        <v>232</v>
      </c>
      <c r="I6" s="65" t="s">
        <v>213</v>
      </c>
      <c r="J6" s="20" t="s">
        <v>213</v>
      </c>
      <c r="K6" s="72"/>
      <c r="L6" s="20" t="s">
        <v>172</v>
      </c>
      <c r="M6" s="20" t="s">
        <v>220</v>
      </c>
      <c r="N6" s="65" t="s">
        <v>211</v>
      </c>
      <c r="O6" s="72"/>
      <c r="P6" s="34">
        <v>130</v>
      </c>
      <c r="Q6" s="35" t="str">
        <f>"90,3110"</f>
        <v>90,3110</v>
      </c>
      <c r="R6" s="35" t="s">
        <v>1050</v>
      </c>
    </row>
    <row r="8" spans="2:17" ht="15.75">
      <c r="B8" s="118" t="s">
        <v>19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8" ht="12.75">
      <c r="A9" s="47">
        <v>1</v>
      </c>
      <c r="B9" s="35" t="s">
        <v>801</v>
      </c>
      <c r="C9" s="35" t="s">
        <v>802</v>
      </c>
      <c r="D9" s="35" t="s">
        <v>531</v>
      </c>
      <c r="E9" s="35" t="str">
        <f>"0,6612"</f>
        <v>0,6612</v>
      </c>
      <c r="F9" s="35" t="s">
        <v>29</v>
      </c>
      <c r="G9" s="35" t="s">
        <v>1000</v>
      </c>
      <c r="H9" s="20" t="s">
        <v>213</v>
      </c>
      <c r="I9" s="20" t="s">
        <v>248</v>
      </c>
      <c r="J9" s="65" t="s">
        <v>479</v>
      </c>
      <c r="K9" s="72"/>
      <c r="L9" s="20" t="s">
        <v>170</v>
      </c>
      <c r="M9" s="20" t="s">
        <v>172</v>
      </c>
      <c r="N9" s="65" t="s">
        <v>220</v>
      </c>
      <c r="O9" s="72"/>
      <c r="P9" s="34">
        <v>127.5</v>
      </c>
      <c r="Q9" s="35" t="str">
        <f>"84,3030"</f>
        <v>84,3030</v>
      </c>
      <c r="R9" s="35" t="s">
        <v>955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sheetProtection/>
  <mergeCells count="15">
    <mergeCell ref="R3:R4"/>
    <mergeCell ref="A1:R2"/>
    <mergeCell ref="A3:A4"/>
    <mergeCell ref="B3:B4"/>
    <mergeCell ref="C3:C4"/>
    <mergeCell ref="D3:D4"/>
    <mergeCell ref="E3:E4"/>
    <mergeCell ref="B5:Q5"/>
    <mergeCell ref="B8:Q8"/>
    <mergeCell ref="G3:G4"/>
    <mergeCell ref="H3:K3"/>
    <mergeCell ref="L3:O3"/>
    <mergeCell ref="P3:P4"/>
    <mergeCell ref="F3:F4"/>
    <mergeCell ref="Q3:Q4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D1">
      <selection activeCell="G9" sqref="G9"/>
    </sheetView>
  </sheetViews>
  <sheetFormatPr defaultColWidth="9.125" defaultRowHeight="12.75"/>
  <cols>
    <col min="1" max="1" width="9.125" style="1" customWidth="1"/>
    <col min="2" max="2" width="28.25390625" style="46" bestFit="1" customWidth="1"/>
    <col min="3" max="3" width="21.375" style="1" bestFit="1" customWidth="1"/>
    <col min="4" max="4" width="10.625" style="1" bestFit="1" customWidth="1"/>
    <col min="5" max="5" width="8.375" style="1" bestFit="1" customWidth="1"/>
    <col min="6" max="6" width="22.75390625" style="1" bestFit="1" customWidth="1"/>
    <col min="7" max="7" width="30.375" style="1" bestFit="1" customWidth="1"/>
    <col min="8" max="10" width="5.625" style="1" bestFit="1" customWidth="1"/>
    <col min="11" max="15" width="4.625" style="1" bestFit="1" customWidth="1"/>
    <col min="16" max="16" width="12.25390625" style="41" customWidth="1"/>
    <col min="17" max="17" width="8.625" style="1" bestFit="1" customWidth="1"/>
    <col min="18" max="18" width="15.375" style="1" bestFit="1" customWidth="1"/>
    <col min="19" max="16384" width="9.125" style="1" customWidth="1"/>
  </cols>
  <sheetData>
    <row r="1" spans="1:18" ht="15" customHeight="1">
      <c r="A1" s="106" t="s">
        <v>993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</row>
    <row r="2" spans="1:18" ht="82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</row>
    <row r="3" spans="1:18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01" t="s">
        <v>796</v>
      </c>
      <c r="I3" s="101"/>
      <c r="J3" s="101"/>
      <c r="K3" s="101"/>
      <c r="L3" s="101" t="s">
        <v>797</v>
      </c>
      <c r="M3" s="101"/>
      <c r="N3" s="101"/>
      <c r="O3" s="101"/>
      <c r="P3" s="115" t="s">
        <v>883</v>
      </c>
      <c r="Q3" s="101" t="s">
        <v>6</v>
      </c>
      <c r="R3" s="103" t="s">
        <v>5</v>
      </c>
    </row>
    <row r="4" spans="1:18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6"/>
      <c r="Q4" s="102"/>
      <c r="R4" s="104"/>
    </row>
    <row r="5" spans="2:17" ht="15.75">
      <c r="B5" s="126" t="s">
        <v>72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8" s="64" customFormat="1" ht="12.75">
      <c r="A6" s="42" t="s">
        <v>877</v>
      </c>
      <c r="B6" s="91" t="s">
        <v>73</v>
      </c>
      <c r="C6" s="56" t="s">
        <v>74</v>
      </c>
      <c r="D6" s="56" t="s">
        <v>75</v>
      </c>
      <c r="E6" s="56" t="str">
        <f>"0,5823"</f>
        <v>0,5823</v>
      </c>
      <c r="F6" s="56" t="s">
        <v>76</v>
      </c>
      <c r="G6" s="56" t="s">
        <v>1000</v>
      </c>
      <c r="H6" s="60" t="s">
        <v>353</v>
      </c>
      <c r="I6" s="60" t="s">
        <v>326</v>
      </c>
      <c r="J6" s="24" t="s">
        <v>302</v>
      </c>
      <c r="K6" s="5"/>
      <c r="L6" s="61" t="s">
        <v>211</v>
      </c>
      <c r="M6" s="61" t="s">
        <v>212</v>
      </c>
      <c r="N6" s="24" t="s">
        <v>248</v>
      </c>
      <c r="O6" s="5"/>
      <c r="P6" s="62" t="s">
        <v>893</v>
      </c>
      <c r="Q6" s="63" t="str">
        <f>"103,3583"</f>
        <v>103,3583</v>
      </c>
      <c r="R6" s="63" t="s">
        <v>881</v>
      </c>
    </row>
    <row r="8" spans="2:17" ht="15.75">
      <c r="B8" s="125" t="s">
        <v>95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8" s="64" customFormat="1" ht="12.75">
      <c r="A9" s="42" t="s">
        <v>877</v>
      </c>
      <c r="B9" s="99" t="s">
        <v>650</v>
      </c>
      <c r="C9" s="63" t="s">
        <v>651</v>
      </c>
      <c r="D9" s="63" t="s">
        <v>652</v>
      </c>
      <c r="E9" s="63" t="str">
        <f>"0,5713"</f>
        <v>0,5713</v>
      </c>
      <c r="F9" s="63" t="s">
        <v>29</v>
      </c>
      <c r="G9" s="63" t="s">
        <v>1000</v>
      </c>
      <c r="H9" s="24" t="s">
        <v>352</v>
      </c>
      <c r="I9" s="61" t="s">
        <v>352</v>
      </c>
      <c r="J9" s="61" t="s">
        <v>353</v>
      </c>
      <c r="K9" s="5"/>
      <c r="L9" s="61" t="s">
        <v>220</v>
      </c>
      <c r="M9" s="61" t="s">
        <v>212</v>
      </c>
      <c r="N9" s="61" t="s">
        <v>248</v>
      </c>
      <c r="O9" s="5"/>
      <c r="P9" s="62" t="s">
        <v>893</v>
      </c>
      <c r="Q9" s="63" t="str">
        <f>"101,3969"</f>
        <v>101,3969</v>
      </c>
      <c r="R9" s="63" t="s">
        <v>881</v>
      </c>
    </row>
  </sheetData>
  <sheetProtection/>
  <mergeCells count="15">
    <mergeCell ref="R3:R4"/>
    <mergeCell ref="A1:R2"/>
    <mergeCell ref="A3:A4"/>
    <mergeCell ref="B3:B4"/>
    <mergeCell ref="C3:C4"/>
    <mergeCell ref="D3:D4"/>
    <mergeCell ref="E3:E4"/>
    <mergeCell ref="B5:Q5"/>
    <mergeCell ref="B8:Q8"/>
    <mergeCell ref="G3:G4"/>
    <mergeCell ref="H3:K3"/>
    <mergeCell ref="L3:O3"/>
    <mergeCell ref="P3:P4"/>
    <mergeCell ref="F3:F4"/>
    <mergeCell ref="Q3:Q4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G34" sqref="G34"/>
    </sheetView>
  </sheetViews>
  <sheetFormatPr defaultColWidth="9.125" defaultRowHeight="12.75"/>
  <cols>
    <col min="1" max="1" width="9.125" style="1" customWidth="1"/>
    <col min="2" max="2" width="28.25390625" style="46" bestFit="1" customWidth="1"/>
    <col min="3" max="3" width="21.375" style="1" bestFit="1" customWidth="1"/>
    <col min="4" max="4" width="10.625" style="1" bestFit="1" customWidth="1"/>
    <col min="5" max="5" width="8.375" style="1" bestFit="1" customWidth="1"/>
    <col min="6" max="6" width="22.75390625" style="1" bestFit="1" customWidth="1"/>
    <col min="7" max="7" width="31.875" style="1" bestFit="1" customWidth="1"/>
    <col min="8" max="10" width="4.625" style="1" bestFit="1" customWidth="1"/>
    <col min="11" max="11" width="11.375" style="46" customWidth="1"/>
    <col min="12" max="12" width="7.625" style="1" bestFit="1" customWidth="1"/>
    <col min="13" max="13" width="24.875" style="1" bestFit="1" customWidth="1"/>
    <col min="14" max="16384" width="9.125" style="1" customWidth="1"/>
  </cols>
  <sheetData>
    <row r="1" spans="1:13" ht="15" customHeight="1">
      <c r="A1" s="106" t="s">
        <v>994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82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2" customFormat="1" ht="12.75" customHeight="1">
      <c r="A3" s="110" t="s">
        <v>873</v>
      </c>
      <c r="B3" s="123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29"/>
      <c r="I3" s="130"/>
      <c r="J3" s="130"/>
      <c r="K3" s="101" t="s">
        <v>883</v>
      </c>
      <c r="L3" s="101" t="s">
        <v>6</v>
      </c>
      <c r="M3" s="103" t="s">
        <v>5</v>
      </c>
    </row>
    <row r="4" spans="1:13" s="2" customFormat="1" ht="21" customHeight="1" thickBot="1">
      <c r="A4" s="111"/>
      <c r="B4" s="124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102"/>
      <c r="L4" s="102"/>
      <c r="M4" s="104"/>
    </row>
    <row r="5" spans="2:12" ht="15.75">
      <c r="B5" s="126" t="s">
        <v>863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3" ht="12.75">
      <c r="A6" s="42" t="s">
        <v>877</v>
      </c>
      <c r="B6" s="100" t="s">
        <v>42</v>
      </c>
      <c r="C6" s="4" t="s">
        <v>43</v>
      </c>
      <c r="D6" s="4" t="s">
        <v>44</v>
      </c>
      <c r="E6" s="4" t="str">
        <f>"0,6658"</f>
        <v>0,6658</v>
      </c>
      <c r="F6" s="4" t="s">
        <v>812</v>
      </c>
      <c r="G6" s="4" t="s">
        <v>45</v>
      </c>
      <c r="H6" s="20" t="s">
        <v>866</v>
      </c>
      <c r="I6" s="20" t="s">
        <v>834</v>
      </c>
      <c r="J6" s="24" t="s">
        <v>835</v>
      </c>
      <c r="K6" s="42" t="s">
        <v>867</v>
      </c>
      <c r="L6" s="4" t="str">
        <f>"35,9559"</f>
        <v>35,9559</v>
      </c>
      <c r="M6" s="4" t="s">
        <v>130</v>
      </c>
    </row>
    <row r="8" spans="2:12" ht="15.75">
      <c r="B8" s="125" t="s">
        <v>72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2.75">
      <c r="A9" s="42" t="s">
        <v>877</v>
      </c>
      <c r="B9" s="100" t="s">
        <v>823</v>
      </c>
      <c r="C9" s="4" t="s">
        <v>847</v>
      </c>
      <c r="D9" s="4" t="s">
        <v>92</v>
      </c>
      <c r="E9" s="4" t="str">
        <f>"0,5861"</f>
        <v>0,5861</v>
      </c>
      <c r="F9" s="4" t="s">
        <v>106</v>
      </c>
      <c r="G9" s="4" t="s">
        <v>1000</v>
      </c>
      <c r="H9" s="20" t="s">
        <v>839</v>
      </c>
      <c r="I9" s="24" t="s">
        <v>846</v>
      </c>
      <c r="J9" s="24" t="s">
        <v>846</v>
      </c>
      <c r="K9" s="42" t="s">
        <v>868</v>
      </c>
      <c r="L9" s="4" t="str">
        <f>"40,4443"</f>
        <v>40,4443</v>
      </c>
      <c r="M9" s="4" t="s">
        <v>1051</v>
      </c>
    </row>
    <row r="11" spans="2:12" ht="15.75">
      <c r="B11" s="125" t="s">
        <v>869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3" ht="12.75">
      <c r="A12" s="42" t="s">
        <v>878</v>
      </c>
      <c r="B12" s="100" t="s">
        <v>870</v>
      </c>
      <c r="C12" s="4" t="s">
        <v>871</v>
      </c>
      <c r="D12" s="4" t="s">
        <v>872</v>
      </c>
      <c r="E12" s="4" t="str">
        <f>"0,5589"</f>
        <v>0,5589</v>
      </c>
      <c r="F12" s="4" t="s">
        <v>184</v>
      </c>
      <c r="G12" s="4" t="s">
        <v>185</v>
      </c>
      <c r="H12" s="20" t="s">
        <v>845</v>
      </c>
      <c r="I12" s="20" t="s">
        <v>839</v>
      </c>
      <c r="J12" s="24" t="s">
        <v>846</v>
      </c>
      <c r="K12" s="42" t="s">
        <v>868</v>
      </c>
      <c r="L12" s="4" t="str">
        <f>"38,5641"</f>
        <v>38,5641</v>
      </c>
      <c r="M12" s="4" t="s">
        <v>961</v>
      </c>
    </row>
  </sheetData>
  <sheetProtection/>
  <mergeCells count="15">
    <mergeCell ref="M3:M4"/>
    <mergeCell ref="A1:M2"/>
    <mergeCell ref="A3:A4"/>
    <mergeCell ref="B3:B4"/>
    <mergeCell ref="C3:C4"/>
    <mergeCell ref="D3:D4"/>
    <mergeCell ref="E3:E4"/>
    <mergeCell ref="B5:L5"/>
    <mergeCell ref="B8:L8"/>
    <mergeCell ref="B11:L11"/>
    <mergeCell ref="G3:G4"/>
    <mergeCell ref="H3:J3"/>
    <mergeCell ref="K3:K4"/>
    <mergeCell ref="L3:L4"/>
    <mergeCell ref="F3:F4"/>
  </mergeCells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B1">
      <selection activeCell="F35" sqref="F35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875" style="36" bestFit="1" customWidth="1"/>
    <col min="8" max="10" width="5.625" style="36" bestFit="1" customWidth="1"/>
    <col min="11" max="11" width="12.00390625" style="37" customWidth="1"/>
    <col min="12" max="12" width="7.625" style="36" bestFit="1" customWidth="1"/>
    <col min="13" max="13" width="30.625" style="36" bestFit="1" customWidth="1"/>
  </cols>
  <sheetData>
    <row r="1" spans="1:13" s="1" customFormat="1" ht="15" customHeight="1">
      <c r="A1" s="106" t="s">
        <v>995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100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29"/>
      <c r="I3" s="130"/>
      <c r="J3" s="130"/>
      <c r="K3" s="115" t="s">
        <v>883</v>
      </c>
      <c r="L3" s="101" t="s">
        <v>6</v>
      </c>
      <c r="M3" s="103" t="s">
        <v>5</v>
      </c>
    </row>
    <row r="4" spans="1:13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116"/>
      <c r="L4" s="102"/>
      <c r="M4" s="104"/>
    </row>
    <row r="5" spans="2:12" ht="15.75">
      <c r="B5" s="105" t="s">
        <v>249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3" ht="12.75">
      <c r="A6" s="47">
        <v>1</v>
      </c>
      <c r="B6" s="35" t="s">
        <v>829</v>
      </c>
      <c r="C6" s="35" t="s">
        <v>830</v>
      </c>
      <c r="D6" s="35" t="s">
        <v>831</v>
      </c>
      <c r="E6" s="35" t="str">
        <f>"0,8889"</f>
        <v>0,8889</v>
      </c>
      <c r="F6" s="35" t="s">
        <v>29</v>
      </c>
      <c r="G6" s="35" t="s">
        <v>783</v>
      </c>
      <c r="H6" s="20" t="s">
        <v>479</v>
      </c>
      <c r="I6" s="20" t="s">
        <v>274</v>
      </c>
      <c r="J6" s="20" t="s">
        <v>377</v>
      </c>
      <c r="K6" s="34">
        <v>85</v>
      </c>
      <c r="L6" s="35" t="str">
        <f>"75,5607"</f>
        <v>75,5607</v>
      </c>
      <c r="M6" s="35" t="s">
        <v>957</v>
      </c>
    </row>
    <row r="8" spans="2:12" ht="15.75">
      <c r="B8" s="118" t="s">
        <v>808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2.75">
      <c r="A9" s="47">
        <v>1</v>
      </c>
      <c r="B9" s="35" t="s">
        <v>860</v>
      </c>
      <c r="C9" s="35" t="s">
        <v>861</v>
      </c>
      <c r="D9" s="35" t="s">
        <v>862</v>
      </c>
      <c r="E9" s="35" t="str">
        <f>"0,7475"</f>
        <v>0,7475</v>
      </c>
      <c r="F9" s="35" t="s">
        <v>477</v>
      </c>
      <c r="G9" s="35" t="s">
        <v>478</v>
      </c>
      <c r="H9" s="20" t="s">
        <v>275</v>
      </c>
      <c r="I9" s="20" t="s">
        <v>429</v>
      </c>
      <c r="J9" s="65" t="s">
        <v>326</v>
      </c>
      <c r="K9" s="34">
        <v>100</v>
      </c>
      <c r="L9" s="35" t="str">
        <f>"74,7500"</f>
        <v>74,7500</v>
      </c>
      <c r="M9" s="35" t="s">
        <v>924</v>
      </c>
    </row>
    <row r="11" spans="2:12" ht="15.75">
      <c r="B11" s="118" t="s">
        <v>863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3" ht="12.75">
      <c r="A12" s="48">
        <v>1</v>
      </c>
      <c r="B12" s="86" t="s">
        <v>864</v>
      </c>
      <c r="C12" s="86" t="s">
        <v>865</v>
      </c>
      <c r="D12" s="86" t="s">
        <v>682</v>
      </c>
      <c r="E12" s="86" t="str">
        <f>"0,6600"</f>
        <v>0,6600</v>
      </c>
      <c r="F12" s="86" t="s">
        <v>477</v>
      </c>
      <c r="G12" s="86" t="s">
        <v>478</v>
      </c>
      <c r="H12" s="21" t="s">
        <v>429</v>
      </c>
      <c r="I12" s="21" t="s">
        <v>326</v>
      </c>
      <c r="J12" s="21" t="s">
        <v>46</v>
      </c>
      <c r="K12" s="38">
        <v>120</v>
      </c>
      <c r="L12" s="86" t="str">
        <f>"79,2060"</f>
        <v>79,2060</v>
      </c>
      <c r="M12" s="86" t="s">
        <v>924</v>
      </c>
    </row>
    <row r="13" spans="1:13" ht="12.75">
      <c r="A13" s="49">
        <v>1</v>
      </c>
      <c r="B13" s="87" t="s">
        <v>42</v>
      </c>
      <c r="C13" s="87" t="s">
        <v>43</v>
      </c>
      <c r="D13" s="87" t="s">
        <v>44</v>
      </c>
      <c r="E13" s="87" t="str">
        <f>"0,6658"</f>
        <v>0,6658</v>
      </c>
      <c r="F13" s="87" t="s">
        <v>812</v>
      </c>
      <c r="G13" s="87" t="s">
        <v>843</v>
      </c>
      <c r="H13" s="23" t="s">
        <v>46</v>
      </c>
      <c r="I13" s="23" t="s">
        <v>48</v>
      </c>
      <c r="J13" s="23" t="s">
        <v>40</v>
      </c>
      <c r="K13" s="39">
        <v>135</v>
      </c>
      <c r="L13" s="87" t="str">
        <f>"89,8897"</f>
        <v>89,8897</v>
      </c>
      <c r="M13" s="87" t="s">
        <v>130</v>
      </c>
    </row>
    <row r="15" spans="2:12" ht="15.75">
      <c r="B15" s="118" t="s">
        <v>49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3" ht="12.75">
      <c r="A16" s="47">
        <v>1</v>
      </c>
      <c r="B16" s="35" t="s">
        <v>813</v>
      </c>
      <c r="C16" s="35" t="s">
        <v>814</v>
      </c>
      <c r="D16" s="35" t="s">
        <v>815</v>
      </c>
      <c r="E16" s="35" t="str">
        <f>"0,6503"</f>
        <v>0,6503</v>
      </c>
      <c r="F16" s="35" t="s">
        <v>29</v>
      </c>
      <c r="G16" s="35" t="s">
        <v>1000</v>
      </c>
      <c r="H16" s="20" t="s">
        <v>48</v>
      </c>
      <c r="I16" s="20" t="s">
        <v>35</v>
      </c>
      <c r="J16" s="65" t="s">
        <v>140</v>
      </c>
      <c r="K16" s="34">
        <v>140</v>
      </c>
      <c r="L16" s="35" t="str">
        <f>"91,0350"</f>
        <v>91,0350</v>
      </c>
      <c r="M16" s="35" t="s">
        <v>876</v>
      </c>
    </row>
    <row r="18" spans="2:12" ht="15.75">
      <c r="B18" s="118" t="s">
        <v>72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3" ht="12.75">
      <c r="A19" s="48">
        <v>1</v>
      </c>
      <c r="B19" s="86" t="s">
        <v>823</v>
      </c>
      <c r="C19" s="86" t="s">
        <v>847</v>
      </c>
      <c r="D19" s="86" t="s">
        <v>92</v>
      </c>
      <c r="E19" s="86" t="str">
        <f>"0,5861"</f>
        <v>0,5861</v>
      </c>
      <c r="F19" s="86" t="s">
        <v>106</v>
      </c>
      <c r="G19" s="86" t="s">
        <v>1000</v>
      </c>
      <c r="H19" s="21" t="s">
        <v>31</v>
      </c>
      <c r="I19" s="21" t="s">
        <v>31</v>
      </c>
      <c r="J19" s="66" t="s">
        <v>360</v>
      </c>
      <c r="K19" s="38">
        <v>157.5</v>
      </c>
      <c r="L19" s="86" t="str">
        <f>"92,3186"</f>
        <v>92,3186</v>
      </c>
      <c r="M19" s="86" t="s">
        <v>1051</v>
      </c>
    </row>
    <row r="20" spans="1:13" ht="12.75">
      <c r="A20" s="49">
        <v>1</v>
      </c>
      <c r="B20" s="87" t="s">
        <v>849</v>
      </c>
      <c r="C20" s="87" t="s">
        <v>850</v>
      </c>
      <c r="D20" s="87" t="s">
        <v>851</v>
      </c>
      <c r="E20" s="87" t="str">
        <f>"0,5864"</f>
        <v>0,5864</v>
      </c>
      <c r="F20" s="87" t="s">
        <v>106</v>
      </c>
      <c r="G20" s="87" t="s">
        <v>1000</v>
      </c>
      <c r="H20" s="23" t="s">
        <v>48</v>
      </c>
      <c r="I20" s="23" t="s">
        <v>35</v>
      </c>
      <c r="J20" s="70" t="s">
        <v>140</v>
      </c>
      <c r="K20" s="39">
        <v>140</v>
      </c>
      <c r="L20" s="87" t="str">
        <f>"94,1561"</f>
        <v>94,1561</v>
      </c>
      <c r="M20" s="87" t="s">
        <v>130</v>
      </c>
    </row>
  </sheetData>
  <sheetProtection/>
  <mergeCells count="17">
    <mergeCell ref="A1:M2"/>
    <mergeCell ref="A3:A4"/>
    <mergeCell ref="B15:L15"/>
    <mergeCell ref="B18:L18"/>
    <mergeCell ref="M3:M4"/>
    <mergeCell ref="B5:L5"/>
    <mergeCell ref="B8:L8"/>
    <mergeCell ref="B11:L11"/>
    <mergeCell ref="B3:B4"/>
    <mergeCell ref="C3:C4"/>
    <mergeCell ref="H3:J3"/>
    <mergeCell ref="K3:K4"/>
    <mergeCell ref="L3:L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D37" sqref="D37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375" style="36" bestFit="1" customWidth="1"/>
    <col min="8" max="8" width="4.625" style="36" bestFit="1" customWidth="1"/>
    <col min="9" max="10" width="5.625" style="36" bestFit="1" customWidth="1"/>
    <col min="11" max="11" width="11.25390625" style="37" customWidth="1"/>
    <col min="12" max="12" width="7.625" style="36" bestFit="1" customWidth="1"/>
    <col min="13" max="13" width="24.875" style="36" bestFit="1" customWidth="1"/>
  </cols>
  <sheetData>
    <row r="1" spans="1:13" s="1" customFormat="1" ht="15" customHeight="1">
      <c r="A1" s="106" t="s">
        <v>996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7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29"/>
      <c r="I3" s="130"/>
      <c r="J3" s="130"/>
      <c r="K3" s="115" t="s">
        <v>883</v>
      </c>
      <c r="L3" s="101" t="s">
        <v>6</v>
      </c>
      <c r="M3" s="103" t="s">
        <v>5</v>
      </c>
    </row>
    <row r="4" spans="1:13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116"/>
      <c r="L4" s="102"/>
      <c r="M4" s="104"/>
    </row>
    <row r="5" spans="2:12" ht="15.75">
      <c r="B5" s="105" t="s">
        <v>207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3" ht="12.75">
      <c r="A6" s="47">
        <v>1</v>
      </c>
      <c r="B6" s="35" t="s">
        <v>805</v>
      </c>
      <c r="C6" s="35" t="s">
        <v>806</v>
      </c>
      <c r="D6" s="35" t="s">
        <v>807</v>
      </c>
      <c r="E6" s="35" t="str">
        <f>"1,0051"</f>
        <v>1,0051</v>
      </c>
      <c r="F6" s="35" t="s">
        <v>29</v>
      </c>
      <c r="G6" s="35" t="s">
        <v>1000</v>
      </c>
      <c r="H6" s="20" t="s">
        <v>192</v>
      </c>
      <c r="I6" s="20" t="s">
        <v>171</v>
      </c>
      <c r="J6" s="65" t="s">
        <v>172</v>
      </c>
      <c r="K6" s="34">
        <v>52.5</v>
      </c>
      <c r="L6" s="35" t="str">
        <f>"52,7678"</f>
        <v>52,7678</v>
      </c>
      <c r="M6" s="35" t="s">
        <v>956</v>
      </c>
    </row>
    <row r="8" spans="2:12" ht="15.75">
      <c r="B8" s="118" t="s">
        <v>808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2.75">
      <c r="A9" s="47">
        <v>1</v>
      </c>
      <c r="B9" s="35" t="s">
        <v>809</v>
      </c>
      <c r="C9" s="35" t="s">
        <v>810</v>
      </c>
      <c r="D9" s="35" t="s">
        <v>811</v>
      </c>
      <c r="E9" s="35" t="str">
        <f>"0,7681"</f>
        <v>0,7681</v>
      </c>
      <c r="F9" s="35" t="s">
        <v>812</v>
      </c>
      <c r="G9" s="35" t="s">
        <v>1012</v>
      </c>
      <c r="H9" s="20" t="s">
        <v>248</v>
      </c>
      <c r="I9" s="20" t="s">
        <v>479</v>
      </c>
      <c r="J9" s="20" t="s">
        <v>274</v>
      </c>
      <c r="K9" s="34">
        <v>80</v>
      </c>
      <c r="L9" s="35" t="str">
        <f>"61,4440"</f>
        <v>61,4440</v>
      </c>
      <c r="M9" s="35" t="s">
        <v>130</v>
      </c>
    </row>
    <row r="11" spans="2:12" ht="15.75">
      <c r="B11" s="118" t="s">
        <v>49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3" ht="12.75">
      <c r="A12" s="48">
        <v>1</v>
      </c>
      <c r="B12" s="86" t="s">
        <v>813</v>
      </c>
      <c r="C12" s="86" t="s">
        <v>814</v>
      </c>
      <c r="D12" s="86" t="s">
        <v>815</v>
      </c>
      <c r="E12" s="86" t="str">
        <f>"0,6503"</f>
        <v>0,6503</v>
      </c>
      <c r="F12" s="86" t="s">
        <v>29</v>
      </c>
      <c r="G12" s="86" t="s">
        <v>1000</v>
      </c>
      <c r="H12" s="21" t="s">
        <v>479</v>
      </c>
      <c r="I12" s="21" t="s">
        <v>274</v>
      </c>
      <c r="J12" s="66" t="s">
        <v>275</v>
      </c>
      <c r="K12" s="38">
        <v>80</v>
      </c>
      <c r="L12" s="86" t="str">
        <f>"52,0200"</f>
        <v>52,0200</v>
      </c>
      <c r="M12" s="86" t="s">
        <v>876</v>
      </c>
    </row>
    <row r="13" spans="1:13" ht="12.75">
      <c r="A13" s="49">
        <v>2</v>
      </c>
      <c r="B13" s="87" t="s">
        <v>816</v>
      </c>
      <c r="C13" s="87" t="s">
        <v>817</v>
      </c>
      <c r="D13" s="87" t="s">
        <v>52</v>
      </c>
      <c r="E13" s="87" t="str">
        <f>"0,6222"</f>
        <v>0,6222</v>
      </c>
      <c r="F13" s="87" t="s">
        <v>29</v>
      </c>
      <c r="G13" s="87" t="s">
        <v>1000</v>
      </c>
      <c r="H13" s="23" t="s">
        <v>248</v>
      </c>
      <c r="I13" s="70" t="s">
        <v>479</v>
      </c>
      <c r="J13" s="70" t="s">
        <v>479</v>
      </c>
      <c r="K13" s="39">
        <v>72.5</v>
      </c>
      <c r="L13" s="87" t="str">
        <f>"45,1059"</f>
        <v>45,1059</v>
      </c>
      <c r="M13" s="87" t="s">
        <v>882</v>
      </c>
    </row>
    <row r="15" spans="2:12" ht="15.75">
      <c r="B15" s="118" t="s">
        <v>72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3" ht="12.75">
      <c r="A16" s="48">
        <v>1</v>
      </c>
      <c r="B16" s="86" t="s">
        <v>818</v>
      </c>
      <c r="C16" s="86" t="s">
        <v>819</v>
      </c>
      <c r="D16" s="86" t="s">
        <v>820</v>
      </c>
      <c r="E16" s="86" t="str">
        <f>"0,5891"</f>
        <v>0,5891</v>
      </c>
      <c r="F16" s="86" t="s">
        <v>29</v>
      </c>
      <c r="G16" s="86" t="s">
        <v>1000</v>
      </c>
      <c r="H16" s="21" t="s">
        <v>352</v>
      </c>
      <c r="I16" s="21" t="s">
        <v>429</v>
      </c>
      <c r="J16" s="66" t="s">
        <v>261</v>
      </c>
      <c r="K16" s="38">
        <v>100</v>
      </c>
      <c r="L16" s="86" t="str">
        <f>"58,9100"</f>
        <v>58,9100</v>
      </c>
      <c r="M16" s="86" t="s">
        <v>956</v>
      </c>
    </row>
    <row r="17" spans="1:13" ht="12.75">
      <c r="A17" s="50">
        <v>2</v>
      </c>
      <c r="B17" s="88" t="s">
        <v>821</v>
      </c>
      <c r="C17" s="88" t="s">
        <v>822</v>
      </c>
      <c r="D17" s="88" t="s">
        <v>421</v>
      </c>
      <c r="E17" s="88" t="str">
        <f>"0,5831"</f>
        <v>0,5831</v>
      </c>
      <c r="F17" s="88" t="s">
        <v>106</v>
      </c>
      <c r="G17" s="88" t="s">
        <v>1000</v>
      </c>
      <c r="H17" s="22" t="s">
        <v>220</v>
      </c>
      <c r="I17" s="22" t="s">
        <v>248</v>
      </c>
      <c r="J17" s="22" t="s">
        <v>317</v>
      </c>
      <c r="K17" s="40">
        <v>82.5</v>
      </c>
      <c r="L17" s="88" t="str">
        <f>"48,1016"</f>
        <v>48,1016</v>
      </c>
      <c r="M17" s="88" t="s">
        <v>876</v>
      </c>
    </row>
    <row r="18" spans="1:13" ht="12.75">
      <c r="A18" s="49">
        <v>0</v>
      </c>
      <c r="B18" s="87" t="s">
        <v>823</v>
      </c>
      <c r="C18" s="87" t="s">
        <v>847</v>
      </c>
      <c r="D18" s="87" t="s">
        <v>92</v>
      </c>
      <c r="E18" s="87" t="str">
        <f>"0,5861"</f>
        <v>0,5861</v>
      </c>
      <c r="F18" s="87" t="s">
        <v>106</v>
      </c>
      <c r="G18" s="87" t="s">
        <v>1000</v>
      </c>
      <c r="H18" s="70" t="s">
        <v>276</v>
      </c>
      <c r="I18" s="70" t="s">
        <v>276</v>
      </c>
      <c r="J18" s="70" t="s">
        <v>276</v>
      </c>
      <c r="K18" s="39">
        <v>0</v>
      </c>
      <c r="L18" s="87" t="str">
        <f>"0,0000"</f>
        <v>0,0000</v>
      </c>
      <c r="M18" s="87" t="s">
        <v>1051</v>
      </c>
    </row>
    <row r="20" spans="2:12" ht="15.75">
      <c r="B20" s="118" t="s">
        <v>95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3" ht="12.75">
      <c r="A21" s="47">
        <v>1</v>
      </c>
      <c r="B21" s="35" t="s">
        <v>73</v>
      </c>
      <c r="C21" s="35" t="s">
        <v>824</v>
      </c>
      <c r="D21" s="35" t="s">
        <v>825</v>
      </c>
      <c r="E21" s="35" t="str">
        <f>"0,5746"</f>
        <v>0,5746</v>
      </c>
      <c r="F21" s="35" t="s">
        <v>29</v>
      </c>
      <c r="G21" s="35" t="s">
        <v>1000</v>
      </c>
      <c r="H21" s="20" t="s">
        <v>248</v>
      </c>
      <c r="I21" s="65" t="s">
        <v>479</v>
      </c>
      <c r="J21" s="65" t="s">
        <v>479</v>
      </c>
      <c r="K21" s="34">
        <v>72.5</v>
      </c>
      <c r="L21" s="35" t="str">
        <f>"41,6585"</f>
        <v>41,6585</v>
      </c>
      <c r="M21" s="35" t="s">
        <v>130</v>
      </c>
    </row>
    <row r="23" spans="2:12" ht="15.75">
      <c r="B23" s="118" t="s">
        <v>123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</row>
    <row r="24" spans="1:13" ht="12.75">
      <c r="A24" s="47">
        <v>1</v>
      </c>
      <c r="B24" s="35" t="s">
        <v>826</v>
      </c>
      <c r="C24" s="35" t="s">
        <v>827</v>
      </c>
      <c r="D24" s="35" t="s">
        <v>828</v>
      </c>
      <c r="E24" s="35" t="str">
        <f>"0,5587"</f>
        <v>0,5587</v>
      </c>
      <c r="F24" s="35" t="s">
        <v>106</v>
      </c>
      <c r="G24" s="35" t="s">
        <v>1000</v>
      </c>
      <c r="H24" s="20" t="s">
        <v>275</v>
      </c>
      <c r="I24" s="20" t="s">
        <v>352</v>
      </c>
      <c r="J24" s="20" t="s">
        <v>429</v>
      </c>
      <c r="K24" s="34">
        <v>100</v>
      </c>
      <c r="L24" s="35" t="str">
        <f>"55,8750"</f>
        <v>55,8750</v>
      </c>
      <c r="M24" s="35" t="s">
        <v>1052</v>
      </c>
    </row>
  </sheetData>
  <sheetProtection/>
  <mergeCells count="18">
    <mergeCell ref="A1:M2"/>
    <mergeCell ref="A3:A4"/>
    <mergeCell ref="B23:L23"/>
    <mergeCell ref="M3:M4"/>
    <mergeCell ref="B5:L5"/>
    <mergeCell ref="B8:L8"/>
    <mergeCell ref="B11:L11"/>
    <mergeCell ref="B15:L15"/>
    <mergeCell ref="B20:L20"/>
    <mergeCell ref="B3:B4"/>
    <mergeCell ref="G3:G4"/>
    <mergeCell ref="H3:J3"/>
    <mergeCell ref="K3:K4"/>
    <mergeCell ref="L3:L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39" sqref="G39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3.625" style="36" bestFit="1" customWidth="1"/>
    <col min="8" max="10" width="4.625" style="36" bestFit="1" customWidth="1"/>
    <col min="11" max="11" width="11.625" style="37" customWidth="1"/>
    <col min="12" max="12" width="7.625" style="36" bestFit="1" customWidth="1"/>
    <col min="13" max="13" width="24.875" style="36" bestFit="1" customWidth="1"/>
  </cols>
  <sheetData>
    <row r="1" spans="1:13" s="1" customFormat="1" ht="15" customHeight="1">
      <c r="A1" s="106" t="s">
        <v>997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78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29"/>
      <c r="I3" s="130"/>
      <c r="J3" s="130"/>
      <c r="K3" s="115" t="s">
        <v>883</v>
      </c>
      <c r="L3" s="101" t="s">
        <v>6</v>
      </c>
      <c r="M3" s="103" t="s">
        <v>5</v>
      </c>
    </row>
    <row r="4" spans="1:13" s="2" customFormat="1" ht="21" customHeight="1" thickBot="1">
      <c r="A4" s="111"/>
      <c r="B4" s="113"/>
      <c r="C4" s="102"/>
      <c r="D4" s="102"/>
      <c r="E4" s="102"/>
      <c r="F4" s="102"/>
      <c r="G4" s="102"/>
      <c r="H4" s="3" t="s">
        <v>877</v>
      </c>
      <c r="I4" s="3">
        <v>2</v>
      </c>
      <c r="J4" s="3">
        <v>3</v>
      </c>
      <c r="K4" s="116"/>
      <c r="L4" s="102"/>
      <c r="M4" s="104"/>
    </row>
    <row r="5" spans="2:12" ht="15.75">
      <c r="B5" s="105" t="s">
        <v>249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3" ht="12.75">
      <c r="A6" s="47">
        <v>1</v>
      </c>
      <c r="B6" s="97" t="s">
        <v>829</v>
      </c>
      <c r="C6" s="35" t="s">
        <v>830</v>
      </c>
      <c r="D6" s="35" t="s">
        <v>831</v>
      </c>
      <c r="E6" s="35" t="str">
        <f>"0,8889"</f>
        <v>0,8889</v>
      </c>
      <c r="F6" s="35" t="s">
        <v>29</v>
      </c>
      <c r="G6" s="35" t="s">
        <v>783</v>
      </c>
      <c r="H6" s="20" t="s">
        <v>832</v>
      </c>
      <c r="I6" s="20" t="s">
        <v>767</v>
      </c>
      <c r="J6" s="20" t="s">
        <v>833</v>
      </c>
      <c r="K6" s="34">
        <v>36.5</v>
      </c>
      <c r="L6" s="35" t="str">
        <f>"32,4467"</f>
        <v>32,4467</v>
      </c>
      <c r="M6" s="35" t="s">
        <v>957</v>
      </c>
    </row>
    <row r="8" spans="2:12" ht="15.75">
      <c r="B8" s="118" t="s">
        <v>808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2.75">
      <c r="A9" s="47">
        <v>1</v>
      </c>
      <c r="B9" s="35" t="s">
        <v>809</v>
      </c>
      <c r="C9" s="35" t="s">
        <v>810</v>
      </c>
      <c r="D9" s="35" t="s">
        <v>811</v>
      </c>
      <c r="E9" s="35" t="str">
        <f>"0,7681"</f>
        <v>0,7681</v>
      </c>
      <c r="F9" s="35" t="s">
        <v>812</v>
      </c>
      <c r="G9" s="35" t="s">
        <v>1013</v>
      </c>
      <c r="H9" s="20" t="s">
        <v>834</v>
      </c>
      <c r="I9" s="20" t="s">
        <v>835</v>
      </c>
      <c r="J9" s="65" t="s">
        <v>836</v>
      </c>
      <c r="K9" s="34">
        <v>56.5</v>
      </c>
      <c r="L9" s="35" t="str">
        <f>"43,3948"</f>
        <v>43,3948</v>
      </c>
      <c r="M9" s="35" t="s">
        <v>130</v>
      </c>
    </row>
    <row r="11" spans="2:12" ht="15.75">
      <c r="B11" s="118" t="s">
        <v>49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3" ht="12.75">
      <c r="A12" s="48">
        <v>1</v>
      </c>
      <c r="B12" s="86" t="s">
        <v>42</v>
      </c>
      <c r="C12" s="86" t="s">
        <v>43</v>
      </c>
      <c r="D12" s="86" t="s">
        <v>837</v>
      </c>
      <c r="E12" s="86" t="str">
        <f>"0,6446"</f>
        <v>0,6446</v>
      </c>
      <c r="F12" s="86" t="s">
        <v>812</v>
      </c>
      <c r="G12" s="86" t="s">
        <v>843</v>
      </c>
      <c r="H12" s="21" t="s">
        <v>838</v>
      </c>
      <c r="I12" s="21" t="s">
        <v>836</v>
      </c>
      <c r="J12" s="21" t="s">
        <v>839</v>
      </c>
      <c r="K12" s="38">
        <v>69</v>
      </c>
      <c r="L12" s="86" t="str">
        <f>"44,4774"</f>
        <v>44,4774</v>
      </c>
      <c r="M12" s="86" t="s">
        <v>130</v>
      </c>
    </row>
    <row r="13" spans="1:13" ht="12.75">
      <c r="A13" s="50">
        <v>1</v>
      </c>
      <c r="B13" s="88" t="s">
        <v>840</v>
      </c>
      <c r="C13" s="88" t="s">
        <v>841</v>
      </c>
      <c r="D13" s="88" t="s">
        <v>842</v>
      </c>
      <c r="E13" s="88" t="str">
        <f>"0,6242"</f>
        <v>0,6242</v>
      </c>
      <c r="F13" s="88" t="s">
        <v>812</v>
      </c>
      <c r="G13" s="88" t="s">
        <v>843</v>
      </c>
      <c r="H13" s="22" t="s">
        <v>844</v>
      </c>
      <c r="I13" s="22" t="s">
        <v>836</v>
      </c>
      <c r="J13" s="22" t="s">
        <v>845</v>
      </c>
      <c r="K13" s="40">
        <v>64</v>
      </c>
      <c r="L13" s="88" t="str">
        <f>"39,9520"</f>
        <v>39,9520</v>
      </c>
      <c r="M13" s="88" t="s">
        <v>958</v>
      </c>
    </row>
    <row r="14" spans="1:13" ht="12.75">
      <c r="A14" s="49">
        <v>1</v>
      </c>
      <c r="B14" s="87" t="s">
        <v>816</v>
      </c>
      <c r="C14" s="87" t="s">
        <v>817</v>
      </c>
      <c r="D14" s="87" t="s">
        <v>52</v>
      </c>
      <c r="E14" s="87" t="str">
        <f>"0,6222"</f>
        <v>0,6222</v>
      </c>
      <c r="F14" s="87" t="s">
        <v>29</v>
      </c>
      <c r="G14" s="87" t="s">
        <v>1000</v>
      </c>
      <c r="H14" s="23" t="s">
        <v>836</v>
      </c>
      <c r="I14" s="70" t="s">
        <v>845</v>
      </c>
      <c r="J14" s="70" t="s">
        <v>845</v>
      </c>
      <c r="K14" s="39">
        <v>61.5</v>
      </c>
      <c r="L14" s="87" t="str">
        <f>"38,2622"</f>
        <v>38,2622</v>
      </c>
      <c r="M14" s="87" t="s">
        <v>956</v>
      </c>
    </row>
    <row r="16" spans="2:12" ht="15.75">
      <c r="B16" s="118" t="s">
        <v>72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1:13" ht="12.75">
      <c r="A17" s="48">
        <v>1</v>
      </c>
      <c r="B17" s="86" t="s">
        <v>818</v>
      </c>
      <c r="C17" s="86" t="s">
        <v>819</v>
      </c>
      <c r="D17" s="86" t="s">
        <v>820</v>
      </c>
      <c r="E17" s="86" t="str">
        <f>"0,5891"</f>
        <v>0,5891</v>
      </c>
      <c r="F17" s="86" t="s">
        <v>29</v>
      </c>
      <c r="G17" s="86" t="s">
        <v>1000</v>
      </c>
      <c r="H17" s="21" t="s">
        <v>845</v>
      </c>
      <c r="I17" s="21" t="s">
        <v>839</v>
      </c>
      <c r="J17" s="21" t="s">
        <v>846</v>
      </c>
      <c r="K17" s="38">
        <v>74</v>
      </c>
      <c r="L17" s="86" t="str">
        <f>"43,5934"</f>
        <v>43,5934</v>
      </c>
      <c r="M17" s="86" t="s">
        <v>959</v>
      </c>
    </row>
    <row r="18" spans="1:13" ht="12.75">
      <c r="A18" s="50">
        <v>2</v>
      </c>
      <c r="B18" s="88" t="s">
        <v>823</v>
      </c>
      <c r="C18" s="88" t="s">
        <v>847</v>
      </c>
      <c r="D18" s="88" t="s">
        <v>92</v>
      </c>
      <c r="E18" s="88" t="str">
        <f>"0,5861"</f>
        <v>0,5861</v>
      </c>
      <c r="F18" s="88" t="s">
        <v>106</v>
      </c>
      <c r="G18" s="88" t="s">
        <v>1000</v>
      </c>
      <c r="H18" s="22" t="s">
        <v>848</v>
      </c>
      <c r="I18" s="22" t="s">
        <v>848</v>
      </c>
      <c r="J18" s="67" t="s">
        <v>846</v>
      </c>
      <c r="K18" s="40">
        <v>71.5</v>
      </c>
      <c r="L18" s="88" t="str">
        <f>"41,9097"</f>
        <v>41,9097</v>
      </c>
      <c r="M18" s="88" t="s">
        <v>1051</v>
      </c>
    </row>
    <row r="19" spans="1:13" ht="12.75">
      <c r="A19" s="49">
        <v>1</v>
      </c>
      <c r="B19" s="87" t="s">
        <v>849</v>
      </c>
      <c r="C19" s="87" t="s">
        <v>850</v>
      </c>
      <c r="D19" s="87" t="s">
        <v>851</v>
      </c>
      <c r="E19" s="87" t="str">
        <f>"0,5864"</f>
        <v>0,5864</v>
      </c>
      <c r="F19" s="87" t="s">
        <v>106</v>
      </c>
      <c r="G19" s="87" t="s">
        <v>1000</v>
      </c>
      <c r="H19" s="23" t="s">
        <v>845</v>
      </c>
      <c r="I19" s="23" t="s">
        <v>846</v>
      </c>
      <c r="J19" s="70" t="s">
        <v>852</v>
      </c>
      <c r="K19" s="39">
        <v>74</v>
      </c>
      <c r="L19" s="87" t="str">
        <f>"49,7682"</f>
        <v>49,7682</v>
      </c>
      <c r="M19" s="87" t="s">
        <v>130</v>
      </c>
    </row>
    <row r="21" spans="2:12" ht="15.75">
      <c r="B21" s="118" t="s">
        <v>95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3" ht="12.75">
      <c r="A22" s="47">
        <v>1</v>
      </c>
      <c r="B22" s="35" t="s">
        <v>73</v>
      </c>
      <c r="C22" s="35" t="s">
        <v>824</v>
      </c>
      <c r="D22" s="35" t="s">
        <v>825</v>
      </c>
      <c r="E22" s="35" t="str">
        <f>"0,5746"</f>
        <v>0,5746</v>
      </c>
      <c r="F22" s="35" t="s">
        <v>29</v>
      </c>
      <c r="G22" s="35" t="s">
        <v>1000</v>
      </c>
      <c r="H22" s="20" t="s">
        <v>853</v>
      </c>
      <c r="I22" s="65" t="s">
        <v>834</v>
      </c>
      <c r="J22" s="20" t="s">
        <v>834</v>
      </c>
      <c r="K22" s="34">
        <v>54</v>
      </c>
      <c r="L22" s="35" t="str">
        <f>"31,0284"</f>
        <v>31,0284</v>
      </c>
      <c r="M22" s="35" t="s">
        <v>130</v>
      </c>
    </row>
    <row r="24" spans="2:12" ht="15.75">
      <c r="B24" s="118" t="s">
        <v>123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</row>
    <row r="25" spans="1:13" ht="12.75">
      <c r="A25" s="47">
        <v>1</v>
      </c>
      <c r="B25" s="35" t="s">
        <v>826</v>
      </c>
      <c r="C25" s="35" t="s">
        <v>827</v>
      </c>
      <c r="D25" s="35" t="s">
        <v>828</v>
      </c>
      <c r="E25" s="35" t="str">
        <f>"0,5587"</f>
        <v>0,5587</v>
      </c>
      <c r="F25" s="35" t="s">
        <v>106</v>
      </c>
      <c r="G25" s="35" t="s">
        <v>1000</v>
      </c>
      <c r="H25" s="20" t="s">
        <v>854</v>
      </c>
      <c r="I25" s="20" t="s">
        <v>855</v>
      </c>
      <c r="J25" s="65" t="s">
        <v>856</v>
      </c>
      <c r="K25" s="34">
        <v>91.5</v>
      </c>
      <c r="L25" s="35" t="str">
        <f>"51,1256"</f>
        <v>51,1256</v>
      </c>
      <c r="M25" s="35" t="s">
        <v>1052</v>
      </c>
    </row>
  </sheetData>
  <sheetProtection/>
  <mergeCells count="18">
    <mergeCell ref="A1:M2"/>
    <mergeCell ref="A3:A4"/>
    <mergeCell ref="B24:L24"/>
    <mergeCell ref="M3:M4"/>
    <mergeCell ref="B5:L5"/>
    <mergeCell ref="B8:L8"/>
    <mergeCell ref="B11:L11"/>
    <mergeCell ref="B16:L16"/>
    <mergeCell ref="B21:L21"/>
    <mergeCell ref="B3:B4"/>
    <mergeCell ref="G3:G4"/>
    <mergeCell ref="H3:J3"/>
    <mergeCell ref="K3:K4"/>
    <mergeCell ref="L3:L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F25" sqref="F25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3.625" style="36" bestFit="1" customWidth="1"/>
    <col min="8" max="10" width="4.625" style="36" bestFit="1" customWidth="1"/>
    <col min="11" max="11" width="11.875" style="37" customWidth="1"/>
    <col min="12" max="12" width="7.625" style="36" bestFit="1" customWidth="1"/>
    <col min="13" max="13" width="14.875" style="36" bestFit="1" customWidth="1"/>
  </cols>
  <sheetData>
    <row r="1" spans="1:13" s="1" customFormat="1" ht="15" customHeight="1">
      <c r="A1" s="106" t="s">
        <v>998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7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708</v>
      </c>
      <c r="F3" s="101" t="s">
        <v>7</v>
      </c>
      <c r="G3" s="101" t="s">
        <v>999</v>
      </c>
      <c r="H3" s="129"/>
      <c r="I3" s="130"/>
      <c r="J3" s="130"/>
      <c r="K3" s="115" t="s">
        <v>883</v>
      </c>
      <c r="L3" s="101" t="s">
        <v>6</v>
      </c>
      <c r="M3" s="103" t="s">
        <v>5</v>
      </c>
    </row>
    <row r="4" spans="1:13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116"/>
      <c r="L4" s="102"/>
      <c r="M4" s="104"/>
    </row>
    <row r="5" spans="2:12" ht="15.75">
      <c r="B5" s="105" t="s">
        <v>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3" ht="12.75">
      <c r="A6" s="47">
        <v>1</v>
      </c>
      <c r="B6" s="35" t="s">
        <v>840</v>
      </c>
      <c r="C6" s="35" t="s">
        <v>841</v>
      </c>
      <c r="D6" s="35" t="s">
        <v>842</v>
      </c>
      <c r="E6" s="35" t="str">
        <f>"0,6242"</f>
        <v>0,6242</v>
      </c>
      <c r="F6" s="35" t="s">
        <v>812</v>
      </c>
      <c r="G6" s="35" t="s">
        <v>843</v>
      </c>
      <c r="H6" s="20" t="s">
        <v>857</v>
      </c>
      <c r="I6" s="20" t="s">
        <v>186</v>
      </c>
      <c r="J6" s="20" t="s">
        <v>858</v>
      </c>
      <c r="K6" s="34">
        <v>26.3</v>
      </c>
      <c r="L6" s="35" t="str">
        <f>"16,4178"</f>
        <v>16,4178</v>
      </c>
      <c r="M6" s="35" t="s">
        <v>960</v>
      </c>
    </row>
    <row r="8" spans="2:12" ht="15.75">
      <c r="B8" s="118" t="s">
        <v>72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2.75">
      <c r="A9" s="47">
        <v>1</v>
      </c>
      <c r="B9" s="35" t="s">
        <v>821</v>
      </c>
      <c r="C9" s="35" t="s">
        <v>822</v>
      </c>
      <c r="D9" s="35" t="s">
        <v>421</v>
      </c>
      <c r="E9" s="35" t="str">
        <f>"0,5831"</f>
        <v>0,5831</v>
      </c>
      <c r="F9" s="35" t="s">
        <v>106</v>
      </c>
      <c r="G9" s="35" t="s">
        <v>1000</v>
      </c>
      <c r="H9" s="20" t="s">
        <v>859</v>
      </c>
      <c r="I9" s="20" t="s">
        <v>857</v>
      </c>
      <c r="J9" s="20" t="s">
        <v>186</v>
      </c>
      <c r="K9" s="34">
        <v>25</v>
      </c>
      <c r="L9" s="35" t="str">
        <f>"14,5763"</f>
        <v>14,5763</v>
      </c>
      <c r="M9" s="35" t="s">
        <v>1052</v>
      </c>
    </row>
  </sheetData>
  <sheetProtection/>
  <mergeCells count="14">
    <mergeCell ref="A1:M2"/>
    <mergeCell ref="A3:A4"/>
    <mergeCell ref="K3:K4"/>
    <mergeCell ref="L3:L4"/>
    <mergeCell ref="M3:M4"/>
    <mergeCell ref="B5:L5"/>
    <mergeCell ref="B8:L8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C1">
      <selection activeCell="V20" sqref="V20"/>
    </sheetView>
  </sheetViews>
  <sheetFormatPr defaultColWidth="8.75390625" defaultRowHeight="12.75"/>
  <cols>
    <col min="1" max="1" width="8.75390625" style="0" customWidth="1"/>
    <col min="2" max="2" width="27.875" style="36" customWidth="1"/>
    <col min="3" max="3" width="21.375" style="36" bestFit="1" customWidth="1"/>
    <col min="4" max="4" width="10.625" style="36" customWidth="1"/>
    <col min="5" max="5" width="8.375" style="36" bestFit="1" customWidth="1"/>
    <col min="6" max="6" width="22.75390625" style="36" bestFit="1" customWidth="1"/>
    <col min="7" max="7" width="30.375" style="36" bestFit="1" customWidth="1"/>
    <col min="8" max="10" width="5.625" style="36" bestFit="1" customWidth="1"/>
    <col min="11" max="11" width="4.625" style="36" bestFit="1" customWidth="1"/>
    <col min="12" max="14" width="5.625" style="36" bestFit="1" customWidth="1"/>
    <col min="15" max="15" width="4.625" style="36" bestFit="1" customWidth="1"/>
    <col min="16" max="18" width="5.625" style="36" bestFit="1" customWidth="1"/>
    <col min="19" max="19" width="4.625" style="36" bestFit="1" customWidth="1"/>
    <col min="20" max="20" width="7.875" style="37" bestFit="1" customWidth="1"/>
    <col min="21" max="21" width="8.625" style="36" bestFit="1" customWidth="1"/>
    <col min="22" max="22" width="15.875" style="36" bestFit="1" customWidth="1"/>
  </cols>
  <sheetData>
    <row r="1" spans="1:22" s="1" customFormat="1" ht="15" customHeight="1">
      <c r="A1" s="106" t="s">
        <v>973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s="1" customFormat="1" ht="78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15" t="s">
        <v>4</v>
      </c>
      <c r="U3" s="101" t="s">
        <v>6</v>
      </c>
      <c r="V3" s="103" t="s">
        <v>5</v>
      </c>
    </row>
    <row r="4" spans="1:22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6"/>
      <c r="U4" s="102"/>
      <c r="V4" s="104"/>
    </row>
    <row r="5" spans="2:21" ht="15.75">
      <c r="B5" s="105" t="s">
        <v>19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2" ht="12.75">
      <c r="A6" s="48">
        <v>1</v>
      </c>
      <c r="B6" s="86" t="s">
        <v>625</v>
      </c>
      <c r="C6" s="86" t="s">
        <v>626</v>
      </c>
      <c r="D6" s="86" t="s">
        <v>298</v>
      </c>
      <c r="E6" s="86" t="str">
        <f>"0,6764"</f>
        <v>0,6764</v>
      </c>
      <c r="F6" s="86" t="s">
        <v>29</v>
      </c>
      <c r="G6" s="86" t="s">
        <v>1000</v>
      </c>
      <c r="H6" s="21" t="s">
        <v>79</v>
      </c>
      <c r="I6" s="21" t="s">
        <v>395</v>
      </c>
      <c r="J6" s="66" t="s">
        <v>546</v>
      </c>
      <c r="K6" s="68"/>
      <c r="L6" s="21" t="s">
        <v>306</v>
      </c>
      <c r="M6" s="21" t="s">
        <v>253</v>
      </c>
      <c r="N6" s="66" t="s">
        <v>35</v>
      </c>
      <c r="O6" s="68"/>
      <c r="P6" s="21" t="s">
        <v>77</v>
      </c>
      <c r="Q6" s="21" t="s">
        <v>79</v>
      </c>
      <c r="R6" s="21" t="s">
        <v>395</v>
      </c>
      <c r="S6" s="68"/>
      <c r="T6" s="38">
        <v>562.5</v>
      </c>
      <c r="U6" s="86" t="str">
        <f>"380,4750"</f>
        <v>380,4750</v>
      </c>
      <c r="V6" s="86" t="s">
        <v>130</v>
      </c>
    </row>
    <row r="7" spans="1:22" ht="12.75">
      <c r="A7" s="49">
        <v>2</v>
      </c>
      <c r="B7" s="87" t="s">
        <v>627</v>
      </c>
      <c r="C7" s="87" t="s">
        <v>628</v>
      </c>
      <c r="D7" s="87" t="s">
        <v>629</v>
      </c>
      <c r="E7" s="87" t="str">
        <f>"0,6945"</f>
        <v>0,6945</v>
      </c>
      <c r="F7" s="87" t="s">
        <v>29</v>
      </c>
      <c r="G7" s="87" t="s">
        <v>1000</v>
      </c>
      <c r="H7" s="23" t="s">
        <v>48</v>
      </c>
      <c r="I7" s="70" t="s">
        <v>35</v>
      </c>
      <c r="J7" s="70" t="s">
        <v>35</v>
      </c>
      <c r="K7" s="71"/>
      <c r="L7" s="23" t="s">
        <v>275</v>
      </c>
      <c r="M7" s="23" t="s">
        <v>276</v>
      </c>
      <c r="N7" s="70" t="s">
        <v>630</v>
      </c>
      <c r="O7" s="71"/>
      <c r="P7" s="23" t="s">
        <v>36</v>
      </c>
      <c r="Q7" s="23" t="s">
        <v>295</v>
      </c>
      <c r="R7" s="23" t="s">
        <v>23</v>
      </c>
      <c r="S7" s="71"/>
      <c r="T7" s="39">
        <v>382.5</v>
      </c>
      <c r="U7" s="87" t="str">
        <f>"265,6463"</f>
        <v>265,6463</v>
      </c>
      <c r="V7" s="87" t="s">
        <v>130</v>
      </c>
    </row>
    <row r="9" spans="2:21" ht="15.75">
      <c r="B9" s="118" t="s">
        <v>49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2" ht="12.75">
      <c r="A10" s="47">
        <v>1</v>
      </c>
      <c r="B10" s="35" t="s">
        <v>631</v>
      </c>
      <c r="C10" s="35" t="s">
        <v>632</v>
      </c>
      <c r="D10" s="35" t="s">
        <v>633</v>
      </c>
      <c r="E10" s="35" t="str">
        <f>"0,6428"</f>
        <v>0,6428</v>
      </c>
      <c r="F10" s="35" t="s">
        <v>29</v>
      </c>
      <c r="G10" s="35" t="s">
        <v>1000</v>
      </c>
      <c r="H10" s="20" t="s">
        <v>85</v>
      </c>
      <c r="I10" s="20" t="s">
        <v>78</v>
      </c>
      <c r="J10" s="20" t="s">
        <v>455</v>
      </c>
      <c r="K10" s="72"/>
      <c r="L10" s="20" t="s">
        <v>306</v>
      </c>
      <c r="M10" s="20" t="s">
        <v>253</v>
      </c>
      <c r="N10" s="20" t="s">
        <v>282</v>
      </c>
      <c r="O10" s="72"/>
      <c r="P10" s="65" t="s">
        <v>77</v>
      </c>
      <c r="Q10" s="20" t="s">
        <v>78</v>
      </c>
      <c r="R10" s="20" t="s">
        <v>79</v>
      </c>
      <c r="S10" s="72"/>
      <c r="T10" s="34">
        <v>555</v>
      </c>
      <c r="U10" s="35" t="str">
        <f>"356,7540"</f>
        <v>356,7540</v>
      </c>
      <c r="V10" s="35" t="s">
        <v>130</v>
      </c>
    </row>
    <row r="12" spans="2:21" ht="15.75">
      <c r="B12" s="118" t="s">
        <v>72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2" ht="12.75">
      <c r="A13" s="47">
        <v>0</v>
      </c>
      <c r="B13" s="35" t="s">
        <v>634</v>
      </c>
      <c r="C13" s="35" t="s">
        <v>635</v>
      </c>
      <c r="D13" s="35" t="s">
        <v>636</v>
      </c>
      <c r="E13" s="35" t="str">
        <f>"0,6235"</f>
        <v>0,6235</v>
      </c>
      <c r="F13" s="35" t="s">
        <v>1015</v>
      </c>
      <c r="G13" s="35" t="s">
        <v>1000</v>
      </c>
      <c r="H13" s="20" t="s">
        <v>85</v>
      </c>
      <c r="I13" s="20" t="s">
        <v>78</v>
      </c>
      <c r="J13" s="65" t="s">
        <v>394</v>
      </c>
      <c r="K13" s="72"/>
      <c r="L13" s="65" t="s">
        <v>23</v>
      </c>
      <c r="M13" s="65" t="s">
        <v>23</v>
      </c>
      <c r="N13" s="65" t="s">
        <v>23</v>
      </c>
      <c r="O13" s="72"/>
      <c r="P13" s="65" t="s">
        <v>78</v>
      </c>
      <c r="Q13" s="72"/>
      <c r="R13" s="72"/>
      <c r="S13" s="72"/>
      <c r="T13" s="34">
        <v>0</v>
      </c>
      <c r="U13" s="35" t="str">
        <f>"0,0000"</f>
        <v>0,0000</v>
      </c>
      <c r="V13" s="35" t="s">
        <v>876</v>
      </c>
    </row>
  </sheetData>
  <sheetProtection/>
  <mergeCells count="17">
    <mergeCell ref="V3:V4"/>
    <mergeCell ref="A1:V2"/>
    <mergeCell ref="A3:A4"/>
    <mergeCell ref="B9:U9"/>
    <mergeCell ref="B12:U12"/>
    <mergeCell ref="B3:B4"/>
    <mergeCell ref="C3:C4"/>
    <mergeCell ref="D3:D4"/>
    <mergeCell ref="E3:E4"/>
    <mergeCell ref="F3:F4"/>
    <mergeCell ref="B5:U5"/>
    <mergeCell ref="L3:O3"/>
    <mergeCell ref="P3:S3"/>
    <mergeCell ref="H3:K3"/>
    <mergeCell ref="T3:T4"/>
    <mergeCell ref="U3:U4"/>
    <mergeCell ref="G3:G4"/>
  </mergeCells>
  <printOptions/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M14" sqref="M14"/>
    </sheetView>
  </sheetViews>
  <sheetFormatPr defaultColWidth="8.75390625" defaultRowHeight="12.75"/>
  <sheetData>
    <row r="1" spans="1:13" ht="79.5" customHeight="1">
      <c r="A1" s="132" t="s">
        <v>965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3" ht="12.75">
      <c r="A3" t="s">
        <v>968</v>
      </c>
    </row>
    <row r="4" ht="12.75">
      <c r="A4" t="s">
        <v>967</v>
      </c>
    </row>
    <row r="5" ht="12.75">
      <c r="A5" t="s">
        <v>966</v>
      </c>
    </row>
    <row r="6" ht="12.75">
      <c r="A6" t="s">
        <v>969</v>
      </c>
    </row>
  </sheetData>
  <sheetProtection/>
  <mergeCells count="1">
    <mergeCell ref="A1:M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D1">
      <selection activeCell="V22" sqref="V22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75390625" style="36" bestFit="1" customWidth="1"/>
    <col min="8" max="8" width="6.625" style="36" bestFit="1" customWidth="1"/>
    <col min="9" max="9" width="5.625" style="36" bestFit="1" customWidth="1"/>
    <col min="10" max="10" width="6.625" style="36" bestFit="1" customWidth="1"/>
    <col min="11" max="11" width="4.625" style="36" bestFit="1" customWidth="1"/>
    <col min="12" max="14" width="5.625" style="36" bestFit="1" customWidth="1"/>
    <col min="15" max="15" width="4.625" style="36" bestFit="1" customWidth="1"/>
    <col min="16" max="18" width="5.625" style="36" bestFit="1" customWidth="1"/>
    <col min="19" max="19" width="4.625" style="36" bestFit="1" customWidth="1"/>
    <col min="20" max="20" width="7.875" style="37" bestFit="1" customWidth="1"/>
    <col min="21" max="21" width="8.625" style="36" bestFit="1" customWidth="1"/>
    <col min="22" max="22" width="26.375" style="36" bestFit="1" customWidth="1"/>
  </cols>
  <sheetData>
    <row r="1" spans="1:22" s="1" customFormat="1" ht="15" customHeight="1">
      <c r="A1" s="106" t="s">
        <v>974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s="1" customFormat="1" ht="77.2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15" t="s">
        <v>4</v>
      </c>
      <c r="U3" s="101" t="s">
        <v>6</v>
      </c>
      <c r="V3" s="103" t="s">
        <v>5</v>
      </c>
    </row>
    <row r="4" spans="1:22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6"/>
      <c r="U4" s="102"/>
      <c r="V4" s="104"/>
    </row>
    <row r="5" spans="2:21" ht="15.75">
      <c r="B5" s="105" t="s">
        <v>19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2" ht="12.75">
      <c r="A6" s="47">
        <v>1</v>
      </c>
      <c r="B6" s="35" t="s">
        <v>578</v>
      </c>
      <c r="C6" s="35" t="s">
        <v>579</v>
      </c>
      <c r="D6" s="35" t="s">
        <v>580</v>
      </c>
      <c r="E6" s="35" t="str">
        <f>"0,6811"</f>
        <v>0,6811</v>
      </c>
      <c r="F6" s="35" t="s">
        <v>29</v>
      </c>
      <c r="G6" s="35" t="s">
        <v>1000</v>
      </c>
      <c r="H6" s="65" t="s">
        <v>25</v>
      </c>
      <c r="I6" s="65" t="s">
        <v>25</v>
      </c>
      <c r="J6" s="20" t="s">
        <v>25</v>
      </c>
      <c r="K6" s="72"/>
      <c r="L6" s="20" t="s">
        <v>46</v>
      </c>
      <c r="M6" s="20" t="s">
        <v>306</v>
      </c>
      <c r="N6" s="20" t="s">
        <v>48</v>
      </c>
      <c r="O6" s="72"/>
      <c r="P6" s="20" t="s">
        <v>25</v>
      </c>
      <c r="Q6" s="20" t="s">
        <v>93</v>
      </c>
      <c r="R6" s="65" t="s">
        <v>566</v>
      </c>
      <c r="S6" s="72"/>
      <c r="T6" s="34">
        <v>480</v>
      </c>
      <c r="U6" s="35" t="str">
        <f>"326,9280"</f>
        <v>326,9280</v>
      </c>
      <c r="V6" s="35" t="s">
        <v>130</v>
      </c>
    </row>
    <row r="8" spans="2:21" ht="15.75"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2" ht="12.75">
      <c r="A9" s="48">
        <v>1</v>
      </c>
      <c r="B9" s="86" t="s">
        <v>581</v>
      </c>
      <c r="C9" s="86" t="s">
        <v>582</v>
      </c>
      <c r="D9" s="86" t="s">
        <v>329</v>
      </c>
      <c r="E9" s="86" t="str">
        <f>"0,6436"</f>
        <v>0,6436</v>
      </c>
      <c r="F9" s="86" t="s">
        <v>29</v>
      </c>
      <c r="G9" s="86" t="s">
        <v>433</v>
      </c>
      <c r="H9" s="21" t="s">
        <v>79</v>
      </c>
      <c r="I9" s="21" t="s">
        <v>424</v>
      </c>
      <c r="J9" s="21" t="s">
        <v>422</v>
      </c>
      <c r="K9" s="68"/>
      <c r="L9" s="21" t="s">
        <v>353</v>
      </c>
      <c r="M9" s="21" t="s">
        <v>302</v>
      </c>
      <c r="N9" s="21" t="s">
        <v>46</v>
      </c>
      <c r="O9" s="68"/>
      <c r="P9" s="21" t="s">
        <v>394</v>
      </c>
      <c r="Q9" s="21" t="s">
        <v>422</v>
      </c>
      <c r="R9" s="66" t="s">
        <v>425</v>
      </c>
      <c r="S9" s="68"/>
      <c r="T9" s="38">
        <v>600</v>
      </c>
      <c r="U9" s="86" t="str">
        <f>"386,1600"</f>
        <v>386,1600</v>
      </c>
      <c r="V9" s="86" t="s">
        <v>130</v>
      </c>
    </row>
    <row r="10" spans="1:22" ht="12.75">
      <c r="A10" s="49">
        <v>2</v>
      </c>
      <c r="B10" s="87" t="s">
        <v>583</v>
      </c>
      <c r="C10" s="87" t="s">
        <v>584</v>
      </c>
      <c r="D10" s="87" t="s">
        <v>585</v>
      </c>
      <c r="E10" s="87" t="str">
        <f>"0,6444"</f>
        <v>0,6444</v>
      </c>
      <c r="F10" s="87" t="s">
        <v>29</v>
      </c>
      <c r="G10" s="87" t="s">
        <v>1002</v>
      </c>
      <c r="H10" s="70" t="s">
        <v>79</v>
      </c>
      <c r="I10" s="23" t="s">
        <v>79</v>
      </c>
      <c r="J10" s="70" t="s">
        <v>395</v>
      </c>
      <c r="K10" s="71"/>
      <c r="L10" s="70" t="s">
        <v>48</v>
      </c>
      <c r="M10" s="23" t="s">
        <v>48</v>
      </c>
      <c r="N10" s="23" t="s">
        <v>40</v>
      </c>
      <c r="O10" s="71"/>
      <c r="P10" s="23" t="s">
        <v>394</v>
      </c>
      <c r="Q10" s="23" t="s">
        <v>424</v>
      </c>
      <c r="R10" s="70" t="s">
        <v>417</v>
      </c>
      <c r="S10" s="71"/>
      <c r="T10" s="39">
        <v>560</v>
      </c>
      <c r="U10" s="87" t="str">
        <f>"360,8640"</f>
        <v>360,8640</v>
      </c>
      <c r="V10" s="87" t="s">
        <v>130</v>
      </c>
    </row>
    <row r="12" spans="2:21" ht="15.75">
      <c r="B12" s="118" t="s">
        <v>72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2" ht="12.75">
      <c r="A13" s="48">
        <v>1</v>
      </c>
      <c r="B13" s="86" t="s">
        <v>586</v>
      </c>
      <c r="C13" s="86" t="s">
        <v>587</v>
      </c>
      <c r="D13" s="86" t="s">
        <v>588</v>
      </c>
      <c r="E13" s="86" t="str">
        <f>"0,6111"</f>
        <v>0,6111</v>
      </c>
      <c r="F13" s="86" t="s">
        <v>29</v>
      </c>
      <c r="G13" s="86" t="s">
        <v>589</v>
      </c>
      <c r="H13" s="66" t="s">
        <v>567</v>
      </c>
      <c r="I13" s="66" t="s">
        <v>567</v>
      </c>
      <c r="J13" s="21" t="s">
        <v>567</v>
      </c>
      <c r="K13" s="68"/>
      <c r="L13" s="21" t="s">
        <v>25</v>
      </c>
      <c r="M13" s="21" t="s">
        <v>93</v>
      </c>
      <c r="N13" s="66" t="s">
        <v>69</v>
      </c>
      <c r="O13" s="68"/>
      <c r="P13" s="21" t="s">
        <v>567</v>
      </c>
      <c r="Q13" s="66" t="s">
        <v>568</v>
      </c>
      <c r="R13" s="66" t="s">
        <v>568</v>
      </c>
      <c r="S13" s="68"/>
      <c r="T13" s="38">
        <v>740</v>
      </c>
      <c r="U13" s="86" t="str">
        <f>"452,2140"</f>
        <v>452,2140</v>
      </c>
      <c r="V13" s="86" t="s">
        <v>1026</v>
      </c>
    </row>
    <row r="14" spans="1:22" ht="12.75">
      <c r="A14" s="50">
        <v>2</v>
      </c>
      <c r="B14" s="88" t="s">
        <v>590</v>
      </c>
      <c r="C14" s="88" t="s">
        <v>591</v>
      </c>
      <c r="D14" s="88" t="s">
        <v>592</v>
      </c>
      <c r="E14" s="88" t="str">
        <f>"0,6269"</f>
        <v>0,6269</v>
      </c>
      <c r="F14" s="88" t="s">
        <v>29</v>
      </c>
      <c r="G14" s="88" t="s">
        <v>1000</v>
      </c>
      <c r="H14" s="22" t="s">
        <v>394</v>
      </c>
      <c r="I14" s="22" t="s">
        <v>424</v>
      </c>
      <c r="J14" s="22" t="s">
        <v>417</v>
      </c>
      <c r="K14" s="69"/>
      <c r="L14" s="22" t="s">
        <v>36</v>
      </c>
      <c r="M14" s="22" t="s">
        <v>266</v>
      </c>
      <c r="N14" s="22" t="s">
        <v>23</v>
      </c>
      <c r="O14" s="69"/>
      <c r="P14" s="22" t="s">
        <v>417</v>
      </c>
      <c r="Q14" s="22" t="s">
        <v>422</v>
      </c>
      <c r="R14" s="69"/>
      <c r="S14" s="69"/>
      <c r="T14" s="40">
        <v>630</v>
      </c>
      <c r="U14" s="88" t="str">
        <f>"394,9470"</f>
        <v>394,9470</v>
      </c>
      <c r="V14" s="88" t="s">
        <v>130</v>
      </c>
    </row>
    <row r="15" spans="1:22" ht="12.75">
      <c r="A15" s="50">
        <v>3</v>
      </c>
      <c r="B15" s="88" t="s">
        <v>593</v>
      </c>
      <c r="C15" s="88" t="s">
        <v>594</v>
      </c>
      <c r="D15" s="88" t="s">
        <v>595</v>
      </c>
      <c r="E15" s="88" t="str">
        <f>"0,6257"</f>
        <v>0,6257</v>
      </c>
      <c r="F15" s="88" t="s">
        <v>596</v>
      </c>
      <c r="G15" s="88" t="s">
        <v>1000</v>
      </c>
      <c r="H15" s="22" t="s">
        <v>78</v>
      </c>
      <c r="I15" s="22" t="s">
        <v>394</v>
      </c>
      <c r="J15" s="22" t="s">
        <v>424</v>
      </c>
      <c r="K15" s="69"/>
      <c r="L15" s="22" t="s">
        <v>48</v>
      </c>
      <c r="M15" s="22" t="s">
        <v>40</v>
      </c>
      <c r="N15" s="22" t="s">
        <v>35</v>
      </c>
      <c r="O15" s="69"/>
      <c r="P15" s="22" t="s">
        <v>85</v>
      </c>
      <c r="Q15" s="22" t="s">
        <v>78</v>
      </c>
      <c r="R15" s="22" t="s">
        <v>394</v>
      </c>
      <c r="S15" s="69"/>
      <c r="T15" s="40">
        <v>570</v>
      </c>
      <c r="U15" s="88" t="str">
        <f>"356,6490"</f>
        <v>356,6490</v>
      </c>
      <c r="V15" s="88" t="s">
        <v>1025</v>
      </c>
    </row>
    <row r="16" spans="1:22" ht="12.75">
      <c r="A16" s="49">
        <v>0</v>
      </c>
      <c r="B16" s="87" t="s">
        <v>597</v>
      </c>
      <c r="C16" s="87" t="s">
        <v>598</v>
      </c>
      <c r="D16" s="87" t="s">
        <v>599</v>
      </c>
      <c r="E16" s="87" t="str">
        <f>"0,6158"</f>
        <v>0,6158</v>
      </c>
      <c r="F16" s="87" t="s">
        <v>29</v>
      </c>
      <c r="G16" s="87" t="s">
        <v>1000</v>
      </c>
      <c r="H16" s="70" t="s">
        <v>93</v>
      </c>
      <c r="I16" s="23" t="s">
        <v>93</v>
      </c>
      <c r="J16" s="23" t="s">
        <v>85</v>
      </c>
      <c r="K16" s="71"/>
      <c r="L16" s="70" t="s">
        <v>35</v>
      </c>
      <c r="M16" s="70" t="s">
        <v>36</v>
      </c>
      <c r="N16" s="23" t="s">
        <v>36</v>
      </c>
      <c r="O16" s="71"/>
      <c r="P16" s="70" t="s">
        <v>84</v>
      </c>
      <c r="Q16" s="71"/>
      <c r="R16" s="71"/>
      <c r="S16" s="71"/>
      <c r="T16" s="39">
        <v>0</v>
      </c>
      <c r="U16" s="87" t="str">
        <f>"0,0000"</f>
        <v>0,0000</v>
      </c>
      <c r="V16" s="87" t="s">
        <v>130</v>
      </c>
    </row>
    <row r="18" spans="2:21" ht="15.75">
      <c r="B18" s="118" t="s">
        <v>95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2" ht="12.75">
      <c r="A19" s="47">
        <v>1</v>
      </c>
      <c r="B19" s="35" t="s">
        <v>600</v>
      </c>
      <c r="C19" s="35" t="s">
        <v>601</v>
      </c>
      <c r="D19" s="35" t="s">
        <v>602</v>
      </c>
      <c r="E19" s="35" t="str">
        <f>"0,6057"</f>
        <v>0,6057</v>
      </c>
      <c r="F19" s="35" t="s">
        <v>29</v>
      </c>
      <c r="G19" s="35" t="s">
        <v>1000</v>
      </c>
      <c r="H19" s="20" t="s">
        <v>395</v>
      </c>
      <c r="I19" s="20" t="s">
        <v>546</v>
      </c>
      <c r="J19" s="20" t="s">
        <v>418</v>
      </c>
      <c r="K19" s="72"/>
      <c r="L19" s="20" t="s">
        <v>360</v>
      </c>
      <c r="M19" s="20" t="s">
        <v>25</v>
      </c>
      <c r="N19" s="20" t="s">
        <v>55</v>
      </c>
      <c r="O19" s="72"/>
      <c r="P19" s="20" t="s">
        <v>425</v>
      </c>
      <c r="Q19" s="20" t="s">
        <v>423</v>
      </c>
      <c r="R19" s="20" t="s">
        <v>603</v>
      </c>
      <c r="S19" s="72"/>
      <c r="T19" s="34">
        <v>680</v>
      </c>
      <c r="U19" s="35" t="str">
        <f>"411,8760"</f>
        <v>411,8760</v>
      </c>
      <c r="V19" s="35" t="s">
        <v>130</v>
      </c>
    </row>
    <row r="21" spans="2:21" ht="15.75">
      <c r="B21" s="118" t="s">
        <v>123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2" ht="12.75">
      <c r="A22" s="48">
        <v>1</v>
      </c>
      <c r="B22" s="86" t="s">
        <v>604</v>
      </c>
      <c r="C22" s="86" t="s">
        <v>605</v>
      </c>
      <c r="D22" s="86" t="s">
        <v>606</v>
      </c>
      <c r="E22" s="86" t="str">
        <f>"0,5728"</f>
        <v>0,5728</v>
      </c>
      <c r="F22" s="86" t="s">
        <v>875</v>
      </c>
      <c r="G22" s="86" t="s">
        <v>1003</v>
      </c>
      <c r="H22" s="66" t="s">
        <v>570</v>
      </c>
      <c r="I22" s="66" t="s">
        <v>570</v>
      </c>
      <c r="J22" s="21" t="s">
        <v>570</v>
      </c>
      <c r="K22" s="68"/>
      <c r="L22" s="21" t="s">
        <v>78</v>
      </c>
      <c r="M22" s="21" t="s">
        <v>395</v>
      </c>
      <c r="N22" s="66" t="s">
        <v>546</v>
      </c>
      <c r="O22" s="68"/>
      <c r="P22" s="21" t="s">
        <v>570</v>
      </c>
      <c r="Q22" s="21" t="s">
        <v>607</v>
      </c>
      <c r="R22" s="21" t="s">
        <v>608</v>
      </c>
      <c r="S22" s="68"/>
      <c r="T22" s="38">
        <v>840</v>
      </c>
      <c r="U22" s="86" t="str">
        <f>"481,1520"</f>
        <v>481,1520</v>
      </c>
      <c r="V22" s="86" t="s">
        <v>1027</v>
      </c>
    </row>
    <row r="23" spans="1:22" ht="12.75">
      <c r="A23" s="50">
        <v>2</v>
      </c>
      <c r="B23" s="88" t="s">
        <v>609</v>
      </c>
      <c r="C23" s="88" t="s">
        <v>610</v>
      </c>
      <c r="D23" s="88" t="s">
        <v>611</v>
      </c>
      <c r="E23" s="88" t="str">
        <f>"0,5723"</f>
        <v>0,5723</v>
      </c>
      <c r="F23" s="88" t="s">
        <v>116</v>
      </c>
      <c r="G23" s="88" t="s">
        <v>612</v>
      </c>
      <c r="H23" s="22" t="s">
        <v>567</v>
      </c>
      <c r="I23" s="22" t="s">
        <v>563</v>
      </c>
      <c r="J23" s="67" t="s">
        <v>570</v>
      </c>
      <c r="K23" s="69"/>
      <c r="L23" s="22" t="s">
        <v>55</v>
      </c>
      <c r="M23" s="22" t="s">
        <v>113</v>
      </c>
      <c r="N23" s="22" t="s">
        <v>381</v>
      </c>
      <c r="O23" s="69"/>
      <c r="P23" s="22" t="s">
        <v>613</v>
      </c>
      <c r="Q23" s="22" t="s">
        <v>614</v>
      </c>
      <c r="R23" s="22" t="s">
        <v>615</v>
      </c>
      <c r="S23" s="69"/>
      <c r="T23" s="40">
        <v>817.5</v>
      </c>
      <c r="U23" s="88" t="str">
        <f>"467,8553"</f>
        <v>467,8553</v>
      </c>
      <c r="V23" s="88" t="s">
        <v>130</v>
      </c>
    </row>
    <row r="24" spans="1:22" ht="12.75">
      <c r="A24" s="49">
        <v>3</v>
      </c>
      <c r="B24" s="87" t="s">
        <v>616</v>
      </c>
      <c r="C24" s="87" t="s">
        <v>617</v>
      </c>
      <c r="D24" s="87" t="s">
        <v>618</v>
      </c>
      <c r="E24" s="87" t="str">
        <f>"0,5780"</f>
        <v>0,5780</v>
      </c>
      <c r="F24" s="87" t="s">
        <v>1016</v>
      </c>
      <c r="G24" s="87" t="s">
        <v>1000</v>
      </c>
      <c r="H24" s="23" t="s">
        <v>570</v>
      </c>
      <c r="I24" s="23" t="s">
        <v>613</v>
      </c>
      <c r="J24" s="70" t="s">
        <v>614</v>
      </c>
      <c r="K24" s="71"/>
      <c r="L24" s="23" t="s">
        <v>85</v>
      </c>
      <c r="M24" s="23" t="s">
        <v>78</v>
      </c>
      <c r="N24" s="70" t="s">
        <v>79</v>
      </c>
      <c r="O24" s="71"/>
      <c r="P24" s="23" t="s">
        <v>603</v>
      </c>
      <c r="Q24" s="23" t="s">
        <v>473</v>
      </c>
      <c r="R24" s="70" t="s">
        <v>570</v>
      </c>
      <c r="S24" s="71"/>
      <c r="T24" s="39">
        <v>805</v>
      </c>
      <c r="U24" s="87" t="str">
        <f>"465,2900"</f>
        <v>465,2900</v>
      </c>
      <c r="V24" s="87" t="s">
        <v>130</v>
      </c>
    </row>
    <row r="26" spans="2:3" ht="18">
      <c r="B26" s="89" t="s">
        <v>146</v>
      </c>
      <c r="C26" s="89"/>
    </row>
    <row r="27" spans="2:3" ht="15.75">
      <c r="B27" s="18" t="s">
        <v>153</v>
      </c>
      <c r="C27" s="18"/>
    </row>
    <row r="28" spans="2:3" ht="13.5">
      <c r="B28" s="90"/>
      <c r="C28" s="90" t="s">
        <v>147</v>
      </c>
    </row>
    <row r="29" spans="1:6" ht="13.5">
      <c r="A29" s="81" t="s">
        <v>873</v>
      </c>
      <c r="B29" s="16" t="s">
        <v>148</v>
      </c>
      <c r="C29" s="16" t="s">
        <v>149</v>
      </c>
      <c r="D29" s="16" t="s">
        <v>150</v>
      </c>
      <c r="E29" s="16" t="s">
        <v>151</v>
      </c>
      <c r="F29" s="16" t="s">
        <v>152</v>
      </c>
    </row>
    <row r="30" spans="1:6" ht="12.75">
      <c r="A30" s="79">
        <v>1</v>
      </c>
      <c r="B30" s="36" t="s">
        <v>604</v>
      </c>
      <c r="C30" s="36" t="s">
        <v>147</v>
      </c>
      <c r="D30" s="36" t="s">
        <v>162</v>
      </c>
      <c r="E30" s="36" t="s">
        <v>619</v>
      </c>
      <c r="F30" s="80" t="s">
        <v>620</v>
      </c>
    </row>
    <row r="31" spans="1:6" ht="12.75">
      <c r="A31" s="79">
        <v>2</v>
      </c>
      <c r="B31" s="36" t="s">
        <v>609</v>
      </c>
      <c r="C31" s="36" t="s">
        <v>147</v>
      </c>
      <c r="D31" s="36" t="s">
        <v>162</v>
      </c>
      <c r="E31" s="36" t="s">
        <v>621</v>
      </c>
      <c r="F31" s="80" t="s">
        <v>622</v>
      </c>
    </row>
    <row r="32" spans="1:6" ht="12.75">
      <c r="A32" s="79">
        <v>3</v>
      </c>
      <c r="B32" s="36" t="s">
        <v>616</v>
      </c>
      <c r="C32" s="36" t="s">
        <v>147</v>
      </c>
      <c r="D32" s="36" t="s">
        <v>162</v>
      </c>
      <c r="E32" s="36" t="s">
        <v>623</v>
      </c>
      <c r="F32" s="80" t="s">
        <v>624</v>
      </c>
    </row>
    <row r="33" ht="12.75">
      <c r="F33" s="80"/>
    </row>
    <row r="34" ht="12.75">
      <c r="F34" s="80"/>
    </row>
    <row r="35" ht="12.75">
      <c r="F35" s="80"/>
    </row>
    <row r="36" ht="12.75">
      <c r="F36" s="80"/>
    </row>
    <row r="37" ht="12.75">
      <c r="F37" s="80"/>
    </row>
    <row r="38" ht="12.75">
      <c r="F38" s="80"/>
    </row>
    <row r="39" ht="12.75">
      <c r="F39" s="80"/>
    </row>
  </sheetData>
  <sheetProtection/>
  <mergeCells count="19">
    <mergeCell ref="A1:V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V3:V4"/>
    <mergeCell ref="B5:U5"/>
    <mergeCell ref="B8:U8"/>
    <mergeCell ref="B12:U12"/>
    <mergeCell ref="B21:U21"/>
    <mergeCell ref="T3:T4"/>
    <mergeCell ref="U3:U4"/>
    <mergeCell ref="P3:S3"/>
    <mergeCell ref="B18:U18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C1">
      <selection activeCell="G6" sqref="G6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375" style="36" bestFit="1" customWidth="1"/>
    <col min="8" max="10" width="5.625" style="36" bestFit="1" customWidth="1"/>
    <col min="11" max="11" width="4.625" style="36" bestFit="1" customWidth="1"/>
    <col min="12" max="14" width="5.625" style="36" bestFit="1" customWidth="1"/>
    <col min="15" max="15" width="4.625" style="36" bestFit="1" customWidth="1"/>
    <col min="16" max="18" width="5.625" style="36" bestFit="1" customWidth="1"/>
    <col min="19" max="19" width="4.625" style="36" bestFit="1" customWidth="1"/>
    <col min="20" max="20" width="7.875" style="36" bestFit="1" customWidth="1"/>
    <col min="21" max="21" width="8.625" style="36" bestFit="1" customWidth="1"/>
    <col min="22" max="22" width="15.375" style="36" bestFit="1" customWidth="1"/>
  </cols>
  <sheetData>
    <row r="1" spans="1:22" s="1" customFormat="1" ht="15" customHeight="1">
      <c r="A1" s="106" t="s">
        <v>975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s="1" customFormat="1" ht="81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2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01" t="s">
        <v>4</v>
      </c>
      <c r="U3" s="101" t="s">
        <v>6</v>
      </c>
      <c r="V3" s="103" t="s">
        <v>5</v>
      </c>
    </row>
    <row r="4" spans="1:22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2"/>
      <c r="U4" s="102"/>
      <c r="V4" s="104"/>
    </row>
    <row r="5" spans="2:21" ht="15.75">
      <c r="B5" s="105" t="s">
        <v>72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2" ht="12.75">
      <c r="A6" s="47">
        <v>1</v>
      </c>
      <c r="B6" s="35" t="s">
        <v>419</v>
      </c>
      <c r="C6" s="35" t="s">
        <v>420</v>
      </c>
      <c r="D6" s="35" t="s">
        <v>421</v>
      </c>
      <c r="E6" s="35" t="str">
        <f>"0,6103"</f>
        <v>0,6103</v>
      </c>
      <c r="F6" s="35" t="s">
        <v>416</v>
      </c>
      <c r="G6" s="35" t="s">
        <v>1000</v>
      </c>
      <c r="H6" s="72" t="s">
        <v>422</v>
      </c>
      <c r="I6" s="35" t="s">
        <v>422</v>
      </c>
      <c r="J6" s="35" t="s">
        <v>423</v>
      </c>
      <c r="K6" s="72"/>
      <c r="L6" s="20" t="s">
        <v>25</v>
      </c>
      <c r="M6" s="65" t="s">
        <v>85</v>
      </c>
      <c r="N6" s="20" t="s">
        <v>85</v>
      </c>
      <c r="O6" s="72"/>
      <c r="P6" s="20" t="s">
        <v>424</v>
      </c>
      <c r="Q6" s="20" t="s">
        <v>422</v>
      </c>
      <c r="R6" s="65" t="s">
        <v>425</v>
      </c>
      <c r="S6" s="72"/>
      <c r="T6" s="34">
        <v>690</v>
      </c>
      <c r="U6" s="35" t="str">
        <f>"421,1070"</f>
        <v>421,1070</v>
      </c>
      <c r="V6" s="35" t="s">
        <v>130</v>
      </c>
    </row>
  </sheetData>
  <sheetProtection/>
  <mergeCells count="15">
    <mergeCell ref="A1:V2"/>
    <mergeCell ref="A3:A4"/>
    <mergeCell ref="L3:O3"/>
    <mergeCell ref="P3:S3"/>
    <mergeCell ref="T3:T4"/>
    <mergeCell ref="U3:U4"/>
    <mergeCell ref="V3:V4"/>
    <mergeCell ref="B5:U5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G3" sqref="G3:G4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23.875" style="36" bestFit="1" customWidth="1"/>
    <col min="8" max="10" width="5.625" style="36" bestFit="1" customWidth="1"/>
    <col min="11" max="11" width="4.625" style="36" bestFit="1" customWidth="1"/>
    <col min="12" max="14" width="5.625" style="36" bestFit="1" customWidth="1"/>
    <col min="15" max="15" width="4.625" style="36" bestFit="1" customWidth="1"/>
    <col min="16" max="16" width="7.875" style="36" customWidth="1"/>
    <col min="17" max="17" width="8.625" style="36" bestFit="1" customWidth="1"/>
    <col min="18" max="18" width="15.375" style="36" bestFit="1" customWidth="1"/>
  </cols>
  <sheetData>
    <row r="1" spans="1:18" s="1" customFormat="1" ht="15" customHeight="1">
      <c r="A1" s="106" t="s">
        <v>976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</row>
    <row r="2" spans="1:18" s="1" customFormat="1" ht="80.2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18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2</v>
      </c>
      <c r="I3" s="101"/>
      <c r="J3" s="101"/>
      <c r="K3" s="101"/>
      <c r="L3" s="101" t="s">
        <v>3</v>
      </c>
      <c r="M3" s="101"/>
      <c r="N3" s="101"/>
      <c r="O3" s="101"/>
      <c r="P3" s="101" t="s">
        <v>4</v>
      </c>
      <c r="Q3" s="101" t="s">
        <v>6</v>
      </c>
      <c r="R3" s="103" t="s">
        <v>5</v>
      </c>
    </row>
    <row r="4" spans="1:18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02"/>
      <c r="Q4" s="102"/>
      <c r="R4" s="104"/>
    </row>
    <row r="5" spans="2:17" ht="15.75">
      <c r="B5" s="105" t="s">
        <v>141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8" ht="12.75">
      <c r="A6" s="47">
        <v>1</v>
      </c>
      <c r="B6" s="35" t="s">
        <v>657</v>
      </c>
      <c r="C6" s="35" t="s">
        <v>658</v>
      </c>
      <c r="D6" s="35" t="s">
        <v>659</v>
      </c>
      <c r="E6" s="35" t="str">
        <f>"0,5610"</f>
        <v>0,5610</v>
      </c>
      <c r="F6" s="35" t="s">
        <v>29</v>
      </c>
      <c r="G6" s="35" t="s">
        <v>660</v>
      </c>
      <c r="H6" s="20" t="s">
        <v>78</v>
      </c>
      <c r="I6" s="20" t="s">
        <v>79</v>
      </c>
      <c r="J6" s="20" t="s">
        <v>394</v>
      </c>
      <c r="K6" s="72"/>
      <c r="L6" s="65" t="s">
        <v>661</v>
      </c>
      <c r="M6" s="20" t="s">
        <v>661</v>
      </c>
      <c r="N6" s="65" t="s">
        <v>614</v>
      </c>
      <c r="O6" s="72"/>
      <c r="P6" s="34">
        <v>520</v>
      </c>
      <c r="Q6" s="35" t="str">
        <f>"291,7200"</f>
        <v>291,7200</v>
      </c>
      <c r="R6" s="35" t="s">
        <v>130</v>
      </c>
    </row>
  </sheetData>
  <sheetProtection/>
  <mergeCells count="14">
    <mergeCell ref="F3:F4"/>
    <mergeCell ref="G3:G4"/>
    <mergeCell ref="H3:K3"/>
    <mergeCell ref="L3:O3"/>
    <mergeCell ref="A1:R2"/>
    <mergeCell ref="P3:P4"/>
    <mergeCell ref="Q3:Q4"/>
    <mergeCell ref="R3:R4"/>
    <mergeCell ref="A3:A4"/>
    <mergeCell ref="B5:Q5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B1">
      <selection activeCell="N9" sqref="N9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125" style="36" bestFit="1" customWidth="1"/>
    <col min="8" max="10" width="5.625" style="36" bestFit="1" customWidth="1"/>
    <col min="11" max="11" width="4.625" style="36" bestFit="1" customWidth="1"/>
    <col min="12" max="12" width="11.875" style="36" customWidth="1"/>
    <col min="13" max="13" width="8.625" style="36" bestFit="1" customWidth="1"/>
    <col min="14" max="14" width="15.375" style="36" bestFit="1" customWidth="1"/>
  </cols>
  <sheetData>
    <row r="1" spans="1:14" s="1" customFormat="1" ht="15" customHeight="1">
      <c r="A1" s="119" t="s">
        <v>977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" customFormat="1" ht="74.2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01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02"/>
      <c r="M4" s="102"/>
      <c r="N4" s="104"/>
    </row>
    <row r="5" spans="2:13" ht="15.75">
      <c r="B5" s="105" t="s">
        <v>10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35" t="s">
        <v>699</v>
      </c>
      <c r="C6" s="35" t="s">
        <v>700</v>
      </c>
      <c r="D6" s="35" t="s">
        <v>701</v>
      </c>
      <c r="E6" s="35" t="str">
        <f>"1,1900"</f>
        <v>1,1900</v>
      </c>
      <c r="F6" s="35" t="s">
        <v>83</v>
      </c>
      <c r="G6" s="35" t="s">
        <v>1000</v>
      </c>
      <c r="H6" s="20" t="s">
        <v>213</v>
      </c>
      <c r="I6" s="20" t="s">
        <v>274</v>
      </c>
      <c r="J6" s="65" t="s">
        <v>275</v>
      </c>
      <c r="K6" s="72"/>
      <c r="L6" s="34">
        <v>80</v>
      </c>
      <c r="M6" s="35" t="str">
        <f>"95,2000"</f>
        <v>95,2000</v>
      </c>
      <c r="N6" s="35" t="s">
        <v>130</v>
      </c>
    </row>
    <row r="8" spans="2:13" ht="15.75"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4" ht="12.75">
      <c r="A9" s="47">
        <v>2</v>
      </c>
      <c r="B9" s="35" t="s">
        <v>691</v>
      </c>
      <c r="C9" s="35" t="s">
        <v>692</v>
      </c>
      <c r="D9" s="35" t="s">
        <v>693</v>
      </c>
      <c r="E9" s="35" t="str">
        <f>"0,6566"</f>
        <v>0,6566</v>
      </c>
      <c r="F9" s="35" t="s">
        <v>962</v>
      </c>
      <c r="G9" s="35" t="s">
        <v>1000</v>
      </c>
      <c r="H9" s="20" t="s">
        <v>25</v>
      </c>
      <c r="I9" s="65" t="s">
        <v>93</v>
      </c>
      <c r="J9" s="20" t="s">
        <v>381</v>
      </c>
      <c r="K9" s="72"/>
      <c r="L9" s="35">
        <v>187.5</v>
      </c>
      <c r="M9" s="35" t="str">
        <f>"123,1125"</f>
        <v>123,1125</v>
      </c>
      <c r="N9" s="35" t="s">
        <v>1028</v>
      </c>
    </row>
    <row r="11" spans="2:13" ht="15.75">
      <c r="B11" s="118" t="s">
        <v>72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4" ht="12.75">
      <c r="A12" s="47">
        <v>3</v>
      </c>
      <c r="B12" s="35" t="s">
        <v>702</v>
      </c>
      <c r="C12" s="35" t="s">
        <v>703</v>
      </c>
      <c r="D12" s="35" t="s">
        <v>82</v>
      </c>
      <c r="E12" s="35" t="str">
        <f>"0,6238"</f>
        <v>0,6238</v>
      </c>
      <c r="F12" s="35" t="s">
        <v>29</v>
      </c>
      <c r="G12" s="35" t="s">
        <v>1004</v>
      </c>
      <c r="H12" s="65" t="s">
        <v>23</v>
      </c>
      <c r="I12" s="20" t="s">
        <v>23</v>
      </c>
      <c r="J12" s="65" t="s">
        <v>77</v>
      </c>
      <c r="K12" s="72"/>
      <c r="L12" s="34">
        <v>160</v>
      </c>
      <c r="M12" s="35" t="str">
        <f>"99,8080"</f>
        <v>99,8080</v>
      </c>
      <c r="N12" s="35" t="s">
        <v>130</v>
      </c>
    </row>
  </sheetData>
  <sheetProtection/>
  <mergeCells count="15">
    <mergeCell ref="F3:F4"/>
    <mergeCell ref="G3:G4"/>
    <mergeCell ref="H3:K3"/>
    <mergeCell ref="L3:L4"/>
    <mergeCell ref="M3:M4"/>
    <mergeCell ref="A3:A4"/>
    <mergeCell ref="N3:N4"/>
    <mergeCell ref="B5:M5"/>
    <mergeCell ref="B8:M8"/>
    <mergeCell ref="B11:M11"/>
    <mergeCell ref="A1:N2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6.8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1.125" style="36" bestFit="1" customWidth="1"/>
    <col min="8" max="10" width="5.625" style="36" bestFit="1" customWidth="1"/>
    <col min="11" max="11" width="4.625" style="36" bestFit="1" customWidth="1"/>
    <col min="12" max="12" width="11.375" style="37" customWidth="1"/>
    <col min="13" max="13" width="8.625" style="36" bestFit="1" customWidth="1"/>
    <col min="14" max="14" width="15.375" style="36" bestFit="1" customWidth="1"/>
  </cols>
  <sheetData>
    <row r="1" spans="1:14" s="1" customFormat="1" ht="15" customHeight="1">
      <c r="A1" s="106" t="s">
        <v>963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3.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15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16"/>
      <c r="M4" s="102"/>
      <c r="N4" s="104"/>
    </row>
    <row r="5" spans="2:13" ht="15.75">
      <c r="B5" s="105" t="s">
        <v>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35" t="s">
        <v>705</v>
      </c>
      <c r="C6" s="35" t="s">
        <v>706</v>
      </c>
      <c r="D6" s="35" t="s">
        <v>707</v>
      </c>
      <c r="E6" s="35" t="str">
        <f>"0,6628"</f>
        <v>0,6628</v>
      </c>
      <c r="F6" s="35" t="s">
        <v>29</v>
      </c>
      <c r="G6" s="35" t="s">
        <v>1005</v>
      </c>
      <c r="H6" s="20" t="s">
        <v>85</v>
      </c>
      <c r="I6" s="20" t="s">
        <v>99</v>
      </c>
      <c r="J6" s="20" t="s">
        <v>394</v>
      </c>
      <c r="K6" s="72"/>
      <c r="L6" s="34">
        <v>210</v>
      </c>
      <c r="M6" s="35" t="str">
        <f>"143,0853"</f>
        <v>143,0853</v>
      </c>
      <c r="N6" s="35" t="s">
        <v>130</v>
      </c>
    </row>
  </sheetData>
  <sheetProtection/>
  <mergeCells count="13">
    <mergeCell ref="G3:G4"/>
    <mergeCell ref="H3:K3"/>
    <mergeCell ref="L3:L4"/>
    <mergeCell ref="M3:M4"/>
    <mergeCell ref="N3:N4"/>
    <mergeCell ref="B5:M5"/>
    <mergeCell ref="A1:N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8.75390625" style="0" customWidth="1"/>
    <col min="2" max="2" width="26.00390625" style="36" bestFit="1" customWidth="1"/>
    <col min="3" max="3" width="21.375" style="36" bestFit="1" customWidth="1"/>
    <col min="4" max="4" width="10.625" style="36" bestFit="1" customWidth="1"/>
    <col min="5" max="5" width="8.375" style="36" bestFit="1" customWidth="1"/>
    <col min="6" max="6" width="22.75390625" style="36" bestFit="1" customWidth="1"/>
    <col min="7" max="7" width="30.00390625" style="36" bestFit="1" customWidth="1"/>
    <col min="8" max="8" width="5.625" style="36" bestFit="1" customWidth="1"/>
    <col min="9" max="10" width="2.125" style="36" bestFit="1" customWidth="1"/>
    <col min="11" max="11" width="4.625" style="36" bestFit="1" customWidth="1"/>
    <col min="12" max="12" width="11.625" style="37" customWidth="1"/>
    <col min="13" max="13" width="8.625" style="36" bestFit="1" customWidth="1"/>
    <col min="14" max="14" width="17.625" style="36" bestFit="1" customWidth="1"/>
  </cols>
  <sheetData>
    <row r="1" spans="1:14" s="1" customFormat="1" ht="15" customHeight="1">
      <c r="A1" s="106" t="s">
        <v>978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78.7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0" t="s">
        <v>873</v>
      </c>
      <c r="B3" s="112" t="s">
        <v>0</v>
      </c>
      <c r="C3" s="114" t="s">
        <v>964</v>
      </c>
      <c r="D3" s="101" t="s">
        <v>971</v>
      </c>
      <c r="E3" s="101" t="s">
        <v>9</v>
      </c>
      <c r="F3" s="101" t="s">
        <v>7</v>
      </c>
      <c r="G3" s="101" t="s">
        <v>999</v>
      </c>
      <c r="H3" s="101" t="s">
        <v>1</v>
      </c>
      <c r="I3" s="101"/>
      <c r="J3" s="101"/>
      <c r="K3" s="101"/>
      <c r="L3" s="115" t="s">
        <v>883</v>
      </c>
      <c r="M3" s="101" t="s">
        <v>6</v>
      </c>
      <c r="N3" s="103" t="s">
        <v>5</v>
      </c>
    </row>
    <row r="4" spans="1:14" s="2" customFormat="1" ht="21" customHeight="1" thickBot="1">
      <c r="A4" s="111"/>
      <c r="B4" s="113"/>
      <c r="C4" s="102"/>
      <c r="D4" s="102"/>
      <c r="E4" s="102"/>
      <c r="F4" s="102"/>
      <c r="G4" s="102"/>
      <c r="H4" s="3">
        <v>1</v>
      </c>
      <c r="I4" s="3">
        <v>2</v>
      </c>
      <c r="J4" s="3">
        <v>3</v>
      </c>
      <c r="K4" s="3" t="s">
        <v>8</v>
      </c>
      <c r="L4" s="116"/>
      <c r="M4" s="102"/>
      <c r="N4" s="104"/>
    </row>
    <row r="5" spans="2:13" ht="15.75">
      <c r="B5" s="105" t="s">
        <v>72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2.75">
      <c r="A6" s="47">
        <v>1</v>
      </c>
      <c r="B6" s="35" t="s">
        <v>593</v>
      </c>
      <c r="C6" s="35" t="s">
        <v>594</v>
      </c>
      <c r="D6" s="35" t="s">
        <v>595</v>
      </c>
      <c r="E6" s="35" t="str">
        <f>"0,6257"</f>
        <v>0,6257</v>
      </c>
      <c r="F6" s="35" t="s">
        <v>596</v>
      </c>
      <c r="G6" s="35" t="s">
        <v>1000</v>
      </c>
      <c r="H6" s="20" t="s">
        <v>424</v>
      </c>
      <c r="I6" s="72"/>
      <c r="J6" s="72"/>
      <c r="K6" s="72"/>
      <c r="L6" s="34">
        <v>220</v>
      </c>
      <c r="M6" s="35" t="str">
        <f>"137,6540"</f>
        <v>137,6540</v>
      </c>
      <c r="N6" s="35" t="s">
        <v>915</v>
      </c>
    </row>
  </sheetData>
  <sheetProtection/>
  <mergeCells count="13">
    <mergeCell ref="G3:G4"/>
    <mergeCell ref="H3:K3"/>
    <mergeCell ref="L3:L4"/>
    <mergeCell ref="M3:M4"/>
    <mergeCell ref="N3:N4"/>
    <mergeCell ref="B5:M5"/>
    <mergeCell ref="A1:N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2017-01-11T00:02:29Z</dcterms:modified>
  <cp:category/>
  <cp:version/>
  <cp:contentType/>
  <cp:contentStatus/>
</cp:coreProperties>
</file>