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Жим лежа без экипировки ДК" sheetId="1" r:id="rId1"/>
    <sheet name="Жим лежа без экипировки" sheetId="2" r:id="rId2"/>
    <sheet name="Жим лежа однослой ДК" sheetId="3" r:id="rId3"/>
    <sheet name="Жим лежа однослой" sheetId="4" r:id="rId4"/>
    <sheet name="Жим лежа многослой ДК" sheetId="5" r:id="rId5"/>
    <sheet name="Жим лежа многослой" sheetId="6" r:id="rId6"/>
    <sheet name="Становая тяга в экипирове ДК" sheetId="7" r:id="rId7"/>
    <sheet name="Становая тяга в экипировке " sheetId="8" r:id="rId8"/>
    <sheet name="Становая тяга без экипировки ДК" sheetId="9" r:id="rId9"/>
    <sheet name="Становая тяга без экипировки" sheetId="10" r:id="rId10"/>
    <sheet name="Народный жим 1_2 веса ДК" sheetId="11" r:id="rId11"/>
    <sheet name="Народный жим 1 вес ДК" sheetId="12" r:id="rId12"/>
    <sheet name="Народный жим 1 вес" sheetId="13" r:id="rId13"/>
    <sheet name="Rolling Thunder" sheetId="14" r:id="rId14"/>
    <sheet name="Apollon's Axle" sheetId="15" r:id="rId15"/>
  </sheets>
  <definedNames/>
  <calcPr fullCalcOnLoad="1" refMode="R1C1"/>
</workbook>
</file>

<file path=xl/sharedStrings.xml><?xml version="1.0" encoding="utf-8"?>
<sst xmlns="http://schemas.openxmlformats.org/spreadsheetml/2006/main" count="1518" uniqueCount="517">
  <si>
    <t>ФИО</t>
  </si>
  <si>
    <t>Жим</t>
  </si>
  <si>
    <t>Тяга</t>
  </si>
  <si>
    <t>Тренер</t>
  </si>
  <si>
    <t>Очки</t>
  </si>
  <si>
    <t>Команда</t>
  </si>
  <si>
    <t>Рек</t>
  </si>
  <si>
    <t>Wilks</t>
  </si>
  <si>
    <t>ВЕСОВАЯ КАТЕГОРИЯ   60</t>
  </si>
  <si>
    <t>Михайлова Юлия</t>
  </si>
  <si>
    <t>Open (18.02.1982)/34</t>
  </si>
  <si>
    <t>59,50</t>
  </si>
  <si>
    <t xml:space="preserve">лично </t>
  </si>
  <si>
    <t xml:space="preserve">Астрахань/Астраханская область </t>
  </si>
  <si>
    <t>70,0</t>
  </si>
  <si>
    <t>77,5</t>
  </si>
  <si>
    <t>82,5</t>
  </si>
  <si>
    <t xml:space="preserve">Киселёв Алексей </t>
  </si>
  <si>
    <t>ВЕСОВАЯ КАТЕГОРИЯ   75</t>
  </si>
  <si>
    <t>Сидоров Сергей</t>
  </si>
  <si>
    <t>Open (28.05.1983)/33</t>
  </si>
  <si>
    <t>73,50</t>
  </si>
  <si>
    <t>120,0</t>
  </si>
  <si>
    <t>130,0</t>
  </si>
  <si>
    <t>135,0</t>
  </si>
  <si>
    <t>ВЕСОВАЯ КАТЕГОРИЯ   82.5</t>
  </si>
  <si>
    <t>Мухин Владислав</t>
  </si>
  <si>
    <t>Open (01.03.1983)/33</t>
  </si>
  <si>
    <t>82,40</t>
  </si>
  <si>
    <t xml:space="preserve">Камышин/Волгоградская область </t>
  </si>
  <si>
    <t>155,0</t>
  </si>
  <si>
    <t>160,0</t>
  </si>
  <si>
    <t>165,0</t>
  </si>
  <si>
    <t xml:space="preserve">Рязаева Ольга </t>
  </si>
  <si>
    <t>ВЕСОВАЯ КАТЕГОРИЯ   90</t>
  </si>
  <si>
    <t>Тараненко Владислав</t>
  </si>
  <si>
    <t>Juniors 20-23 (14.09.1994)/22</t>
  </si>
  <si>
    <t>84,90</t>
  </si>
  <si>
    <t xml:space="preserve">Котельниково/Волгоградская область </t>
  </si>
  <si>
    <t>162,5</t>
  </si>
  <si>
    <t>170,0</t>
  </si>
  <si>
    <t xml:space="preserve">Курносов Евгений </t>
  </si>
  <si>
    <t>Лопырев Александр</t>
  </si>
  <si>
    <t>Juniors 20-23 (03.01.1995)/21</t>
  </si>
  <si>
    <t>88,10</t>
  </si>
  <si>
    <t>150,0</t>
  </si>
  <si>
    <t xml:space="preserve">Давтян Артур </t>
  </si>
  <si>
    <t>Дашевский Леонид</t>
  </si>
  <si>
    <t>Open (06.02.1987)/29</t>
  </si>
  <si>
    <t>89,70</t>
  </si>
  <si>
    <t>167,5</t>
  </si>
  <si>
    <t>175,0</t>
  </si>
  <si>
    <t>180,0</t>
  </si>
  <si>
    <t>Open (14.09.1994)/22</t>
  </si>
  <si>
    <t>90,00</t>
  </si>
  <si>
    <t>ВЕСОВАЯ КАТЕГОРИЯ   100</t>
  </si>
  <si>
    <t>Василенко Михаил</t>
  </si>
  <si>
    <t>Open (24.11.1983)/32</t>
  </si>
  <si>
    <t>96,80</t>
  </si>
  <si>
    <t xml:space="preserve">Олег Козырев </t>
  </si>
  <si>
    <t>Чекалов Денис</t>
  </si>
  <si>
    <t>Open (27.10.1987)/28</t>
  </si>
  <si>
    <t>99,50</t>
  </si>
  <si>
    <t xml:space="preserve">Тарасов Алексей </t>
  </si>
  <si>
    <t>Лесняк Олег</t>
  </si>
  <si>
    <t>Open (17.05.1983)/33</t>
  </si>
  <si>
    <t>99,30</t>
  </si>
  <si>
    <t xml:space="preserve">Волжский/Волгоградская область </t>
  </si>
  <si>
    <t xml:space="preserve">Козырев Олег </t>
  </si>
  <si>
    <t>ВЕСОВАЯ КАТЕГОРИЯ   110</t>
  </si>
  <si>
    <t>Агарзаев Эльдар</t>
  </si>
  <si>
    <t>Juniors 20-23 (09.10.1993)/22</t>
  </si>
  <si>
    <t>107,00</t>
  </si>
  <si>
    <t>Евгений Белозер</t>
  </si>
  <si>
    <t>Open (19.03.1979)/37</t>
  </si>
  <si>
    <t>104,20</t>
  </si>
  <si>
    <t>200,0</t>
  </si>
  <si>
    <t>210,0</t>
  </si>
  <si>
    <t>212,5</t>
  </si>
  <si>
    <t>Кирьянов Алексей</t>
  </si>
  <si>
    <t>Open (07.04.1989)/27</t>
  </si>
  <si>
    <t>107,80</t>
  </si>
  <si>
    <t xml:space="preserve">Волгоград/Волгоградская область </t>
  </si>
  <si>
    <t>192,5</t>
  </si>
  <si>
    <t xml:space="preserve">Долгов Александр </t>
  </si>
  <si>
    <t>Заранок Кирилл</t>
  </si>
  <si>
    <t>Open (21.08.1982)/34</t>
  </si>
  <si>
    <t>110,00</t>
  </si>
  <si>
    <t>Абросимов Евгений</t>
  </si>
  <si>
    <t>Masters 50-54 (28.09.1966)/50</t>
  </si>
  <si>
    <t>185,0</t>
  </si>
  <si>
    <t>ВЕСОВАЯ КАТЕГОРИЯ   125</t>
  </si>
  <si>
    <t>Бебенин Григорий</t>
  </si>
  <si>
    <t>Open (02.04.1993)/23</t>
  </si>
  <si>
    <t>118,00</t>
  </si>
  <si>
    <t>202,5</t>
  </si>
  <si>
    <t>215,0</t>
  </si>
  <si>
    <t>222,5</t>
  </si>
  <si>
    <t xml:space="preserve">Каспаров Вадим </t>
  </si>
  <si>
    <t>Макагонов Виталий</t>
  </si>
  <si>
    <t>Open (03.02.1964)/52</t>
  </si>
  <si>
    <t>122,30</t>
  </si>
  <si>
    <t>190,0</t>
  </si>
  <si>
    <t>205,0</t>
  </si>
  <si>
    <t>Masters 50-54 (03.02.1964)/52</t>
  </si>
  <si>
    <t>ВЕСОВАЯ КАТЕГОРИЯ   140</t>
  </si>
  <si>
    <t>Малофеев Александр</t>
  </si>
  <si>
    <t>Open (06.06.1981)/35</t>
  </si>
  <si>
    <t>125,30</t>
  </si>
  <si>
    <t>140,0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</si>
  <si>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</si>
  <si>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</si>
  <si>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</si>
  <si>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</si>
  <si>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</si>
  <si>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</si>
  <si>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</si>
  <si>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110 </t>
  </si>
  <si>
    <t>128,4270</t>
  </si>
  <si>
    <t xml:space="preserve">75 </t>
  </si>
  <si>
    <t>ВЕСОВАЯ КАТЕГОРИЯ   52</t>
  </si>
  <si>
    <t>Гунаева Екатерина</t>
  </si>
  <si>
    <t>Open (18.02.1979)/37</t>
  </si>
  <si>
    <t>51,50</t>
  </si>
  <si>
    <t>55,0</t>
  </si>
  <si>
    <t>57,5</t>
  </si>
  <si>
    <t>62,5</t>
  </si>
  <si>
    <t xml:space="preserve">Раков Иван </t>
  </si>
  <si>
    <t>ВЕСОВАЯ КАТЕГОРИЯ   56</t>
  </si>
  <si>
    <t>Колесникова Лолита</t>
  </si>
  <si>
    <t>Juniors 20-23 (22.03.1995)/21</t>
  </si>
  <si>
    <t>56,00</t>
  </si>
  <si>
    <t>Руденко Екатерина</t>
  </si>
  <si>
    <t>Open (21.06.1988)/28</t>
  </si>
  <si>
    <t>50,0</t>
  </si>
  <si>
    <t>60,0</t>
  </si>
  <si>
    <t>Мелихова Дарья</t>
  </si>
  <si>
    <t>Open (02.09.1990)/26</t>
  </si>
  <si>
    <t>53,80</t>
  </si>
  <si>
    <t>52,5</t>
  </si>
  <si>
    <t>Шевырева Елена</t>
  </si>
  <si>
    <t>Masters 40-44 (03.04.1974)/42</t>
  </si>
  <si>
    <t>55,70</t>
  </si>
  <si>
    <t>Балашов Владислав</t>
  </si>
  <si>
    <t>Teenage 15-19 (19.03.2001)/15</t>
  </si>
  <si>
    <t>54,40</t>
  </si>
  <si>
    <t>75,0</t>
  </si>
  <si>
    <t>90,0</t>
  </si>
  <si>
    <t>ВЕСОВАЯ КАТЕГОРИЯ   67.5</t>
  </si>
  <si>
    <t>Медведев Леонид</t>
  </si>
  <si>
    <t>Teenage 15-19 (25.01.2000)/16</t>
  </si>
  <si>
    <t>66,20</t>
  </si>
  <si>
    <t>100,0</t>
  </si>
  <si>
    <t>105,0</t>
  </si>
  <si>
    <t>107,5</t>
  </si>
  <si>
    <t>Гадияк Олег</t>
  </si>
  <si>
    <t>Juniors 20-23 (11.05.1995)/21</t>
  </si>
  <si>
    <t>67,50</t>
  </si>
  <si>
    <t>85,0</t>
  </si>
  <si>
    <t>92,5</t>
  </si>
  <si>
    <t>Вавилов Вячеслав</t>
  </si>
  <si>
    <t>Open (02.08.1990)/26</t>
  </si>
  <si>
    <t>64,20</t>
  </si>
  <si>
    <t>110,0</t>
  </si>
  <si>
    <t>115,0</t>
  </si>
  <si>
    <t xml:space="preserve">самостоятельно </t>
  </si>
  <si>
    <t>Абузов Иван</t>
  </si>
  <si>
    <t>Open (17.02.1991)/25</t>
  </si>
  <si>
    <t>65,20</t>
  </si>
  <si>
    <t>125,0</t>
  </si>
  <si>
    <t>Заплаткин Иван</t>
  </si>
  <si>
    <t>Juniors 20-23 (06.04.1995)/21</t>
  </si>
  <si>
    <t>74,30</t>
  </si>
  <si>
    <t>112,5</t>
  </si>
  <si>
    <t>Подкуйко Андрей</t>
  </si>
  <si>
    <t>Open (31.05.1988)/28</t>
  </si>
  <si>
    <t>73,80</t>
  </si>
  <si>
    <t>137,5</t>
  </si>
  <si>
    <t>142,5</t>
  </si>
  <si>
    <t>147,5</t>
  </si>
  <si>
    <t>Худяков Иван</t>
  </si>
  <si>
    <t>Open (20.07.1992)/24</t>
  </si>
  <si>
    <t>74,00</t>
  </si>
  <si>
    <t>Лешков Сергей</t>
  </si>
  <si>
    <t>Open (14.07.1991)/25</t>
  </si>
  <si>
    <t>72,00</t>
  </si>
  <si>
    <t>Чуваков Данил</t>
  </si>
  <si>
    <t>Teenage 15-19 (27.08.2000)/16</t>
  </si>
  <si>
    <t>81,00</t>
  </si>
  <si>
    <t>145,0</t>
  </si>
  <si>
    <t>Козюлин Сергей</t>
  </si>
  <si>
    <t>Teenage 15-19 (10.12.1997)/18</t>
  </si>
  <si>
    <t>81,60</t>
  </si>
  <si>
    <t>132,5</t>
  </si>
  <si>
    <t>Акифьев Олег</t>
  </si>
  <si>
    <t>Juniors 20-23 (17.04.1993)/23</t>
  </si>
  <si>
    <t>80,20</t>
  </si>
  <si>
    <t xml:space="preserve">Бебенин Григорий </t>
  </si>
  <si>
    <t>Максимов Сергей</t>
  </si>
  <si>
    <t>Juniors 20-23 (15.01.1996)/20</t>
  </si>
  <si>
    <t>79,40</t>
  </si>
  <si>
    <t>127,5</t>
  </si>
  <si>
    <t>Гудков Иван</t>
  </si>
  <si>
    <t>Open (16.03.1992)/24</t>
  </si>
  <si>
    <t>82,00</t>
  </si>
  <si>
    <t xml:space="preserve">Решетов Николай </t>
  </si>
  <si>
    <t>Галич Сергей</t>
  </si>
  <si>
    <t>Open (03.06.1991)/25</t>
  </si>
  <si>
    <t>81,30</t>
  </si>
  <si>
    <t xml:space="preserve">Подолян Антон </t>
  </si>
  <si>
    <t>Смирнов Денис</t>
  </si>
  <si>
    <t>Open (16.05.1992)/24</t>
  </si>
  <si>
    <t>87,60</t>
  </si>
  <si>
    <t>152,5</t>
  </si>
  <si>
    <t>Шелестов Василий</t>
  </si>
  <si>
    <t>Open (11.11.1975)/40</t>
  </si>
  <si>
    <t>99,80</t>
  </si>
  <si>
    <t>Козюлин Владимир</t>
  </si>
  <si>
    <t>Open (09.01.1979)/37</t>
  </si>
  <si>
    <t>96,70</t>
  </si>
  <si>
    <t>Усманов Фарид</t>
  </si>
  <si>
    <t>Open (17.06.1988)/28</t>
  </si>
  <si>
    <t>93,00</t>
  </si>
  <si>
    <t>Вольский Руслан</t>
  </si>
  <si>
    <t>Open (17.08.1977)/39</t>
  </si>
  <si>
    <t>97,40</t>
  </si>
  <si>
    <t>117,5</t>
  </si>
  <si>
    <t>122,5</t>
  </si>
  <si>
    <t xml:space="preserve">Александр Онищук </t>
  </si>
  <si>
    <t>Клименков Владимир</t>
  </si>
  <si>
    <t>Open (08.06.1984)/32</t>
  </si>
  <si>
    <t>98,10</t>
  </si>
  <si>
    <t>Masters 40-44 (11.11.1975)/40</t>
  </si>
  <si>
    <t>Бондаренко Александр</t>
  </si>
  <si>
    <t>Juniors 20-23 (29.03.1994)/22</t>
  </si>
  <si>
    <t>107,30</t>
  </si>
  <si>
    <t>172,5</t>
  </si>
  <si>
    <t>Воробьев Александр</t>
  </si>
  <si>
    <t>Juniors 20-23 (20.10.1993)/22</t>
  </si>
  <si>
    <t>108,30</t>
  </si>
  <si>
    <t xml:space="preserve">Ризаева Ольга </t>
  </si>
  <si>
    <t>Метрищев Абдул-Рашид</t>
  </si>
  <si>
    <t>Open (10.01.1974)/42</t>
  </si>
  <si>
    <t>101,20</t>
  </si>
  <si>
    <t>195,0</t>
  </si>
  <si>
    <t>Гонжал Дмитрий</t>
  </si>
  <si>
    <t>Open (18.04.1986)/30</t>
  </si>
  <si>
    <t>100,90</t>
  </si>
  <si>
    <t>Мирсагатов Михаил</t>
  </si>
  <si>
    <t>Open (21.03.1982)/34</t>
  </si>
  <si>
    <t>106,00</t>
  </si>
  <si>
    <t>Masters 40-44 (10.01.1974)/42</t>
  </si>
  <si>
    <t>Дерябин Александр</t>
  </si>
  <si>
    <t>Teenage 15-19 (03.11.1997)/18</t>
  </si>
  <si>
    <t>121,30</t>
  </si>
  <si>
    <t xml:space="preserve">Швецов Станислав </t>
  </si>
  <si>
    <t>115,7290</t>
  </si>
  <si>
    <t>Решетов Николай</t>
  </si>
  <si>
    <t>Open (23.02.1959)/57</t>
  </si>
  <si>
    <t>88,70</t>
  </si>
  <si>
    <t>Masters 55-59 (23.02.1959)/57</t>
  </si>
  <si>
    <t>Костенко Алексей</t>
  </si>
  <si>
    <t>Open (15.10.1982)/33</t>
  </si>
  <si>
    <t>122,20</t>
  </si>
  <si>
    <t>230,0</t>
  </si>
  <si>
    <t>250,0</t>
  </si>
  <si>
    <t>Нефедова Елена</t>
  </si>
  <si>
    <t>Masters 40-44 (04.05.1972)/44</t>
  </si>
  <si>
    <t>66,90</t>
  </si>
  <si>
    <t>95,0</t>
  </si>
  <si>
    <t>Сергеев Сергей</t>
  </si>
  <si>
    <t>Open (06.04.1974)/42</t>
  </si>
  <si>
    <t>119,00</t>
  </si>
  <si>
    <t>220,0</t>
  </si>
  <si>
    <t>Masters 40-44 (06.04.1974)/42</t>
  </si>
  <si>
    <t>Раков Иван</t>
  </si>
  <si>
    <t>Open (31.05.1992)/24</t>
  </si>
  <si>
    <t>85,00</t>
  </si>
  <si>
    <t>225,0</t>
  </si>
  <si>
    <t>240,0</t>
  </si>
  <si>
    <t>Тарасов Алексей</t>
  </si>
  <si>
    <t>Open (21.03.1976)/40</t>
  </si>
  <si>
    <t>123,70</t>
  </si>
  <si>
    <t>280,0</t>
  </si>
  <si>
    <t>300,0</t>
  </si>
  <si>
    <t>Гузев Павел</t>
  </si>
  <si>
    <t>Open (29.05.1966)/50</t>
  </si>
  <si>
    <t>124,40</t>
  </si>
  <si>
    <t>260,0</t>
  </si>
  <si>
    <t>272,5</t>
  </si>
  <si>
    <t>Masters 50-54 (29.05.1966)/50</t>
  </si>
  <si>
    <t>Малиновская Виктория</t>
  </si>
  <si>
    <t>Open (05.10.1983)/33</t>
  </si>
  <si>
    <t>55,10</t>
  </si>
  <si>
    <t>Пичугин Николай</t>
  </si>
  <si>
    <t>Juniors 20-23 (30.07.1993)/23</t>
  </si>
  <si>
    <t>66,80</t>
  </si>
  <si>
    <t>Юрлов Николай</t>
  </si>
  <si>
    <t>Open (26.06.1982)/34</t>
  </si>
  <si>
    <t>197,5</t>
  </si>
  <si>
    <t>207,5</t>
  </si>
  <si>
    <t>Чурушкин Роман</t>
  </si>
  <si>
    <t>Teenage 15-19 (04.11.1999)/16</t>
  </si>
  <si>
    <t>73,20</t>
  </si>
  <si>
    <t>Куличков Владимир</t>
  </si>
  <si>
    <t>Teenage 15-19 (21.06.2000)/16</t>
  </si>
  <si>
    <t>Аннушкин Владислав</t>
  </si>
  <si>
    <t>Open (06.11.1990)/25</t>
  </si>
  <si>
    <t>74,90</t>
  </si>
  <si>
    <t>Быков Вячеслав</t>
  </si>
  <si>
    <t>Juniors 20-23 (29.03.1993)/23</t>
  </si>
  <si>
    <t>85,90</t>
  </si>
  <si>
    <t>Курносов Евгений</t>
  </si>
  <si>
    <t>Open (28.03.1991)/25</t>
  </si>
  <si>
    <t>290,0</t>
  </si>
  <si>
    <t>Юрьев Сергей</t>
  </si>
  <si>
    <t>Juniors 20-23 (17.10.1993)/22</t>
  </si>
  <si>
    <t>96,90</t>
  </si>
  <si>
    <t>Морев Алексей</t>
  </si>
  <si>
    <t>Masters 45-49 (20.10.1967)/48</t>
  </si>
  <si>
    <t>94,70</t>
  </si>
  <si>
    <t>Киселев Алексей</t>
  </si>
  <si>
    <t>Open (27.04.1974)/42</t>
  </si>
  <si>
    <t>270,0</t>
  </si>
  <si>
    <t>Трепшин Валентин</t>
  </si>
  <si>
    <t>Open (10.06.1987)/29</t>
  </si>
  <si>
    <t>118,40</t>
  </si>
  <si>
    <t>295,0</t>
  </si>
  <si>
    <t>305,0</t>
  </si>
  <si>
    <t xml:space="preserve">Казанцев Юрий </t>
  </si>
  <si>
    <t>185,1360</t>
  </si>
  <si>
    <t>ВЕСОВАЯ КАТЕГОРИЯ   48</t>
  </si>
  <si>
    <t>Горб Татьяна</t>
  </si>
  <si>
    <t>Teenage 15-19 (10.05.1998)/18</t>
  </si>
  <si>
    <t>47,90</t>
  </si>
  <si>
    <t>Ризаева Ольга</t>
  </si>
  <si>
    <t>Open (29.04.1975)/41</t>
  </si>
  <si>
    <t xml:space="preserve">Самостоятельно </t>
  </si>
  <si>
    <t>ВЕСОВАЯ КАТЕГОРИЯ   90+</t>
  </si>
  <si>
    <t>Хабарова Виктория</t>
  </si>
  <si>
    <t>Teenage 15-19 (07.12.1997)/18</t>
  </si>
  <si>
    <t>125,00</t>
  </si>
  <si>
    <t xml:space="preserve">Никитин Сергей </t>
  </si>
  <si>
    <t>Разнополов Андрей</t>
  </si>
  <si>
    <t>Juniors 20-23 (05.07.1995)/21</t>
  </si>
  <si>
    <t>55,90</t>
  </si>
  <si>
    <t>Дамбинов Александр</t>
  </si>
  <si>
    <t>67,20</t>
  </si>
  <si>
    <t xml:space="preserve">Элиста/Калмыкия </t>
  </si>
  <si>
    <t>Юдин Владислав</t>
  </si>
  <si>
    <t>Juniors 20-23 (12.01.1995)/21</t>
  </si>
  <si>
    <t>73,40</t>
  </si>
  <si>
    <t>182,5</t>
  </si>
  <si>
    <t>Бадаков Тамерлан</t>
  </si>
  <si>
    <t>Juniors 20-23 (22.01.1994)/22</t>
  </si>
  <si>
    <t>73,60</t>
  </si>
  <si>
    <t>Никитин Сергей</t>
  </si>
  <si>
    <t>Open (28.03.1964)/52</t>
  </si>
  <si>
    <t>70,30</t>
  </si>
  <si>
    <t>Курбанов Хамдам</t>
  </si>
  <si>
    <t>Open (21.12.1982)/33</t>
  </si>
  <si>
    <t>71,30</t>
  </si>
  <si>
    <t>Masters 50-54 (28.03.1964)/52</t>
  </si>
  <si>
    <t>Ивченко Владислав</t>
  </si>
  <si>
    <t>Teenage 15-19 (22.07.1998)/18</t>
  </si>
  <si>
    <t>81,40</t>
  </si>
  <si>
    <t>Магомедов Магомед</t>
  </si>
  <si>
    <t>Teenage 15-19 (13.07.1998)/18</t>
  </si>
  <si>
    <t>81,80</t>
  </si>
  <si>
    <t>Кульченко Сергей</t>
  </si>
  <si>
    <t>Juniors 20-23 (25.02.1994)/22</t>
  </si>
  <si>
    <t>232,5</t>
  </si>
  <si>
    <t>Juniors 20-23 (04.05.1994)/22</t>
  </si>
  <si>
    <t>77,70</t>
  </si>
  <si>
    <t>Open (25.02.1994)/22</t>
  </si>
  <si>
    <t>Афанасьев Сергей</t>
  </si>
  <si>
    <t>Open (02.05.1990)/26</t>
  </si>
  <si>
    <t>78,10</t>
  </si>
  <si>
    <t>Евдокимов Михаил</t>
  </si>
  <si>
    <t>Open (04.06.1989)/27</t>
  </si>
  <si>
    <t>87,40</t>
  </si>
  <si>
    <t>Сергеев Максим</t>
  </si>
  <si>
    <t>Open (27.01.1992)/24</t>
  </si>
  <si>
    <t>88,00</t>
  </si>
  <si>
    <t>Науменко Алексей</t>
  </si>
  <si>
    <t>Open (15.07.1986)/30</t>
  </si>
  <si>
    <t>82,90</t>
  </si>
  <si>
    <t>Асеев Сергей</t>
  </si>
  <si>
    <t>Open (14.06.1980)/36</t>
  </si>
  <si>
    <t>94,60</t>
  </si>
  <si>
    <t>Бородин Андрей</t>
  </si>
  <si>
    <t>Open (01.02.1992)/24</t>
  </si>
  <si>
    <t>104,80</t>
  </si>
  <si>
    <t>247,5</t>
  </si>
  <si>
    <t>255,0</t>
  </si>
  <si>
    <t>Баушев Владимир</t>
  </si>
  <si>
    <t>Open (17.03.1977)/39</t>
  </si>
  <si>
    <t>105,70</t>
  </si>
  <si>
    <t>Коваль Никита</t>
  </si>
  <si>
    <t>Open (05.11.1990)/25</t>
  </si>
  <si>
    <t>109,90</t>
  </si>
  <si>
    <t>Володин Михаил</t>
  </si>
  <si>
    <t>Open (21.10.1986)/29</t>
  </si>
  <si>
    <t>108,00</t>
  </si>
  <si>
    <t>Цуриков Сергей</t>
  </si>
  <si>
    <t>275,0</t>
  </si>
  <si>
    <t>Попов Роман</t>
  </si>
  <si>
    <t>Open (19.09.1988)/28</t>
  </si>
  <si>
    <t>112,80</t>
  </si>
  <si>
    <t>165,6190</t>
  </si>
  <si>
    <t>130,2180</t>
  </si>
  <si>
    <t>164,3180</t>
  </si>
  <si>
    <t>Пичугин Олег</t>
  </si>
  <si>
    <t>Masters 50-54 (02.04.1966)/50</t>
  </si>
  <si>
    <t>91,00</t>
  </si>
  <si>
    <t>265,0</t>
  </si>
  <si>
    <t>287,5</t>
  </si>
  <si>
    <t>Дамбинов Игорь</t>
  </si>
  <si>
    <t>Masters 55-59 (14.03.1961)/55</t>
  </si>
  <si>
    <t>126,30</t>
  </si>
  <si>
    <t>137,3</t>
  </si>
  <si>
    <t>137,4</t>
  </si>
  <si>
    <t>0</t>
  </si>
  <si>
    <t>Волгоград/Волгоградская область</t>
  </si>
  <si>
    <t>Козырев Олег</t>
  </si>
  <si>
    <t xml:space="preserve">Никитин Сергей  </t>
  </si>
  <si>
    <t>Реутов Михаил</t>
  </si>
  <si>
    <t>Долгов Александр</t>
  </si>
  <si>
    <t>Белозер Евгений</t>
  </si>
  <si>
    <t>Козыррев Олег</t>
  </si>
  <si>
    <t xml:space="preserve">Онищук Александр </t>
  </si>
  <si>
    <t>Котельниково/Волгоградская область</t>
  </si>
  <si>
    <t xml:space="preserve">Адамович Александр </t>
  </si>
  <si>
    <t>81,50</t>
  </si>
  <si>
    <t>Open (28.06.1986)/30</t>
  </si>
  <si>
    <t>Агеев Владимир</t>
  </si>
  <si>
    <t>Gloss</t>
  </si>
  <si>
    <t>32,5</t>
  </si>
  <si>
    <t>64,60</t>
  </si>
  <si>
    <t>Open (08.08.1984)/32</t>
  </si>
  <si>
    <t>Тарасенко Оксана</t>
  </si>
  <si>
    <t>27,5</t>
  </si>
  <si>
    <t>104,00</t>
  </si>
  <si>
    <t>Open (07.05.1981)/35</t>
  </si>
  <si>
    <t>Новокщенов Дмитрий</t>
  </si>
  <si>
    <t>83,30</t>
  </si>
  <si>
    <t>Masters 40-49 (23.12.1970)/45</t>
  </si>
  <si>
    <t>Адамович Александр</t>
  </si>
  <si>
    <t>г.Волжский/Волгоградская область</t>
  </si>
  <si>
    <t>89,30</t>
  </si>
  <si>
    <t>Open (10.04.1979)/37</t>
  </si>
  <si>
    <t>Провоторов Александр</t>
  </si>
  <si>
    <t>60,70</t>
  </si>
  <si>
    <t>Juniors 20-23 (03.07.1997)/19</t>
  </si>
  <si>
    <t>Котломин Дмитрий</t>
  </si>
  <si>
    <t>59,90</t>
  </si>
  <si>
    <t>Open (29.05.1991)/25</t>
  </si>
  <si>
    <t>Шишов Александр</t>
  </si>
  <si>
    <t>Повторы</t>
  </si>
  <si>
    <t>Вес</t>
  </si>
  <si>
    <t>63,0</t>
  </si>
  <si>
    <t>60,5</t>
  </si>
  <si>
    <t>53,0</t>
  </si>
  <si>
    <t>Master 40+ (19.01.1972)/44</t>
  </si>
  <si>
    <t>Лавриков Дмитрий</t>
  </si>
  <si>
    <t>Open (19.01.1972)/44</t>
  </si>
  <si>
    <t>58,0</t>
  </si>
  <si>
    <t>43,0</t>
  </si>
  <si>
    <t>40,0</t>
  </si>
  <si>
    <t>35,5</t>
  </si>
  <si>
    <t>ВЕСОВАЯ КАТЕГОРИЯ   80</t>
  </si>
  <si>
    <t>3</t>
  </si>
  <si>
    <t>2</t>
  </si>
  <si>
    <t>1</t>
  </si>
  <si>
    <t>120</t>
  </si>
  <si>
    <t>Open (08.07.1988)/28</t>
  </si>
  <si>
    <t>Леонов Павел</t>
  </si>
  <si>
    <t>Место</t>
  </si>
  <si>
    <t>Весовая категория               Дата рождения/возраст</t>
  </si>
  <si>
    <t>Собств. вес</t>
  </si>
  <si>
    <t>Город/ область</t>
  </si>
  <si>
    <t>Результат</t>
  </si>
  <si>
    <t>Masters 80+ (12.03.1936)/80</t>
  </si>
  <si>
    <t xml:space="preserve">90,0 </t>
  </si>
  <si>
    <t>Самостоятельно</t>
  </si>
  <si>
    <t xml:space="preserve">100,0 </t>
  </si>
  <si>
    <t>2000</t>
  </si>
  <si>
    <t xml:space="preserve">125,0 </t>
  </si>
  <si>
    <t>13</t>
  </si>
  <si>
    <t>1072,5</t>
  </si>
  <si>
    <t>Тоннаж</t>
  </si>
  <si>
    <t>83</t>
  </si>
  <si>
    <t>35</t>
  </si>
  <si>
    <t>39</t>
  </si>
  <si>
    <t>31</t>
  </si>
  <si>
    <t>23</t>
  </si>
  <si>
    <t>32</t>
  </si>
  <si>
    <t>27</t>
  </si>
  <si>
    <t>29</t>
  </si>
  <si>
    <t>Город/область</t>
  </si>
  <si>
    <t>Черный яр/Астраханская область</t>
  </si>
  <si>
    <t>Всероссийский мастерский турнир "Высокое напряжение" IPL                                                           Становая тяга в экипировке ДК
г. Волжский, 08 - 09 октября 2016 г.</t>
  </si>
  <si>
    <t>Всероссийский мастерский турнир "Высокое напряжение" IPL                                                          Становая тяга в экипировке 
г. Волжский, 08 - 09 октября 2016 г.</t>
  </si>
  <si>
    <t>Всероссийский мастерский турнир "Высокое напряжение" IPL                                                                      Становая тяга без экипировки ДК
г. Волжский, 08 - 09 октября 2016 г.</t>
  </si>
  <si>
    <t>Всероссийский мастерский турнир "Высокое напряжение" IPL                                                                  Становая тяга без экипировки 
г. Волжский, 08 - 09 октября 2016 г.</t>
  </si>
  <si>
    <t xml:space="preserve"> </t>
  </si>
  <si>
    <t>Всероссийский мастерский турнир "Высокое напряжение" IPL                                                          Жим лежа в многослойной экипировке ДК
г. Волжский, 08 - 09 октября 2016 г.</t>
  </si>
  <si>
    <t>Всероссийский мастерский турнир "Высокое напряжение" IPL                                                          Жим лежа в многослойной экипировке 
г. Волжский, 08 - 09 октября 2016 г.</t>
  </si>
  <si>
    <t>Всероссийский мастерский турнир "Высокое напряжение" IPL                                                         Жим лежа в однослойной экипировке ДК
г. Волжский, 08 - 09 октября 2016 г.</t>
  </si>
  <si>
    <t>Всероссийский мастерский турнир "Высокое напряжение" IPL                                                           Жим лежа в однослойной экипировке 
г. Волжский, 08 - 09 октября 2016 г.</t>
  </si>
  <si>
    <t>Всероссийский мастерский турнир "Высокое напряжение" IPL                                                                    Жим лежа без экипировки ДК
г. Волжский, 08 - 09 октября 2016 г.</t>
  </si>
  <si>
    <t>Всероссийский мастерский турнир "Высокое напряжение" IPL                                                                     Жим лежа без экипировки
г. Волжский, 08 - 09 октября 2016 г.</t>
  </si>
  <si>
    <t>Всероссийский мастерский турнир "Высокое напряжение"                                                                 Народный жим (1/2 вес) ДК
г. Волжский, 08 - 09 октября 2016 г.</t>
  </si>
  <si>
    <t>Всероссийский мастерский турнир "Высокое напряжение"                                                                   Народный жим (1 вес) ДК
г. Волжский, 08 - 09 октября 2016 г.</t>
  </si>
  <si>
    <t>Всероссийский мастерский турнир "Высокое напряжение"                                                               Народный жим (1 вес) ДК
г. Волжский, 08 - 09 октября 2016 г.</t>
  </si>
  <si>
    <t>Всероссийский мастерский турнир "Высокое напряжение"                                                                          Apollon's Axle
г. Волжский, 08 - 09 октября 2016 г.</t>
  </si>
  <si>
    <t>Всероссийский мастерский турнир "Высокое напряжение"                                                                         Rolling Thunder
г. Волжский, 08 - 09 октября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</si>
</sst>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33" borderId="0" xfId="0" applyNumberFormat="1" applyFill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47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7" fillId="33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47" fillId="33" borderId="14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47" fillId="0" borderId="12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10" fillId="33" borderId="12" xfId="0" applyNumberFormat="1" applyFont="1" applyFill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B1" sqref="B1:N2"/>
    </sheetView>
  </sheetViews>
  <sheetFormatPr defaultColWidth="8.75390625" defaultRowHeight="12.75"/>
  <cols>
    <col min="1" max="1" width="9.125" style="30" customWidth="1"/>
    <col min="2" max="2" width="20.625" style="11" customWidth="1"/>
    <col min="3" max="3" width="27.125" style="11" bestFit="1" customWidth="1"/>
    <col min="4" max="4" width="10.625" style="11" bestFit="1" customWidth="1"/>
    <col min="5" max="5" width="8.375" style="11" bestFit="1" customWidth="1"/>
    <col min="6" max="6" width="13.625" style="11" customWidth="1"/>
    <col min="7" max="7" width="34.75390625" style="11" bestFit="1" customWidth="1"/>
    <col min="8" max="10" width="5.625" style="36" bestFit="1" customWidth="1"/>
    <col min="11" max="11" width="4.625" style="36" bestFit="1" customWidth="1"/>
    <col min="12" max="12" width="11.125" style="59" customWidth="1"/>
    <col min="13" max="13" width="8.625" style="36" bestFit="1" customWidth="1"/>
    <col min="14" max="14" width="21.75390625" style="11" customWidth="1"/>
  </cols>
  <sheetData>
    <row r="1" spans="1:14" s="1" customFormat="1" ht="15" customHeight="1">
      <c r="A1" s="60"/>
      <c r="B1" s="104" t="s">
        <v>510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4.7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1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120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121</v>
      </c>
      <c r="C6" s="12" t="s">
        <v>122</v>
      </c>
      <c r="D6" s="12" t="s">
        <v>123</v>
      </c>
      <c r="E6" s="12" t="str">
        <f>"1,2560"</f>
        <v>1,2560</v>
      </c>
      <c r="F6" s="12" t="s">
        <v>12</v>
      </c>
      <c r="G6" s="12" t="s">
        <v>82</v>
      </c>
      <c r="H6" s="31" t="s">
        <v>124</v>
      </c>
      <c r="I6" s="31" t="s">
        <v>125</v>
      </c>
      <c r="J6" s="34" t="s">
        <v>126</v>
      </c>
      <c r="K6" s="32"/>
      <c r="L6" s="66">
        <v>57.5</v>
      </c>
      <c r="M6" s="33" t="str">
        <f>"72,2200"</f>
        <v>72,2200</v>
      </c>
      <c r="N6" s="12" t="s">
        <v>127</v>
      </c>
    </row>
    <row r="8" spans="2:13" ht="15.75">
      <c r="B8" s="103" t="s">
        <v>128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30">
        <v>1</v>
      </c>
      <c r="B9" s="13" t="s">
        <v>129</v>
      </c>
      <c r="C9" s="13" t="s">
        <v>130</v>
      </c>
      <c r="D9" s="13" t="s">
        <v>131</v>
      </c>
      <c r="E9" s="13" t="str">
        <f>"1,1766"</f>
        <v>1,1766</v>
      </c>
      <c r="F9" s="13" t="s">
        <v>12</v>
      </c>
      <c r="G9" s="13" t="s">
        <v>82</v>
      </c>
      <c r="H9" s="39" t="s">
        <v>124</v>
      </c>
      <c r="I9" s="63" t="s">
        <v>126</v>
      </c>
      <c r="J9" s="63" t="s">
        <v>126</v>
      </c>
      <c r="K9" s="63"/>
      <c r="L9" s="67">
        <v>55</v>
      </c>
      <c r="M9" s="42" t="str">
        <f>"64,7130"</f>
        <v>64,7130</v>
      </c>
      <c r="N9" s="13" t="s">
        <v>425</v>
      </c>
    </row>
    <row r="10" spans="1:14" ht="12.75">
      <c r="A10" s="30">
        <v>1</v>
      </c>
      <c r="B10" s="14" t="s">
        <v>132</v>
      </c>
      <c r="C10" s="14" t="s">
        <v>133</v>
      </c>
      <c r="D10" s="14" t="s">
        <v>131</v>
      </c>
      <c r="E10" s="14" t="str">
        <f>"1,1766"</f>
        <v>1,1766</v>
      </c>
      <c r="F10" s="14" t="s">
        <v>12</v>
      </c>
      <c r="G10" s="14" t="s">
        <v>67</v>
      </c>
      <c r="H10" s="48" t="s">
        <v>134</v>
      </c>
      <c r="I10" s="48" t="s">
        <v>124</v>
      </c>
      <c r="J10" s="64" t="s">
        <v>135</v>
      </c>
      <c r="K10" s="64"/>
      <c r="L10" s="68">
        <v>55</v>
      </c>
      <c r="M10" s="51" t="str">
        <f>"64,7130"</f>
        <v>64,7130</v>
      </c>
      <c r="N10" s="14" t="s">
        <v>68</v>
      </c>
    </row>
    <row r="11" spans="1:14" ht="12.75">
      <c r="A11" s="30">
        <v>2</v>
      </c>
      <c r="B11" s="14" t="s">
        <v>136</v>
      </c>
      <c r="C11" s="14" t="s">
        <v>137</v>
      </c>
      <c r="D11" s="14" t="s">
        <v>138</v>
      </c>
      <c r="E11" s="14" t="str">
        <f>"1,2141"</f>
        <v>1,2141</v>
      </c>
      <c r="F11" s="14" t="s">
        <v>12</v>
      </c>
      <c r="G11" s="14" t="s">
        <v>82</v>
      </c>
      <c r="H11" s="64" t="s">
        <v>134</v>
      </c>
      <c r="I11" s="64" t="s">
        <v>139</v>
      </c>
      <c r="J11" s="48" t="s">
        <v>139</v>
      </c>
      <c r="K11" s="50"/>
      <c r="L11" s="68">
        <v>52.5</v>
      </c>
      <c r="M11" s="51" t="str">
        <f>"63,7403"</f>
        <v>63,7403</v>
      </c>
      <c r="N11" s="14" t="s">
        <v>427</v>
      </c>
    </row>
    <row r="12" spans="1:14" ht="12.75">
      <c r="A12" s="30">
        <v>1</v>
      </c>
      <c r="B12" s="15" t="s">
        <v>140</v>
      </c>
      <c r="C12" s="15" t="s">
        <v>141</v>
      </c>
      <c r="D12" s="15" t="s">
        <v>142</v>
      </c>
      <c r="E12" s="15" t="str">
        <f>"1,1816"</f>
        <v>1,1816</v>
      </c>
      <c r="F12" s="15" t="s">
        <v>12</v>
      </c>
      <c r="G12" s="15" t="s">
        <v>82</v>
      </c>
      <c r="H12" s="43" t="s">
        <v>134</v>
      </c>
      <c r="I12" s="43" t="s">
        <v>124</v>
      </c>
      <c r="J12" s="65" t="s">
        <v>126</v>
      </c>
      <c r="K12" s="44"/>
      <c r="L12" s="69">
        <v>55</v>
      </c>
      <c r="M12" s="46" t="str">
        <f>"65,8978"</f>
        <v>65,8978</v>
      </c>
      <c r="N12" s="15" t="s">
        <v>68</v>
      </c>
    </row>
    <row r="14" spans="2:13" ht="15.75">
      <c r="B14" s="103" t="s">
        <v>128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2.75">
      <c r="A15" s="30">
        <v>1</v>
      </c>
      <c r="B15" s="12" t="s">
        <v>143</v>
      </c>
      <c r="C15" s="12" t="s">
        <v>144</v>
      </c>
      <c r="D15" s="12" t="s">
        <v>145</v>
      </c>
      <c r="E15" s="12" t="str">
        <f>"0,9369"</f>
        <v>0,9369</v>
      </c>
      <c r="F15" s="12" t="s">
        <v>12</v>
      </c>
      <c r="G15" s="12" t="s">
        <v>82</v>
      </c>
      <c r="H15" s="31" t="s">
        <v>146</v>
      </c>
      <c r="I15" s="31" t="s">
        <v>16</v>
      </c>
      <c r="J15" s="32" t="s">
        <v>147</v>
      </c>
      <c r="K15" s="32"/>
      <c r="L15" s="66">
        <v>82.5</v>
      </c>
      <c r="M15" s="33" t="str">
        <f>"77,2943"</f>
        <v>77,2943</v>
      </c>
      <c r="N15" s="12" t="s">
        <v>127</v>
      </c>
    </row>
    <row r="17" spans="2:13" ht="15.75">
      <c r="B17" s="103" t="s">
        <v>148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4" ht="12.75">
      <c r="A18" s="30">
        <v>1</v>
      </c>
      <c r="B18" s="13" t="s">
        <v>149</v>
      </c>
      <c r="C18" s="13" t="s">
        <v>150</v>
      </c>
      <c r="D18" s="13" t="s">
        <v>151</v>
      </c>
      <c r="E18" s="13" t="str">
        <f>"0,7832"</f>
        <v>0,7832</v>
      </c>
      <c r="F18" s="13" t="s">
        <v>12</v>
      </c>
      <c r="G18" s="13" t="s">
        <v>82</v>
      </c>
      <c r="H18" s="39" t="s">
        <v>152</v>
      </c>
      <c r="I18" s="39" t="s">
        <v>153</v>
      </c>
      <c r="J18" s="39" t="s">
        <v>154</v>
      </c>
      <c r="K18" s="40"/>
      <c r="L18" s="67">
        <v>107.5</v>
      </c>
      <c r="M18" s="42" t="str">
        <f>"84,1940"</f>
        <v>84,1940</v>
      </c>
      <c r="N18" s="13" t="s">
        <v>427</v>
      </c>
    </row>
    <row r="19" spans="1:14" ht="12.75">
      <c r="A19" s="30">
        <v>1</v>
      </c>
      <c r="B19" s="14" t="s">
        <v>155</v>
      </c>
      <c r="C19" s="14" t="s">
        <v>156</v>
      </c>
      <c r="D19" s="14" t="s">
        <v>157</v>
      </c>
      <c r="E19" s="14" t="str">
        <f>"0,7710"</f>
        <v>0,7710</v>
      </c>
      <c r="F19" s="14" t="s">
        <v>12</v>
      </c>
      <c r="G19" s="14" t="s">
        <v>82</v>
      </c>
      <c r="H19" s="48" t="s">
        <v>158</v>
      </c>
      <c r="I19" s="64" t="s">
        <v>159</v>
      </c>
      <c r="J19" s="64" t="s">
        <v>159</v>
      </c>
      <c r="K19" s="50"/>
      <c r="L19" s="68">
        <v>85</v>
      </c>
      <c r="M19" s="51" t="str">
        <f>"65,5350"</f>
        <v>65,5350</v>
      </c>
      <c r="N19" s="14" t="s">
        <v>342</v>
      </c>
    </row>
    <row r="20" spans="1:14" ht="12.75">
      <c r="A20" s="30">
        <v>1</v>
      </c>
      <c r="B20" s="14" t="s">
        <v>160</v>
      </c>
      <c r="C20" s="14" t="s">
        <v>161</v>
      </c>
      <c r="D20" s="14" t="s">
        <v>162</v>
      </c>
      <c r="E20" s="14" t="str">
        <f>"0,8035"</f>
        <v>0,8035</v>
      </c>
      <c r="F20" s="14" t="s">
        <v>12</v>
      </c>
      <c r="G20" s="14" t="s">
        <v>67</v>
      </c>
      <c r="H20" s="48" t="s">
        <v>163</v>
      </c>
      <c r="I20" s="51" t="s">
        <v>164</v>
      </c>
      <c r="J20" s="64" t="s">
        <v>22</v>
      </c>
      <c r="K20" s="50"/>
      <c r="L20" s="68">
        <v>115</v>
      </c>
      <c r="M20" s="51" t="str">
        <f>"92,4025"</f>
        <v>92,4025</v>
      </c>
      <c r="N20" s="14" t="s">
        <v>337</v>
      </c>
    </row>
    <row r="21" spans="1:14" ht="12.75">
      <c r="A21" s="30">
        <v>2</v>
      </c>
      <c r="B21" s="15" t="s">
        <v>166</v>
      </c>
      <c r="C21" s="15" t="s">
        <v>167</v>
      </c>
      <c r="D21" s="15" t="s">
        <v>168</v>
      </c>
      <c r="E21" s="15" t="str">
        <f>"0,7932"</f>
        <v>0,7932</v>
      </c>
      <c r="F21" s="15" t="s">
        <v>12</v>
      </c>
      <c r="G21" s="15" t="s">
        <v>82</v>
      </c>
      <c r="H21" s="43" t="s">
        <v>164</v>
      </c>
      <c r="I21" s="65" t="s">
        <v>169</v>
      </c>
      <c r="J21" s="65" t="s">
        <v>169</v>
      </c>
      <c r="K21" s="65"/>
      <c r="L21" s="69">
        <v>115</v>
      </c>
      <c r="M21" s="46" t="str">
        <f>"91,2180"</f>
        <v>91,2180</v>
      </c>
      <c r="N21" s="15" t="s">
        <v>337</v>
      </c>
    </row>
    <row r="23" spans="2:13" ht="15.75">
      <c r="B23" s="103" t="s">
        <v>18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4" ht="12.75">
      <c r="A24" s="30">
        <v>1</v>
      </c>
      <c r="B24" s="13" t="s">
        <v>170</v>
      </c>
      <c r="C24" s="13" t="s">
        <v>171</v>
      </c>
      <c r="D24" s="13" t="s">
        <v>172</v>
      </c>
      <c r="E24" s="13" t="str">
        <f>"0,7173"</f>
        <v>0,7173</v>
      </c>
      <c r="F24" s="13" t="s">
        <v>12</v>
      </c>
      <c r="G24" s="13" t="s">
        <v>67</v>
      </c>
      <c r="H24" s="39" t="s">
        <v>152</v>
      </c>
      <c r="I24" s="39" t="s">
        <v>154</v>
      </c>
      <c r="J24" s="63" t="s">
        <v>173</v>
      </c>
      <c r="K24" s="40"/>
      <c r="L24" s="67">
        <v>107.5</v>
      </c>
      <c r="M24" s="42" t="str">
        <f>"77,1097"</f>
        <v>77,1097</v>
      </c>
      <c r="N24" s="13" t="s">
        <v>428</v>
      </c>
    </row>
    <row r="25" spans="1:14" ht="12.75">
      <c r="A25" s="30">
        <v>1</v>
      </c>
      <c r="B25" s="14" t="s">
        <v>174</v>
      </c>
      <c r="C25" s="14" t="s">
        <v>175</v>
      </c>
      <c r="D25" s="14" t="s">
        <v>176</v>
      </c>
      <c r="E25" s="14" t="str">
        <f>"0,7207"</f>
        <v>0,7207</v>
      </c>
      <c r="F25" s="14" t="s">
        <v>12</v>
      </c>
      <c r="G25" s="14" t="s">
        <v>82</v>
      </c>
      <c r="H25" s="48" t="s">
        <v>177</v>
      </c>
      <c r="I25" s="48" t="s">
        <v>178</v>
      </c>
      <c r="J25" s="48" t="s">
        <v>179</v>
      </c>
      <c r="K25" s="50"/>
      <c r="L25" s="68">
        <v>147.5</v>
      </c>
      <c r="M25" s="51" t="str">
        <f>"106,3033"</f>
        <v>106,3033</v>
      </c>
      <c r="N25" s="14" t="s">
        <v>337</v>
      </c>
    </row>
    <row r="26" spans="1:14" ht="12.75">
      <c r="A26" s="30">
        <v>2</v>
      </c>
      <c r="B26" s="14" t="s">
        <v>180</v>
      </c>
      <c r="C26" s="14" t="s">
        <v>181</v>
      </c>
      <c r="D26" s="14" t="s">
        <v>182</v>
      </c>
      <c r="E26" s="14" t="str">
        <f>"0,7193"</f>
        <v>0,7193</v>
      </c>
      <c r="F26" s="14" t="s">
        <v>12</v>
      </c>
      <c r="G26" s="14" t="s">
        <v>67</v>
      </c>
      <c r="H26" s="64" t="s">
        <v>24</v>
      </c>
      <c r="I26" s="48" t="s">
        <v>24</v>
      </c>
      <c r="J26" s="64" t="s">
        <v>109</v>
      </c>
      <c r="K26" s="64"/>
      <c r="L26" s="68">
        <v>135</v>
      </c>
      <c r="M26" s="51" t="str">
        <f>"97,1055"</f>
        <v>97,1055</v>
      </c>
      <c r="N26" s="14" t="s">
        <v>337</v>
      </c>
    </row>
    <row r="27" spans="1:14" ht="12.75">
      <c r="A27" s="30">
        <v>3</v>
      </c>
      <c r="B27" s="15" t="s">
        <v>183</v>
      </c>
      <c r="C27" s="15" t="s">
        <v>184</v>
      </c>
      <c r="D27" s="15" t="s">
        <v>185</v>
      </c>
      <c r="E27" s="15" t="str">
        <f>"0,7337"</f>
        <v>0,7337</v>
      </c>
      <c r="F27" s="15" t="s">
        <v>12</v>
      </c>
      <c r="G27" s="15" t="s">
        <v>82</v>
      </c>
      <c r="H27" s="43" t="s">
        <v>154</v>
      </c>
      <c r="I27" s="43" t="s">
        <v>173</v>
      </c>
      <c r="J27" s="65" t="s">
        <v>164</v>
      </c>
      <c r="K27" s="65"/>
      <c r="L27" s="69">
        <v>112.5</v>
      </c>
      <c r="M27" s="46" t="str">
        <f>"82,5412"</f>
        <v>82,5412</v>
      </c>
      <c r="N27" s="15" t="s">
        <v>427</v>
      </c>
    </row>
    <row r="29" spans="2:13" ht="15.75">
      <c r="B29" s="103" t="s">
        <v>25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4" ht="12.75">
      <c r="A30" s="30">
        <v>1</v>
      </c>
      <c r="B30" s="13" t="s">
        <v>186</v>
      </c>
      <c r="C30" s="13" t="s">
        <v>187</v>
      </c>
      <c r="D30" s="13" t="s">
        <v>188</v>
      </c>
      <c r="E30" s="13" t="str">
        <f>"0,6774"</f>
        <v>0,6774</v>
      </c>
      <c r="F30" s="13" t="s">
        <v>12</v>
      </c>
      <c r="G30" s="13" t="s">
        <v>67</v>
      </c>
      <c r="H30" s="39" t="s">
        <v>23</v>
      </c>
      <c r="I30" s="39" t="s">
        <v>109</v>
      </c>
      <c r="J30" s="39" t="s">
        <v>189</v>
      </c>
      <c r="K30" s="71"/>
      <c r="L30" s="67">
        <v>145</v>
      </c>
      <c r="M30" s="42" t="str">
        <f>"98,2230"</f>
        <v>98,2230</v>
      </c>
      <c r="N30" s="13" t="s">
        <v>165</v>
      </c>
    </row>
    <row r="31" spans="1:14" ht="12.75">
      <c r="A31" s="30">
        <v>2</v>
      </c>
      <c r="B31" s="14" t="s">
        <v>190</v>
      </c>
      <c r="C31" s="14" t="s">
        <v>191</v>
      </c>
      <c r="D31" s="14" t="s">
        <v>192</v>
      </c>
      <c r="E31" s="14" t="str">
        <f>"0,6744"</f>
        <v>0,6744</v>
      </c>
      <c r="F31" s="14" t="s">
        <v>12</v>
      </c>
      <c r="G31" s="14" t="s">
        <v>82</v>
      </c>
      <c r="H31" s="48" t="s">
        <v>193</v>
      </c>
      <c r="I31" s="64" t="s">
        <v>189</v>
      </c>
      <c r="J31" s="64" t="s">
        <v>189</v>
      </c>
      <c r="K31" s="50"/>
      <c r="L31" s="68">
        <v>132.5</v>
      </c>
      <c r="M31" s="51" t="str">
        <f>"89,3580"</f>
        <v>89,3580</v>
      </c>
      <c r="N31" s="14" t="s">
        <v>427</v>
      </c>
    </row>
    <row r="32" spans="1:14" ht="12.75">
      <c r="A32" s="30">
        <v>1</v>
      </c>
      <c r="B32" s="14" t="s">
        <v>194</v>
      </c>
      <c r="C32" s="14" t="s">
        <v>195</v>
      </c>
      <c r="D32" s="14" t="s">
        <v>196</v>
      </c>
      <c r="E32" s="14" t="str">
        <f>"0,6816"</f>
        <v>0,6816</v>
      </c>
      <c r="F32" s="14" t="s">
        <v>12</v>
      </c>
      <c r="G32" s="14" t="s">
        <v>82</v>
      </c>
      <c r="H32" s="48" t="s">
        <v>23</v>
      </c>
      <c r="I32" s="48" t="s">
        <v>24</v>
      </c>
      <c r="J32" s="64" t="s">
        <v>109</v>
      </c>
      <c r="K32" s="50"/>
      <c r="L32" s="68">
        <v>135</v>
      </c>
      <c r="M32" s="51" t="str">
        <f>"92,0160"</f>
        <v>92,0160</v>
      </c>
      <c r="N32" s="14" t="s">
        <v>197</v>
      </c>
    </row>
    <row r="33" spans="2:14" ht="12.75">
      <c r="B33" s="14" t="s">
        <v>198</v>
      </c>
      <c r="C33" s="14" t="s">
        <v>199</v>
      </c>
      <c r="D33" s="14" t="s">
        <v>200</v>
      </c>
      <c r="E33" s="14" t="str">
        <f>"0,6860"</f>
        <v>0,6860</v>
      </c>
      <c r="F33" s="14" t="s">
        <v>12</v>
      </c>
      <c r="G33" s="14" t="s">
        <v>82</v>
      </c>
      <c r="H33" s="64" t="s">
        <v>201</v>
      </c>
      <c r="I33" s="64" t="s">
        <v>201</v>
      </c>
      <c r="J33" s="64" t="s">
        <v>201</v>
      </c>
      <c r="K33" s="50"/>
      <c r="L33" s="73">
        <v>0</v>
      </c>
      <c r="M33" s="51" t="s">
        <v>422</v>
      </c>
      <c r="N33" s="14" t="s">
        <v>337</v>
      </c>
    </row>
    <row r="34" spans="1:14" ht="12.75">
      <c r="A34" s="30">
        <v>1</v>
      </c>
      <c r="B34" s="14" t="s">
        <v>202</v>
      </c>
      <c r="C34" s="14" t="s">
        <v>203</v>
      </c>
      <c r="D34" s="14" t="s">
        <v>204</v>
      </c>
      <c r="E34" s="14" t="str">
        <f>"0,6724"</f>
        <v>0,6724</v>
      </c>
      <c r="F34" s="14" t="s">
        <v>12</v>
      </c>
      <c r="G34" s="14" t="s">
        <v>67</v>
      </c>
      <c r="H34" s="48" t="s">
        <v>45</v>
      </c>
      <c r="I34" s="48" t="s">
        <v>31</v>
      </c>
      <c r="J34" s="64" t="s">
        <v>32</v>
      </c>
      <c r="K34" s="50"/>
      <c r="L34" s="68">
        <v>160</v>
      </c>
      <c r="M34" s="51" t="str">
        <f>"107,5840"</f>
        <v>107,5840</v>
      </c>
      <c r="N34" s="14" t="s">
        <v>205</v>
      </c>
    </row>
    <row r="35" spans="1:14" ht="12.75">
      <c r="A35" s="30">
        <v>2</v>
      </c>
      <c r="B35" s="15" t="s">
        <v>206</v>
      </c>
      <c r="C35" s="15" t="s">
        <v>207</v>
      </c>
      <c r="D35" s="15" t="s">
        <v>208</v>
      </c>
      <c r="E35" s="15" t="str">
        <f>"0,6759"</f>
        <v>0,6759</v>
      </c>
      <c r="F35" s="15" t="s">
        <v>12</v>
      </c>
      <c r="G35" s="15" t="s">
        <v>82</v>
      </c>
      <c r="H35" s="43" t="s">
        <v>24</v>
      </c>
      <c r="I35" s="43" t="s">
        <v>109</v>
      </c>
      <c r="J35" s="65" t="s">
        <v>189</v>
      </c>
      <c r="K35" s="44"/>
      <c r="L35" s="69">
        <v>140</v>
      </c>
      <c r="M35" s="46" t="str">
        <f>"94,6260"</f>
        <v>94,6260</v>
      </c>
      <c r="N35" s="15" t="s">
        <v>209</v>
      </c>
    </row>
    <row r="36" ht="12.75">
      <c r="J36" s="72"/>
    </row>
    <row r="37" spans="2:13" ht="15.75">
      <c r="B37" s="103" t="s">
        <v>34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4" ht="12.75">
      <c r="A38" s="30">
        <v>1</v>
      </c>
      <c r="B38" s="12" t="s">
        <v>210</v>
      </c>
      <c r="C38" s="12" t="s">
        <v>211</v>
      </c>
      <c r="D38" s="12" t="s">
        <v>212</v>
      </c>
      <c r="E38" s="12" t="str">
        <f>"0,6475"</f>
        <v>0,6475</v>
      </c>
      <c r="F38" s="12" t="s">
        <v>12</v>
      </c>
      <c r="G38" s="12" t="s">
        <v>67</v>
      </c>
      <c r="H38" s="31" t="s">
        <v>178</v>
      </c>
      <c r="I38" s="31" t="s">
        <v>179</v>
      </c>
      <c r="J38" s="31" t="s">
        <v>213</v>
      </c>
      <c r="K38" s="32"/>
      <c r="L38" s="66">
        <v>152.5</v>
      </c>
      <c r="M38" s="33" t="str">
        <f>"98,7437"</f>
        <v>98,7437</v>
      </c>
      <c r="N38" s="12" t="s">
        <v>337</v>
      </c>
    </row>
    <row r="40" spans="2:13" ht="15.75">
      <c r="B40" s="103" t="s">
        <v>55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1:14" ht="12.75">
      <c r="A41" s="30">
        <v>1</v>
      </c>
      <c r="B41" s="13" t="s">
        <v>214</v>
      </c>
      <c r="C41" s="13" t="s">
        <v>215</v>
      </c>
      <c r="D41" s="13" t="s">
        <v>216</v>
      </c>
      <c r="E41" s="13" t="str">
        <f>"0,6091"</f>
        <v>0,6091</v>
      </c>
      <c r="F41" s="13" t="s">
        <v>12</v>
      </c>
      <c r="G41" s="13" t="s">
        <v>38</v>
      </c>
      <c r="H41" s="39" t="s">
        <v>90</v>
      </c>
      <c r="I41" s="39" t="s">
        <v>102</v>
      </c>
      <c r="J41" s="63" t="s">
        <v>83</v>
      </c>
      <c r="K41" s="63"/>
      <c r="L41" s="67">
        <v>190</v>
      </c>
      <c r="M41" s="42" t="str">
        <f>"115,7290"</f>
        <v>115,7290</v>
      </c>
      <c r="N41" s="13" t="s">
        <v>41</v>
      </c>
    </row>
    <row r="42" spans="1:14" ht="12.75">
      <c r="A42" s="30">
        <v>2</v>
      </c>
      <c r="B42" s="14" t="s">
        <v>217</v>
      </c>
      <c r="C42" s="14" t="s">
        <v>218</v>
      </c>
      <c r="D42" s="14" t="s">
        <v>219</v>
      </c>
      <c r="E42" s="14" t="str">
        <f>"0,6172"</f>
        <v>0,6172</v>
      </c>
      <c r="F42" s="14" t="s">
        <v>12</v>
      </c>
      <c r="G42" s="14" t="s">
        <v>82</v>
      </c>
      <c r="H42" s="64" t="s">
        <v>39</v>
      </c>
      <c r="I42" s="48" t="s">
        <v>39</v>
      </c>
      <c r="J42" s="64" t="s">
        <v>90</v>
      </c>
      <c r="K42" s="64"/>
      <c r="L42" s="68">
        <v>162.5</v>
      </c>
      <c r="M42" s="51" t="str">
        <f>"100,2950"</f>
        <v>100,2950</v>
      </c>
      <c r="N42" s="14" t="s">
        <v>427</v>
      </c>
    </row>
    <row r="43" spans="1:14" ht="12.75">
      <c r="A43" s="30">
        <v>3</v>
      </c>
      <c r="B43" s="14" t="s">
        <v>220</v>
      </c>
      <c r="C43" s="14" t="s">
        <v>221</v>
      </c>
      <c r="D43" s="14" t="s">
        <v>222</v>
      </c>
      <c r="E43" s="14" t="str">
        <f>"0,6282"</f>
        <v>0,6282</v>
      </c>
      <c r="F43" s="14" t="s">
        <v>12</v>
      </c>
      <c r="G43" s="14" t="s">
        <v>67</v>
      </c>
      <c r="H43" s="64" t="s">
        <v>109</v>
      </c>
      <c r="I43" s="64" t="s">
        <v>45</v>
      </c>
      <c r="J43" s="48" t="s">
        <v>45</v>
      </c>
      <c r="K43" s="50"/>
      <c r="L43" s="68">
        <v>150</v>
      </c>
      <c r="M43" s="51" t="str">
        <f>"94,2300"</f>
        <v>94,2300</v>
      </c>
      <c r="N43" s="14" t="s">
        <v>337</v>
      </c>
    </row>
    <row r="44" spans="1:14" ht="12.75">
      <c r="A44" s="30">
        <v>4</v>
      </c>
      <c r="B44" s="14" t="s">
        <v>223</v>
      </c>
      <c r="C44" s="14" t="s">
        <v>224</v>
      </c>
      <c r="D44" s="14" t="s">
        <v>225</v>
      </c>
      <c r="E44" s="14" t="str">
        <f>"0,6152"</f>
        <v>0,6152</v>
      </c>
      <c r="F44" s="14" t="s">
        <v>12</v>
      </c>
      <c r="G44" s="14" t="s">
        <v>82</v>
      </c>
      <c r="H44" s="48" t="s">
        <v>226</v>
      </c>
      <c r="I44" s="48" t="s">
        <v>227</v>
      </c>
      <c r="J44" s="48" t="s">
        <v>23</v>
      </c>
      <c r="K44" s="50"/>
      <c r="L44" s="68">
        <v>130</v>
      </c>
      <c r="M44" s="51" t="str">
        <f>"79,9760"</f>
        <v>79,9760</v>
      </c>
      <c r="N44" s="14" t="s">
        <v>228</v>
      </c>
    </row>
    <row r="45" spans="2:14" ht="12.75">
      <c r="B45" s="14" t="s">
        <v>229</v>
      </c>
      <c r="C45" s="14" t="s">
        <v>230</v>
      </c>
      <c r="D45" s="14" t="s">
        <v>231</v>
      </c>
      <c r="E45" s="14" t="str">
        <f>"0,6134"</f>
        <v>0,6134</v>
      </c>
      <c r="F45" s="14" t="s">
        <v>12</v>
      </c>
      <c r="G45" s="14" t="s">
        <v>82</v>
      </c>
      <c r="H45" s="64" t="s">
        <v>77</v>
      </c>
      <c r="I45" s="64" t="s">
        <v>77</v>
      </c>
      <c r="J45" s="64" t="s">
        <v>77</v>
      </c>
      <c r="K45" s="50"/>
      <c r="L45" s="73">
        <v>0</v>
      </c>
      <c r="M45" s="51" t="s">
        <v>422</v>
      </c>
      <c r="N45" s="14" t="s">
        <v>426</v>
      </c>
    </row>
    <row r="46" spans="1:14" ht="12.75">
      <c r="A46" s="30">
        <v>1</v>
      </c>
      <c r="B46" s="15" t="s">
        <v>214</v>
      </c>
      <c r="C46" s="15" t="s">
        <v>232</v>
      </c>
      <c r="D46" s="15" t="s">
        <v>216</v>
      </c>
      <c r="E46" s="15" t="str">
        <f>"0,6091"</f>
        <v>0,6091</v>
      </c>
      <c r="F46" s="15" t="s">
        <v>12</v>
      </c>
      <c r="G46" s="15" t="s">
        <v>38</v>
      </c>
      <c r="H46" s="43" t="s">
        <v>90</v>
      </c>
      <c r="I46" s="43" t="s">
        <v>102</v>
      </c>
      <c r="J46" s="65" t="s">
        <v>83</v>
      </c>
      <c r="K46" s="44"/>
      <c r="L46" s="69">
        <v>190</v>
      </c>
      <c r="M46" s="46" t="str">
        <f>"115,7290"</f>
        <v>115,7290</v>
      </c>
      <c r="N46" s="15" t="s">
        <v>41</v>
      </c>
    </row>
    <row r="48" spans="2:13" ht="15.75">
      <c r="B48" s="103" t="s">
        <v>69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4" ht="12.75">
      <c r="A49" s="30">
        <v>1</v>
      </c>
      <c r="B49" s="13" t="s">
        <v>233</v>
      </c>
      <c r="C49" s="13" t="s">
        <v>234</v>
      </c>
      <c r="D49" s="13" t="s">
        <v>235</v>
      </c>
      <c r="E49" s="13" t="str">
        <f>"0,5932"</f>
        <v>0,5932</v>
      </c>
      <c r="F49" s="13" t="s">
        <v>12</v>
      </c>
      <c r="G49" s="13" t="s">
        <v>500</v>
      </c>
      <c r="H49" s="39" t="s">
        <v>31</v>
      </c>
      <c r="I49" s="39" t="s">
        <v>50</v>
      </c>
      <c r="J49" s="63" t="s">
        <v>236</v>
      </c>
      <c r="K49" s="40"/>
      <c r="L49" s="67">
        <v>167.5</v>
      </c>
      <c r="M49" s="42" t="str">
        <f>"99,3610"</f>
        <v>99,3610</v>
      </c>
      <c r="N49" s="13" t="s">
        <v>337</v>
      </c>
    </row>
    <row r="50" spans="1:14" ht="12.75">
      <c r="A50" s="30">
        <v>2</v>
      </c>
      <c r="B50" s="14" t="s">
        <v>237</v>
      </c>
      <c r="C50" s="14" t="s">
        <v>238</v>
      </c>
      <c r="D50" s="14" t="s">
        <v>239</v>
      </c>
      <c r="E50" s="14" t="str">
        <f>"0,5914"</f>
        <v>0,5914</v>
      </c>
      <c r="F50" s="14" t="s">
        <v>12</v>
      </c>
      <c r="G50" s="14" t="s">
        <v>29</v>
      </c>
      <c r="H50" s="48" t="s">
        <v>179</v>
      </c>
      <c r="I50" s="48" t="s">
        <v>213</v>
      </c>
      <c r="J50" s="64" t="s">
        <v>30</v>
      </c>
      <c r="K50" s="50"/>
      <c r="L50" s="68">
        <v>152.5</v>
      </c>
      <c r="M50" s="51" t="str">
        <f>"90,1885"</f>
        <v>90,1885</v>
      </c>
      <c r="N50" s="14" t="s">
        <v>240</v>
      </c>
    </row>
    <row r="51" spans="1:14" ht="12.75">
      <c r="A51" s="30">
        <v>1</v>
      </c>
      <c r="B51" s="14" t="s">
        <v>241</v>
      </c>
      <c r="C51" s="14" t="s">
        <v>242</v>
      </c>
      <c r="D51" s="14" t="s">
        <v>243</v>
      </c>
      <c r="E51" s="14" t="str">
        <f>"0,6057"</f>
        <v>0,6057</v>
      </c>
      <c r="F51" s="14" t="s">
        <v>12</v>
      </c>
      <c r="G51" s="14" t="s">
        <v>38</v>
      </c>
      <c r="H51" s="48" t="s">
        <v>90</v>
      </c>
      <c r="I51" s="64" t="s">
        <v>83</v>
      </c>
      <c r="J51" s="64" t="s">
        <v>244</v>
      </c>
      <c r="K51" s="50"/>
      <c r="L51" s="68">
        <v>185</v>
      </c>
      <c r="M51" s="51" t="str">
        <f>"112,0545"</f>
        <v>112,0545</v>
      </c>
      <c r="N51" s="14" t="s">
        <v>41</v>
      </c>
    </row>
    <row r="52" spans="1:14" ht="12.75">
      <c r="A52" s="30">
        <v>2</v>
      </c>
      <c r="B52" s="14" t="s">
        <v>245</v>
      </c>
      <c r="C52" s="14" t="s">
        <v>246</v>
      </c>
      <c r="D52" s="14" t="s">
        <v>247</v>
      </c>
      <c r="E52" s="14" t="str">
        <f>"0,6064"</f>
        <v>0,6064</v>
      </c>
      <c r="F52" s="14" t="s">
        <v>12</v>
      </c>
      <c r="G52" s="14" t="s">
        <v>82</v>
      </c>
      <c r="H52" s="48" t="s">
        <v>45</v>
      </c>
      <c r="I52" s="48" t="s">
        <v>31</v>
      </c>
      <c r="J52" s="64" t="s">
        <v>32</v>
      </c>
      <c r="K52" s="50"/>
      <c r="L52" s="68">
        <v>160</v>
      </c>
      <c r="M52" s="51" t="str">
        <f>"97,0240"</f>
        <v>97,0240</v>
      </c>
      <c r="N52" s="14" t="s">
        <v>337</v>
      </c>
    </row>
    <row r="53" spans="2:14" ht="12.75">
      <c r="B53" s="14" t="s">
        <v>248</v>
      </c>
      <c r="C53" s="14" t="s">
        <v>249</v>
      </c>
      <c r="D53" s="14" t="s">
        <v>250</v>
      </c>
      <c r="E53" s="14" t="str">
        <f>"0,5956"</f>
        <v>0,5956</v>
      </c>
      <c r="F53" s="14" t="s">
        <v>12</v>
      </c>
      <c r="G53" s="14" t="s">
        <v>82</v>
      </c>
      <c r="H53" s="64" t="s">
        <v>51</v>
      </c>
      <c r="I53" s="64" t="s">
        <v>51</v>
      </c>
      <c r="J53" s="64" t="s">
        <v>51</v>
      </c>
      <c r="K53" s="50"/>
      <c r="L53" s="73">
        <v>0</v>
      </c>
      <c r="M53" s="51" t="s">
        <v>422</v>
      </c>
      <c r="N53" s="14" t="s">
        <v>426</v>
      </c>
    </row>
    <row r="54" spans="1:14" ht="12.75">
      <c r="A54" s="30">
        <v>1</v>
      </c>
      <c r="B54" s="15" t="s">
        <v>241</v>
      </c>
      <c r="C54" s="15" t="s">
        <v>251</v>
      </c>
      <c r="D54" s="15" t="s">
        <v>243</v>
      </c>
      <c r="E54" s="15" t="str">
        <f>"0,6057"</f>
        <v>0,6057</v>
      </c>
      <c r="F54" s="15" t="s">
        <v>12</v>
      </c>
      <c r="G54" s="15" t="s">
        <v>38</v>
      </c>
      <c r="H54" s="43" t="s">
        <v>90</v>
      </c>
      <c r="I54" s="65" t="s">
        <v>83</v>
      </c>
      <c r="J54" s="65" t="s">
        <v>244</v>
      </c>
      <c r="K54" s="44"/>
      <c r="L54" s="69">
        <v>185</v>
      </c>
      <c r="M54" s="46" t="str">
        <f>"113,6233"</f>
        <v>113,6233</v>
      </c>
      <c r="N54" s="15" t="s">
        <v>41</v>
      </c>
    </row>
    <row r="56" spans="2:13" ht="15.75">
      <c r="B56" s="103" t="s">
        <v>91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1:14" ht="12.75">
      <c r="A57" s="30">
        <v>1</v>
      </c>
      <c r="B57" s="12" t="s">
        <v>252</v>
      </c>
      <c r="C57" s="12" t="s">
        <v>253</v>
      </c>
      <c r="D57" s="12" t="s">
        <v>254</v>
      </c>
      <c r="E57" s="12" t="str">
        <f>"0,5735"</f>
        <v>0,5735</v>
      </c>
      <c r="F57" s="12" t="s">
        <v>12</v>
      </c>
      <c r="G57" s="12" t="s">
        <v>67</v>
      </c>
      <c r="H57" s="34" t="s">
        <v>189</v>
      </c>
      <c r="I57" s="31" t="s">
        <v>189</v>
      </c>
      <c r="J57" s="31" t="s">
        <v>213</v>
      </c>
      <c r="K57" s="32"/>
      <c r="L57" s="66">
        <v>152.5</v>
      </c>
      <c r="M57" s="33" t="str">
        <f>"87,4587"</f>
        <v>87,4587</v>
      </c>
      <c r="N57" s="12" t="s">
        <v>255</v>
      </c>
    </row>
    <row r="59" spans="2:3" ht="18">
      <c r="B59" s="17" t="s">
        <v>110</v>
      </c>
      <c r="C59" s="17"/>
    </row>
    <row r="60" spans="2:3" ht="13.5">
      <c r="B60" s="20"/>
      <c r="C60" s="21" t="s">
        <v>505</v>
      </c>
    </row>
    <row r="61" spans="2:6" ht="13.5">
      <c r="B61" s="22" t="s">
        <v>112</v>
      </c>
      <c r="C61" s="22" t="s">
        <v>113</v>
      </c>
      <c r="D61" s="22" t="s">
        <v>114</v>
      </c>
      <c r="E61" s="22" t="s">
        <v>115</v>
      </c>
      <c r="F61" s="22" t="s">
        <v>116</v>
      </c>
    </row>
    <row r="62" spans="1:6" ht="12.75">
      <c r="A62" s="30">
        <v>1</v>
      </c>
      <c r="B62" s="19" t="s">
        <v>214</v>
      </c>
      <c r="C62" s="35" t="s">
        <v>111</v>
      </c>
      <c r="D62" s="36" t="s">
        <v>485</v>
      </c>
      <c r="E62" s="36" t="s">
        <v>102</v>
      </c>
      <c r="F62" s="36" t="s">
        <v>256</v>
      </c>
    </row>
  </sheetData>
  <sheetProtection/>
  <mergeCells count="22">
    <mergeCell ref="A3:A4"/>
    <mergeCell ref="B5:M5"/>
    <mergeCell ref="B8:M8"/>
    <mergeCell ref="B14:M14"/>
    <mergeCell ref="M3:M4"/>
    <mergeCell ref="B40:M40"/>
    <mergeCell ref="F3:F4"/>
    <mergeCell ref="G3:G4"/>
    <mergeCell ref="H3:K3"/>
    <mergeCell ref="B1:N2"/>
    <mergeCell ref="B3:B4"/>
    <mergeCell ref="C3:C4"/>
    <mergeCell ref="D3:D4"/>
    <mergeCell ref="E3:E4"/>
    <mergeCell ref="B48:M48"/>
    <mergeCell ref="N3:N4"/>
    <mergeCell ref="L3:L4"/>
    <mergeCell ref="B56:M56"/>
    <mergeCell ref="B17:M17"/>
    <mergeCell ref="B23:M23"/>
    <mergeCell ref="B29:M29"/>
    <mergeCell ref="B37:M37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G10" sqref="G10"/>
    </sheetView>
  </sheetViews>
  <sheetFormatPr defaultColWidth="8.75390625" defaultRowHeight="12.75"/>
  <cols>
    <col min="1" max="1" width="9.125" style="30" customWidth="1"/>
    <col min="2" max="2" width="20.625" style="11" customWidth="1"/>
    <col min="3" max="3" width="27.125" style="11" bestFit="1" customWidth="1"/>
    <col min="4" max="4" width="11.00390625" style="11" customWidth="1"/>
    <col min="5" max="5" width="7.25390625" style="11" customWidth="1"/>
    <col min="6" max="6" width="14.125" style="11" customWidth="1"/>
    <col min="7" max="7" width="33.125" style="11" customWidth="1"/>
    <col min="8" max="10" width="5.625" style="36" bestFit="1" customWidth="1"/>
    <col min="11" max="11" width="4.625" style="36" bestFit="1" customWidth="1"/>
    <col min="12" max="12" width="11.875" style="59" customWidth="1"/>
    <col min="13" max="13" width="8.625" style="36" bestFit="1" customWidth="1"/>
    <col min="14" max="14" width="18.00390625" style="11" bestFit="1" customWidth="1"/>
  </cols>
  <sheetData>
    <row r="1" spans="1:14" s="1" customFormat="1" ht="15" customHeight="1">
      <c r="A1" s="60"/>
      <c r="B1" s="104" t="s">
        <v>504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81.7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2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128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291</v>
      </c>
      <c r="C6" s="12" t="s">
        <v>292</v>
      </c>
      <c r="D6" s="12" t="s">
        <v>293</v>
      </c>
      <c r="E6" s="12" t="str">
        <f>"1,1916"</f>
        <v>1,1916</v>
      </c>
      <c r="F6" s="12" t="s">
        <v>12</v>
      </c>
      <c r="G6" s="12" t="s">
        <v>67</v>
      </c>
      <c r="H6" s="31" t="s">
        <v>178</v>
      </c>
      <c r="I6" s="34" t="s">
        <v>179</v>
      </c>
      <c r="J6" s="31" t="s">
        <v>179</v>
      </c>
      <c r="K6" s="32"/>
      <c r="L6" s="66">
        <v>147.5</v>
      </c>
      <c r="M6" s="33" t="str">
        <f>"175,7610"</f>
        <v>175,7610</v>
      </c>
      <c r="N6" s="12" t="s">
        <v>337</v>
      </c>
    </row>
    <row r="8" spans="2:13" ht="15.75">
      <c r="B8" s="103" t="s">
        <v>148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30">
        <v>1</v>
      </c>
      <c r="B9" s="13" t="s">
        <v>149</v>
      </c>
      <c r="C9" s="13" t="s">
        <v>150</v>
      </c>
      <c r="D9" s="13" t="s">
        <v>151</v>
      </c>
      <c r="E9" s="13" t="str">
        <f>"0,7832"</f>
        <v>0,7832</v>
      </c>
      <c r="F9" s="13" t="s">
        <v>12</v>
      </c>
      <c r="G9" s="13" t="s">
        <v>82</v>
      </c>
      <c r="H9" s="39" t="s">
        <v>32</v>
      </c>
      <c r="I9" s="39" t="s">
        <v>51</v>
      </c>
      <c r="J9" s="63" t="s">
        <v>52</v>
      </c>
      <c r="K9" s="40"/>
      <c r="L9" s="67">
        <v>175</v>
      </c>
      <c r="M9" s="42" t="str">
        <f>"137,0600"</f>
        <v>137,0600</v>
      </c>
      <c r="N9" s="13" t="s">
        <v>427</v>
      </c>
    </row>
    <row r="10" spans="1:14" ht="12.75">
      <c r="A10" s="30">
        <v>1</v>
      </c>
      <c r="B10" s="14" t="s">
        <v>294</v>
      </c>
      <c r="C10" s="14" t="s">
        <v>295</v>
      </c>
      <c r="D10" s="14" t="s">
        <v>296</v>
      </c>
      <c r="E10" s="14" t="str">
        <f>"0,7775"</f>
        <v>0,7775</v>
      </c>
      <c r="F10" s="14" t="s">
        <v>12</v>
      </c>
      <c r="G10" s="14" t="s">
        <v>67</v>
      </c>
      <c r="H10" s="48" t="s">
        <v>244</v>
      </c>
      <c r="I10" s="48" t="s">
        <v>77</v>
      </c>
      <c r="J10" s="64" t="s">
        <v>273</v>
      </c>
      <c r="K10" s="50"/>
      <c r="L10" s="68">
        <v>210</v>
      </c>
      <c r="M10" s="51" t="str">
        <f>"163,2750"</f>
        <v>163,2750</v>
      </c>
      <c r="N10" s="14" t="s">
        <v>255</v>
      </c>
    </row>
    <row r="11" spans="1:14" ht="12.75">
      <c r="A11" s="30">
        <v>1</v>
      </c>
      <c r="B11" s="15" t="s">
        <v>297</v>
      </c>
      <c r="C11" s="15" t="s">
        <v>298</v>
      </c>
      <c r="D11" s="15" t="s">
        <v>268</v>
      </c>
      <c r="E11" s="15" t="str">
        <f>"0,7766"</f>
        <v>0,7766</v>
      </c>
      <c r="F11" s="15" t="s">
        <v>12</v>
      </c>
      <c r="G11" s="15" t="s">
        <v>13</v>
      </c>
      <c r="H11" s="43" t="s">
        <v>52</v>
      </c>
      <c r="I11" s="43" t="s">
        <v>299</v>
      </c>
      <c r="J11" s="46" t="s">
        <v>300</v>
      </c>
      <c r="K11" s="44"/>
      <c r="L11" s="69">
        <v>207.5</v>
      </c>
      <c r="M11" s="46" t="str">
        <f>"161,1445"</f>
        <v>161,1445</v>
      </c>
      <c r="N11" s="15" t="s">
        <v>17</v>
      </c>
    </row>
    <row r="13" spans="2:13" ht="15.75">
      <c r="B13" s="103" t="s">
        <v>18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4" ht="12.75">
      <c r="A14" s="30">
        <v>1</v>
      </c>
      <c r="B14" s="13" t="s">
        <v>301</v>
      </c>
      <c r="C14" s="13" t="s">
        <v>302</v>
      </c>
      <c r="D14" s="13" t="s">
        <v>303</v>
      </c>
      <c r="E14" s="13" t="str">
        <f>"0,7249"</f>
        <v>0,7249</v>
      </c>
      <c r="F14" s="13" t="s">
        <v>12</v>
      </c>
      <c r="G14" s="13" t="s">
        <v>13</v>
      </c>
      <c r="H14" s="39" t="s">
        <v>52</v>
      </c>
      <c r="I14" s="39" t="s">
        <v>76</v>
      </c>
      <c r="J14" s="39" t="s">
        <v>96</v>
      </c>
      <c r="K14" s="40"/>
      <c r="L14" s="67">
        <v>215</v>
      </c>
      <c r="M14" s="42" t="str">
        <f>"155,8535"</f>
        <v>155,8535</v>
      </c>
      <c r="N14" s="13" t="s">
        <v>17</v>
      </c>
    </row>
    <row r="15" spans="1:14" ht="12.75">
      <c r="A15" s="30">
        <v>2</v>
      </c>
      <c r="B15" s="14" t="s">
        <v>304</v>
      </c>
      <c r="C15" s="14" t="s">
        <v>305</v>
      </c>
      <c r="D15" s="14" t="s">
        <v>21</v>
      </c>
      <c r="E15" s="14" t="str">
        <f>"0,7228"</f>
        <v>0,7228</v>
      </c>
      <c r="F15" s="14" t="s">
        <v>12</v>
      </c>
      <c r="G15" s="14" t="s">
        <v>13</v>
      </c>
      <c r="H15" s="48" t="s">
        <v>90</v>
      </c>
      <c r="I15" s="48" t="s">
        <v>76</v>
      </c>
      <c r="J15" s="64" t="s">
        <v>96</v>
      </c>
      <c r="K15" s="50"/>
      <c r="L15" s="68">
        <v>200</v>
      </c>
      <c r="M15" s="51" t="str">
        <f>"144,5600"</f>
        <v>144,5600</v>
      </c>
      <c r="N15" s="14" t="s">
        <v>17</v>
      </c>
    </row>
    <row r="16" spans="1:14" ht="12.75">
      <c r="A16" s="30">
        <v>1</v>
      </c>
      <c r="B16" s="15" t="s">
        <v>306</v>
      </c>
      <c r="C16" s="15" t="s">
        <v>307</v>
      </c>
      <c r="D16" s="15" t="s">
        <v>308</v>
      </c>
      <c r="E16" s="15" t="str">
        <f>"0,7132"</f>
        <v>0,7132</v>
      </c>
      <c r="F16" s="15" t="s">
        <v>12</v>
      </c>
      <c r="G16" s="15" t="s">
        <v>13</v>
      </c>
      <c r="H16" s="43" t="s">
        <v>52</v>
      </c>
      <c r="I16" s="65" t="s">
        <v>76</v>
      </c>
      <c r="J16" s="65" t="s">
        <v>76</v>
      </c>
      <c r="K16" s="44"/>
      <c r="L16" s="69">
        <v>180</v>
      </c>
      <c r="M16" s="46" t="str">
        <f>"128,3760"</f>
        <v>128,3760</v>
      </c>
      <c r="N16" s="15" t="s">
        <v>17</v>
      </c>
    </row>
    <row r="18" spans="2:13" ht="15.75">
      <c r="B18" s="103" t="s">
        <v>34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4" ht="12.75">
      <c r="A19" s="30">
        <v>1</v>
      </c>
      <c r="B19" s="13" t="s">
        <v>42</v>
      </c>
      <c r="C19" s="13" t="s">
        <v>43</v>
      </c>
      <c r="D19" s="13" t="s">
        <v>44</v>
      </c>
      <c r="E19" s="13" t="str">
        <f>"0,6455"</f>
        <v>0,6455</v>
      </c>
      <c r="F19" s="13" t="s">
        <v>12</v>
      </c>
      <c r="G19" s="13" t="s">
        <v>13</v>
      </c>
      <c r="H19" s="39" t="s">
        <v>77</v>
      </c>
      <c r="I19" s="39" t="s">
        <v>273</v>
      </c>
      <c r="J19" s="39" t="s">
        <v>264</v>
      </c>
      <c r="K19" s="40"/>
      <c r="L19" s="67">
        <v>230</v>
      </c>
      <c r="M19" s="42" t="str">
        <f>"148,4650"</f>
        <v>148,4650</v>
      </c>
      <c r="N19" s="13" t="s">
        <v>46</v>
      </c>
    </row>
    <row r="20" spans="1:14" ht="12.75">
      <c r="A20" s="30">
        <v>2</v>
      </c>
      <c r="B20" s="14" t="s">
        <v>309</v>
      </c>
      <c r="C20" s="14" t="s">
        <v>310</v>
      </c>
      <c r="D20" s="14" t="s">
        <v>311</v>
      </c>
      <c r="E20" s="14" t="str">
        <f>"0,6545"</f>
        <v>0,6545</v>
      </c>
      <c r="F20" s="14" t="s">
        <v>12</v>
      </c>
      <c r="G20" s="14" t="s">
        <v>13</v>
      </c>
      <c r="H20" s="48" t="s">
        <v>51</v>
      </c>
      <c r="I20" s="48" t="s">
        <v>90</v>
      </c>
      <c r="J20" s="48" t="s">
        <v>83</v>
      </c>
      <c r="K20" s="50"/>
      <c r="L20" s="68">
        <v>192.5</v>
      </c>
      <c r="M20" s="51" t="str">
        <f>"125,9913"</f>
        <v>125,9913</v>
      </c>
      <c r="N20" s="14" t="s">
        <v>17</v>
      </c>
    </row>
    <row r="21" spans="1:14" ht="12.75">
      <c r="A21" s="30">
        <v>1</v>
      </c>
      <c r="B21" s="15" t="s">
        <v>312</v>
      </c>
      <c r="C21" s="15" t="s">
        <v>313</v>
      </c>
      <c r="D21" s="15" t="s">
        <v>54</v>
      </c>
      <c r="E21" s="15" t="str">
        <f>"0,6384"</f>
        <v>0,6384</v>
      </c>
      <c r="F21" s="15" t="s">
        <v>12</v>
      </c>
      <c r="G21" s="15" t="s">
        <v>431</v>
      </c>
      <c r="H21" s="43" t="s">
        <v>283</v>
      </c>
      <c r="I21" s="43" t="s">
        <v>314</v>
      </c>
      <c r="J21" s="65" t="s">
        <v>284</v>
      </c>
      <c r="K21" s="44"/>
      <c r="L21" s="69">
        <v>290</v>
      </c>
      <c r="M21" s="46" t="str">
        <f>"185,1360"</f>
        <v>185,1360</v>
      </c>
      <c r="N21" s="15" t="s">
        <v>337</v>
      </c>
    </row>
    <row r="23" spans="2:13" ht="15.75">
      <c r="B23" s="103" t="s">
        <v>55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4" ht="12.75">
      <c r="A24" s="30">
        <v>1</v>
      </c>
      <c r="B24" s="13" t="s">
        <v>315</v>
      </c>
      <c r="C24" s="13" t="s">
        <v>316</v>
      </c>
      <c r="D24" s="13" t="s">
        <v>317</v>
      </c>
      <c r="E24" s="13" t="str">
        <f>"0,6166"</f>
        <v>0,6166</v>
      </c>
      <c r="F24" s="13" t="s">
        <v>12</v>
      </c>
      <c r="G24" s="13" t="s">
        <v>67</v>
      </c>
      <c r="H24" s="39" t="s">
        <v>264</v>
      </c>
      <c r="I24" s="63" t="s">
        <v>279</v>
      </c>
      <c r="J24" s="63" t="s">
        <v>279</v>
      </c>
      <c r="K24" s="40"/>
      <c r="L24" s="67">
        <v>230</v>
      </c>
      <c r="M24" s="42" t="str">
        <f>"141,8180"</f>
        <v>141,8180</v>
      </c>
      <c r="N24" s="13" t="s">
        <v>68</v>
      </c>
    </row>
    <row r="25" spans="1:14" ht="12.75">
      <c r="A25" s="30">
        <v>1</v>
      </c>
      <c r="B25" s="15" t="s">
        <v>318</v>
      </c>
      <c r="C25" s="15" t="s">
        <v>319</v>
      </c>
      <c r="D25" s="15" t="s">
        <v>320</v>
      </c>
      <c r="E25" s="15" t="str">
        <f>"0,6229"</f>
        <v>0,6229</v>
      </c>
      <c r="F25" s="15" t="s">
        <v>12</v>
      </c>
      <c r="G25" s="15" t="s">
        <v>13</v>
      </c>
      <c r="H25" s="43" t="s">
        <v>102</v>
      </c>
      <c r="I25" s="43" t="s">
        <v>77</v>
      </c>
      <c r="J25" s="65" t="s">
        <v>278</v>
      </c>
      <c r="K25" s="44"/>
      <c r="L25" s="69">
        <v>210</v>
      </c>
      <c r="M25" s="46" t="str">
        <f>"145,7212"</f>
        <v>145,7212</v>
      </c>
      <c r="N25" s="15" t="s">
        <v>17</v>
      </c>
    </row>
    <row r="27" spans="2:13" ht="15.75">
      <c r="B27" s="103" t="s">
        <v>69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4" ht="12.75">
      <c r="A28" s="30">
        <v>1</v>
      </c>
      <c r="B28" s="12" t="s">
        <v>321</v>
      </c>
      <c r="C28" s="12" t="s">
        <v>322</v>
      </c>
      <c r="D28" s="12" t="s">
        <v>87</v>
      </c>
      <c r="E28" s="12" t="str">
        <f>"0,5885"</f>
        <v>0,5885</v>
      </c>
      <c r="F28" s="12" t="s">
        <v>12</v>
      </c>
      <c r="G28" s="12" t="s">
        <v>13</v>
      </c>
      <c r="H28" s="31" t="s">
        <v>288</v>
      </c>
      <c r="I28" s="34" t="s">
        <v>323</v>
      </c>
      <c r="J28" s="34" t="s">
        <v>283</v>
      </c>
      <c r="K28" s="32"/>
      <c r="L28" s="66">
        <v>260</v>
      </c>
      <c r="M28" s="33" t="str">
        <f>"153,0100"</f>
        <v>153,0100</v>
      </c>
      <c r="N28" s="12" t="s">
        <v>337</v>
      </c>
    </row>
    <row r="30" spans="2:13" ht="15.75">
      <c r="B30" s="103" t="s">
        <v>91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4" ht="12.75">
      <c r="A31" s="30">
        <v>1</v>
      </c>
      <c r="B31" s="12" t="s">
        <v>324</v>
      </c>
      <c r="C31" s="12" t="s">
        <v>325</v>
      </c>
      <c r="D31" s="12" t="s">
        <v>326</v>
      </c>
      <c r="E31" s="12" t="str">
        <f>"0,5768"</f>
        <v>0,5768</v>
      </c>
      <c r="F31" s="12" t="s">
        <v>12</v>
      </c>
      <c r="G31" s="12" t="s">
        <v>82</v>
      </c>
      <c r="H31" s="31" t="s">
        <v>327</v>
      </c>
      <c r="I31" s="37" t="s">
        <v>328</v>
      </c>
      <c r="J31" s="32"/>
      <c r="K31" s="32"/>
      <c r="L31" s="66">
        <v>295</v>
      </c>
      <c r="M31" s="33" t="str">
        <f>"170,1560"</f>
        <v>170,1560</v>
      </c>
      <c r="N31" s="12" t="s">
        <v>329</v>
      </c>
    </row>
    <row r="33" spans="2:3" ht="18">
      <c r="B33" s="17" t="s">
        <v>110</v>
      </c>
      <c r="C33" s="17"/>
    </row>
    <row r="35" spans="2:6" ht="13.5">
      <c r="B35" s="22" t="s">
        <v>112</v>
      </c>
      <c r="C35" s="22" t="s">
        <v>113</v>
      </c>
      <c r="D35" s="22" t="s">
        <v>114</v>
      </c>
      <c r="E35" s="22" t="s">
        <v>115</v>
      </c>
      <c r="F35" s="22" t="s">
        <v>116</v>
      </c>
    </row>
    <row r="36" spans="1:6" ht="12.75">
      <c r="A36" s="30">
        <v>1</v>
      </c>
      <c r="B36" s="19" t="s">
        <v>312</v>
      </c>
      <c r="C36" s="35" t="s">
        <v>111</v>
      </c>
      <c r="D36" s="36" t="s">
        <v>483</v>
      </c>
      <c r="E36" s="36" t="s">
        <v>314</v>
      </c>
      <c r="F36" s="36" t="s">
        <v>330</v>
      </c>
    </row>
  </sheetData>
  <sheetProtection/>
  <mergeCells count="19">
    <mergeCell ref="A3:A4"/>
    <mergeCell ref="B18:M18"/>
    <mergeCell ref="B23:M23"/>
    <mergeCell ref="B27:M27"/>
    <mergeCell ref="B30:M30"/>
    <mergeCell ref="L3:L4"/>
    <mergeCell ref="M3:M4"/>
    <mergeCell ref="G3:G4"/>
    <mergeCell ref="H3:K3"/>
    <mergeCell ref="N3:N4"/>
    <mergeCell ref="B5:M5"/>
    <mergeCell ref="B8:M8"/>
    <mergeCell ref="B13:M13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26" sqref="E26"/>
    </sheetView>
  </sheetViews>
  <sheetFormatPr defaultColWidth="8.75390625" defaultRowHeight="12.75"/>
  <cols>
    <col min="1" max="1" width="9.125" style="30" customWidth="1"/>
    <col min="2" max="2" width="18.875" style="0" bestFit="1" customWidth="1"/>
    <col min="3" max="3" width="28.125" style="0" customWidth="1"/>
    <col min="4" max="4" width="10.625" style="0" customWidth="1"/>
    <col min="5" max="5" width="8.75390625" style="0" customWidth="1"/>
    <col min="6" max="6" width="15.125" style="0" customWidth="1"/>
    <col min="7" max="7" width="30.375" style="0" customWidth="1"/>
    <col min="8" max="8" width="7.75390625" style="0" customWidth="1"/>
    <col min="9" max="11" width="8.75390625" style="0" customWidth="1"/>
    <col min="12" max="12" width="20.375" style="0" bestFit="1" customWidth="1"/>
  </cols>
  <sheetData>
    <row r="1" spans="2:12" ht="12.75">
      <c r="B1" s="104" t="s">
        <v>512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84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436</v>
      </c>
      <c r="F3" s="114" t="s">
        <v>5</v>
      </c>
      <c r="G3" s="118" t="s">
        <v>480</v>
      </c>
      <c r="H3" s="114" t="s">
        <v>1</v>
      </c>
      <c r="I3" s="114"/>
      <c r="J3" s="114" t="s">
        <v>490</v>
      </c>
      <c r="K3" s="114" t="s">
        <v>4</v>
      </c>
      <c r="L3" s="99" t="s">
        <v>3</v>
      </c>
    </row>
    <row r="4" spans="1:12" ht="15" customHeight="1" thickBot="1">
      <c r="A4" s="116"/>
      <c r="B4" s="111"/>
      <c r="C4" s="113"/>
      <c r="D4" s="113"/>
      <c r="E4" s="113"/>
      <c r="F4" s="113"/>
      <c r="G4" s="119"/>
      <c r="H4" s="3" t="s">
        <v>459</v>
      </c>
      <c r="I4" s="3" t="s">
        <v>458</v>
      </c>
      <c r="J4" s="113"/>
      <c r="K4" s="113"/>
      <c r="L4" s="100"/>
    </row>
    <row r="5" spans="2:12" ht="15.75">
      <c r="B5" s="117" t="s">
        <v>128</v>
      </c>
      <c r="C5" s="117"/>
      <c r="D5" s="117"/>
      <c r="E5" s="117"/>
      <c r="F5" s="117"/>
      <c r="G5" s="117"/>
      <c r="H5" s="117"/>
      <c r="I5" s="117"/>
      <c r="J5" s="117"/>
      <c r="K5" s="117"/>
      <c r="L5" s="11"/>
    </row>
    <row r="6" spans="1:12" ht="12.75">
      <c r="A6" s="30">
        <v>1</v>
      </c>
      <c r="B6" s="13" t="s">
        <v>129</v>
      </c>
      <c r="C6" s="13" t="s">
        <v>130</v>
      </c>
      <c r="D6" s="13" t="s">
        <v>131</v>
      </c>
      <c r="E6" s="13" t="str">
        <f>"1,0439"</f>
        <v>1,0439</v>
      </c>
      <c r="F6" s="13" t="s">
        <v>12</v>
      </c>
      <c r="G6" s="13" t="s">
        <v>82</v>
      </c>
      <c r="H6" s="42" t="s">
        <v>441</v>
      </c>
      <c r="I6" s="41" t="s">
        <v>491</v>
      </c>
      <c r="J6" s="42">
        <v>2282.5</v>
      </c>
      <c r="K6" s="42" t="str">
        <f>"2382,7018"</f>
        <v>2382,7018</v>
      </c>
      <c r="L6" s="13" t="s">
        <v>425</v>
      </c>
    </row>
    <row r="7" spans="1:12" ht="12.75">
      <c r="A7" s="30">
        <v>1</v>
      </c>
      <c r="B7" s="15" t="s">
        <v>136</v>
      </c>
      <c r="C7" s="15" t="s">
        <v>137</v>
      </c>
      <c r="D7" s="15" t="s">
        <v>138</v>
      </c>
      <c r="E7" s="15" t="str">
        <f>"1,0780"</f>
        <v>1,0780</v>
      </c>
      <c r="F7" s="15" t="s">
        <v>12</v>
      </c>
      <c r="G7" s="15" t="s">
        <v>82</v>
      </c>
      <c r="H7" s="46" t="s">
        <v>441</v>
      </c>
      <c r="I7" s="45" t="s">
        <v>492</v>
      </c>
      <c r="J7" s="46">
        <v>962.5</v>
      </c>
      <c r="K7" s="46" t="str">
        <f>"1037,5750"</f>
        <v>1037,5750</v>
      </c>
      <c r="L7" s="15" t="s">
        <v>427</v>
      </c>
    </row>
    <row r="8" spans="2:12" ht="12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15.75">
      <c r="B9" s="103" t="s">
        <v>148</v>
      </c>
      <c r="C9" s="103"/>
      <c r="D9" s="103"/>
      <c r="E9" s="103"/>
      <c r="F9" s="103"/>
      <c r="G9" s="103"/>
      <c r="H9" s="103"/>
      <c r="I9" s="103"/>
      <c r="J9" s="103"/>
      <c r="K9" s="103"/>
      <c r="L9" s="11"/>
    </row>
    <row r="10" spans="1:12" ht="12.75">
      <c r="A10" s="30">
        <v>1</v>
      </c>
      <c r="B10" s="12" t="s">
        <v>440</v>
      </c>
      <c r="C10" s="12" t="s">
        <v>439</v>
      </c>
      <c r="D10" s="12" t="s">
        <v>438</v>
      </c>
      <c r="E10" s="12" t="str">
        <f>"0,9312"</f>
        <v>0,9312</v>
      </c>
      <c r="F10" s="12" t="s">
        <v>12</v>
      </c>
      <c r="G10" s="12" t="s">
        <v>82</v>
      </c>
      <c r="H10" s="33" t="s">
        <v>437</v>
      </c>
      <c r="I10" s="38" t="s">
        <v>493</v>
      </c>
      <c r="J10" s="33">
        <v>1267.5</v>
      </c>
      <c r="K10" s="33" t="str">
        <f>"1180,2326"</f>
        <v>1180,2326</v>
      </c>
      <c r="L10" s="12" t="s">
        <v>432</v>
      </c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/>
  <mergeCells count="14">
    <mergeCell ref="H3:I3"/>
    <mergeCell ref="A3:A4"/>
    <mergeCell ref="J3:J4"/>
    <mergeCell ref="K3:K4"/>
    <mergeCell ref="L3:L4"/>
    <mergeCell ref="B5:K5"/>
    <mergeCell ref="B9:K9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21" sqref="G21"/>
    </sheetView>
  </sheetViews>
  <sheetFormatPr defaultColWidth="8.75390625" defaultRowHeight="12.75"/>
  <cols>
    <col min="1" max="1" width="8.75390625" style="0" customWidth="1"/>
    <col min="2" max="2" width="16.625" style="0" bestFit="1" customWidth="1"/>
    <col min="3" max="3" width="25.625" style="0" customWidth="1"/>
    <col min="4" max="4" width="10.75390625" style="0" customWidth="1"/>
    <col min="5" max="5" width="9.75390625" style="0" customWidth="1"/>
    <col min="6" max="6" width="16.375" style="0" customWidth="1"/>
    <col min="7" max="7" width="35.875" style="0" bestFit="1" customWidth="1"/>
    <col min="8" max="9" width="8.75390625" style="0" customWidth="1"/>
    <col min="10" max="10" width="8.375" style="0" customWidth="1"/>
    <col min="11" max="11" width="8.75390625" style="0" customWidth="1"/>
    <col min="12" max="12" width="19.125" style="0" customWidth="1"/>
  </cols>
  <sheetData>
    <row r="1" spans="2:12" ht="12.75">
      <c r="B1" s="104" t="s">
        <v>513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85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436</v>
      </c>
      <c r="F3" s="114" t="s">
        <v>5</v>
      </c>
      <c r="G3" s="118" t="s">
        <v>480</v>
      </c>
      <c r="H3" s="114" t="s">
        <v>1</v>
      </c>
      <c r="I3" s="114"/>
      <c r="J3" s="114" t="s">
        <v>490</v>
      </c>
      <c r="K3" s="114" t="s">
        <v>4</v>
      </c>
      <c r="L3" s="99" t="s">
        <v>3</v>
      </c>
    </row>
    <row r="4" spans="1:12" ht="15" customHeight="1" thickBot="1">
      <c r="A4" s="116"/>
      <c r="B4" s="111"/>
      <c r="C4" s="113"/>
      <c r="D4" s="113"/>
      <c r="E4" s="113"/>
      <c r="F4" s="113"/>
      <c r="G4" s="119"/>
      <c r="H4" s="3" t="s">
        <v>459</v>
      </c>
      <c r="I4" s="3" t="s">
        <v>458</v>
      </c>
      <c r="J4" s="113"/>
      <c r="K4" s="113"/>
      <c r="L4" s="100"/>
    </row>
    <row r="5" spans="2:12" ht="15.75">
      <c r="B5" s="120" t="s">
        <v>25</v>
      </c>
      <c r="C5" s="117"/>
      <c r="D5" s="117"/>
      <c r="E5" s="117"/>
      <c r="F5" s="117"/>
      <c r="G5" s="117"/>
      <c r="H5" s="117"/>
      <c r="I5" s="117"/>
      <c r="J5" s="117"/>
      <c r="K5" s="117"/>
      <c r="L5" s="5"/>
    </row>
    <row r="6" spans="1:12" ht="12.75">
      <c r="A6" s="30">
        <v>1</v>
      </c>
      <c r="B6" s="77" t="s">
        <v>435</v>
      </c>
      <c r="C6" s="6" t="s">
        <v>434</v>
      </c>
      <c r="D6" s="6" t="s">
        <v>433</v>
      </c>
      <c r="E6" s="6" t="str">
        <f>"0,6497"</f>
        <v>0,6497</v>
      </c>
      <c r="F6" s="6" t="s">
        <v>12</v>
      </c>
      <c r="G6" s="6" t="s">
        <v>67</v>
      </c>
      <c r="H6" s="38" t="s">
        <v>16</v>
      </c>
      <c r="I6" s="38" t="s">
        <v>488</v>
      </c>
      <c r="J6" s="84" t="s">
        <v>489</v>
      </c>
      <c r="K6" s="84" t="str">
        <f>"696,8569"</f>
        <v>696,8569</v>
      </c>
      <c r="L6" s="6" t="s">
        <v>432</v>
      </c>
    </row>
    <row r="7" spans="2:12" ht="12.75">
      <c r="B7" s="4"/>
      <c r="C7" s="1"/>
      <c r="D7" s="1"/>
      <c r="E7" s="1"/>
      <c r="F7" s="5"/>
      <c r="G7" s="5"/>
      <c r="H7" s="1"/>
      <c r="I7" s="1"/>
      <c r="J7" s="4"/>
      <c r="K7" s="1"/>
      <c r="L7" s="5"/>
    </row>
  </sheetData>
  <sheetProtection/>
  <mergeCells count="13">
    <mergeCell ref="A3:A4"/>
    <mergeCell ref="B1:L2"/>
    <mergeCell ref="H3:I3"/>
    <mergeCell ref="B3:B4"/>
    <mergeCell ref="C3:C4"/>
    <mergeCell ref="D3:D4"/>
    <mergeCell ref="L3:L4"/>
    <mergeCell ref="G3:G4"/>
    <mergeCell ref="F3:F4"/>
    <mergeCell ref="B5:K5"/>
    <mergeCell ref="E3:E4"/>
    <mergeCell ref="J3:J4"/>
    <mergeCell ref="K3:K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32" sqref="F32"/>
    </sheetView>
  </sheetViews>
  <sheetFormatPr defaultColWidth="8.75390625" defaultRowHeight="12.75"/>
  <cols>
    <col min="1" max="1" width="6.875" style="30" customWidth="1"/>
    <col min="2" max="2" width="21.125" style="0" bestFit="1" customWidth="1"/>
    <col min="3" max="3" width="26.875" style="0" bestFit="1" customWidth="1"/>
    <col min="4" max="4" width="10.625" style="0" bestFit="1" customWidth="1"/>
    <col min="5" max="5" width="6.875" style="0" bestFit="1" customWidth="1"/>
    <col min="6" max="6" width="15.125" style="0" customWidth="1"/>
    <col min="7" max="7" width="32.625" style="0" customWidth="1"/>
    <col min="8" max="9" width="8.75390625" style="0" customWidth="1"/>
    <col min="10" max="10" width="9.125" style="70" customWidth="1"/>
    <col min="11" max="11" width="8.75390625" style="0" customWidth="1"/>
    <col min="12" max="12" width="18.00390625" style="0" customWidth="1"/>
  </cols>
  <sheetData>
    <row r="1" spans="2:12" ht="12.75" customHeight="1">
      <c r="B1" s="104" t="s">
        <v>514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2:12" ht="94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436</v>
      </c>
      <c r="F3" s="114" t="s">
        <v>5</v>
      </c>
      <c r="G3" s="118" t="s">
        <v>480</v>
      </c>
      <c r="H3" s="114" t="s">
        <v>1</v>
      </c>
      <c r="I3" s="114"/>
      <c r="J3" s="101" t="s">
        <v>490</v>
      </c>
      <c r="K3" s="114" t="s">
        <v>4</v>
      </c>
      <c r="L3" s="99" t="s">
        <v>3</v>
      </c>
    </row>
    <row r="4" spans="1:12" ht="15" customHeight="1" thickBot="1">
      <c r="A4" s="116"/>
      <c r="B4" s="111"/>
      <c r="C4" s="113"/>
      <c r="D4" s="113"/>
      <c r="E4" s="113"/>
      <c r="F4" s="113"/>
      <c r="G4" s="119"/>
      <c r="H4" s="3" t="s">
        <v>459</v>
      </c>
      <c r="I4" s="3" t="s">
        <v>458</v>
      </c>
      <c r="J4" s="102"/>
      <c r="K4" s="113"/>
      <c r="L4" s="100"/>
    </row>
    <row r="5" spans="2:12" ht="15.75">
      <c r="B5" s="117" t="s">
        <v>8</v>
      </c>
      <c r="C5" s="117"/>
      <c r="D5" s="117"/>
      <c r="E5" s="117"/>
      <c r="F5" s="117"/>
      <c r="G5" s="117"/>
      <c r="H5" s="117"/>
      <c r="I5" s="117"/>
      <c r="J5" s="117"/>
      <c r="K5" s="117"/>
      <c r="L5" s="11"/>
    </row>
    <row r="6" spans="1:12" ht="12.75">
      <c r="A6" s="30">
        <v>1</v>
      </c>
      <c r="B6" s="12" t="s">
        <v>457</v>
      </c>
      <c r="C6" s="12" t="s">
        <v>456</v>
      </c>
      <c r="D6" s="12" t="s">
        <v>455</v>
      </c>
      <c r="E6" s="12" t="str">
        <f>"0,8342"</f>
        <v>0,8342</v>
      </c>
      <c r="F6" s="12" t="s">
        <v>12</v>
      </c>
      <c r="G6" s="12" t="s">
        <v>82</v>
      </c>
      <c r="H6" s="33" t="s">
        <v>135</v>
      </c>
      <c r="I6" s="38" t="s">
        <v>494</v>
      </c>
      <c r="J6" s="66">
        <v>1860</v>
      </c>
      <c r="K6" s="33" t="str">
        <f>"1551,6120"</f>
        <v>1551,6120</v>
      </c>
      <c r="L6" s="12" t="s">
        <v>342</v>
      </c>
    </row>
    <row r="7" spans="2:12" ht="12.75">
      <c r="B7" s="11"/>
      <c r="C7" s="11"/>
      <c r="D7" s="11"/>
      <c r="E7" s="11"/>
      <c r="F7" s="11"/>
      <c r="G7" s="11"/>
      <c r="H7" s="11"/>
      <c r="I7" s="11"/>
      <c r="K7" s="11"/>
      <c r="L7" s="11"/>
    </row>
    <row r="8" spans="2:12" ht="15.75">
      <c r="B8" s="103" t="s">
        <v>148</v>
      </c>
      <c r="C8" s="103"/>
      <c r="D8" s="103"/>
      <c r="E8" s="103"/>
      <c r="F8" s="103"/>
      <c r="G8" s="103"/>
      <c r="H8" s="103"/>
      <c r="I8" s="103"/>
      <c r="J8" s="103"/>
      <c r="K8" s="103"/>
      <c r="L8" s="11"/>
    </row>
    <row r="9" spans="1:12" ht="12.75">
      <c r="A9" s="30">
        <v>1</v>
      </c>
      <c r="B9" s="12" t="s">
        <v>454</v>
      </c>
      <c r="C9" s="12" t="s">
        <v>453</v>
      </c>
      <c r="D9" s="12" t="s">
        <v>452</v>
      </c>
      <c r="E9" s="12" t="str">
        <f>"0,8236"</f>
        <v>0,8236</v>
      </c>
      <c r="F9" s="12" t="s">
        <v>12</v>
      </c>
      <c r="G9" s="12" t="s">
        <v>82</v>
      </c>
      <c r="H9" s="33" t="s">
        <v>126</v>
      </c>
      <c r="I9" s="38" t="s">
        <v>495</v>
      </c>
      <c r="J9" s="66">
        <v>1437.5</v>
      </c>
      <c r="K9" s="33" t="str">
        <f>"1183,9250"</f>
        <v>1183,9250</v>
      </c>
      <c r="L9" s="12" t="s">
        <v>342</v>
      </c>
    </row>
    <row r="10" spans="2:12" ht="12.75">
      <c r="B10" s="11"/>
      <c r="C10" s="11"/>
      <c r="D10" s="11"/>
      <c r="E10" s="11"/>
      <c r="F10" s="11"/>
      <c r="G10" s="11"/>
      <c r="H10" s="11"/>
      <c r="I10" s="11"/>
      <c r="K10" s="11"/>
      <c r="L10" s="11"/>
    </row>
    <row r="11" spans="2:12" ht="15.75">
      <c r="B11" s="103" t="s">
        <v>25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1"/>
    </row>
    <row r="12" spans="1:12" ht="12.75">
      <c r="A12" s="30">
        <v>1</v>
      </c>
      <c r="B12" s="12" t="s">
        <v>26</v>
      </c>
      <c r="C12" s="12" t="s">
        <v>27</v>
      </c>
      <c r="D12" s="12" t="s">
        <v>28</v>
      </c>
      <c r="E12" s="12" t="str">
        <f>"0,6451"</f>
        <v>0,6451</v>
      </c>
      <c r="F12" s="12" t="s">
        <v>12</v>
      </c>
      <c r="G12" s="12" t="s">
        <v>29</v>
      </c>
      <c r="H12" s="33" t="s">
        <v>16</v>
      </c>
      <c r="I12" s="38" t="s">
        <v>496</v>
      </c>
      <c r="J12" s="66">
        <v>2640</v>
      </c>
      <c r="K12" s="33" t="str">
        <f>"1703,0640"</f>
        <v>1703,0640</v>
      </c>
      <c r="L12" s="12" t="s">
        <v>240</v>
      </c>
    </row>
    <row r="13" spans="2:12" ht="12.75">
      <c r="B13" s="11"/>
      <c r="C13" s="11"/>
      <c r="D13" s="11"/>
      <c r="E13" s="11"/>
      <c r="F13" s="11"/>
      <c r="G13" s="11"/>
      <c r="H13" s="11"/>
      <c r="I13" s="11"/>
      <c r="K13" s="11"/>
      <c r="L13" s="11"/>
    </row>
    <row r="14" spans="2:12" ht="15.75">
      <c r="B14" s="103" t="s">
        <v>34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1"/>
    </row>
    <row r="15" spans="1:12" ht="12.75">
      <c r="A15" s="30">
        <v>1</v>
      </c>
      <c r="B15" s="13" t="s">
        <v>451</v>
      </c>
      <c r="C15" s="13" t="s">
        <v>450</v>
      </c>
      <c r="D15" s="13" t="s">
        <v>449</v>
      </c>
      <c r="E15" s="13" t="str">
        <f>"0,6145"</f>
        <v>0,6145</v>
      </c>
      <c r="F15" s="13" t="s">
        <v>12</v>
      </c>
      <c r="G15" s="13" t="s">
        <v>448</v>
      </c>
      <c r="H15" s="42" t="s">
        <v>147</v>
      </c>
      <c r="I15" s="41" t="s">
        <v>497</v>
      </c>
      <c r="J15" s="67">
        <v>2430</v>
      </c>
      <c r="K15" s="42" t="str">
        <f>"1493,3565"</f>
        <v>1493,3565</v>
      </c>
      <c r="L15" s="13" t="s">
        <v>337</v>
      </c>
    </row>
    <row r="16" spans="1:12" ht="12.75">
      <c r="A16" s="30">
        <v>1</v>
      </c>
      <c r="B16" s="15" t="s">
        <v>447</v>
      </c>
      <c r="C16" s="15" t="s">
        <v>446</v>
      </c>
      <c r="D16" s="15" t="s">
        <v>445</v>
      </c>
      <c r="E16" s="15" t="str">
        <f>"0,6406"</f>
        <v>0,6406</v>
      </c>
      <c r="F16" s="15" t="s">
        <v>12</v>
      </c>
      <c r="G16" s="15" t="s">
        <v>82</v>
      </c>
      <c r="H16" s="46" t="s">
        <v>158</v>
      </c>
      <c r="I16" s="45" t="s">
        <v>498</v>
      </c>
      <c r="J16" s="69">
        <v>2465</v>
      </c>
      <c r="K16" s="46" t="str">
        <f>"1666,0583"</f>
        <v>1666,0583</v>
      </c>
      <c r="L16" s="15" t="s">
        <v>337</v>
      </c>
    </row>
    <row r="17" spans="2:12" ht="12.75">
      <c r="B17" s="11"/>
      <c r="C17" s="11"/>
      <c r="D17" s="11"/>
      <c r="E17" s="11"/>
      <c r="F17" s="11"/>
      <c r="G17" s="11"/>
      <c r="H17" s="11"/>
      <c r="I17" s="11"/>
      <c r="K17" s="11"/>
      <c r="L17" s="11"/>
    </row>
    <row r="18" spans="2:12" ht="15.75">
      <c r="B18" s="103" t="s">
        <v>69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1"/>
    </row>
    <row r="19" spans="1:12" ht="12.75">
      <c r="A19" s="30">
        <v>1</v>
      </c>
      <c r="B19" s="12" t="s">
        <v>444</v>
      </c>
      <c r="C19" s="12" t="s">
        <v>443</v>
      </c>
      <c r="D19" s="12" t="s">
        <v>442</v>
      </c>
      <c r="E19" s="12" t="str">
        <f>"0,5725"</f>
        <v>0,5725</v>
      </c>
      <c r="F19" s="12" t="s">
        <v>12</v>
      </c>
      <c r="G19" s="12" t="s">
        <v>82</v>
      </c>
      <c r="H19" s="33" t="s">
        <v>153</v>
      </c>
      <c r="I19" s="38" t="s">
        <v>497</v>
      </c>
      <c r="J19" s="66">
        <v>2835</v>
      </c>
      <c r="K19" s="33" t="str">
        <f>"1623,1792"</f>
        <v>1623,1792</v>
      </c>
      <c r="L19" s="12" t="s">
        <v>84</v>
      </c>
    </row>
    <row r="20" spans="2:12" ht="12.75">
      <c r="B20" s="11"/>
      <c r="C20" s="11"/>
      <c r="D20" s="11"/>
      <c r="E20" s="11"/>
      <c r="F20" s="11"/>
      <c r="G20" s="11"/>
      <c r="H20" s="11"/>
      <c r="I20" s="11"/>
      <c r="K20" s="11"/>
      <c r="L20" s="11"/>
    </row>
  </sheetData>
  <sheetProtection/>
  <mergeCells count="17"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B14:K14"/>
    <mergeCell ref="B18:K18"/>
    <mergeCell ref="J3:J4"/>
    <mergeCell ref="K3:K4"/>
    <mergeCell ref="L3:L4"/>
    <mergeCell ref="B5:K5"/>
    <mergeCell ref="B8:K8"/>
    <mergeCell ref="B11:K11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19" sqref="E19"/>
    </sheetView>
  </sheetViews>
  <sheetFormatPr defaultColWidth="8.75390625" defaultRowHeight="12.75"/>
  <cols>
    <col min="1" max="1" width="9.125" style="30" customWidth="1"/>
    <col min="2" max="2" width="20.125" style="62" customWidth="1"/>
    <col min="3" max="3" width="30.375" style="96" customWidth="1"/>
    <col min="4" max="4" width="11.375" style="96" bestFit="1" customWidth="1"/>
    <col min="5" max="5" width="14.375" style="0" customWidth="1"/>
    <col min="6" max="6" width="32.125" style="0" customWidth="1"/>
    <col min="7" max="7" width="7.125" style="0" customWidth="1"/>
    <col min="8" max="8" width="7.00390625" style="0" customWidth="1"/>
    <col min="9" max="9" width="8.00390625" style="0" customWidth="1"/>
    <col min="10" max="10" width="12.25390625" style="0" customWidth="1"/>
    <col min="11" max="11" width="15.375" style="0" customWidth="1"/>
  </cols>
  <sheetData>
    <row r="1" spans="2:11" ht="12.75">
      <c r="B1" s="104" t="s">
        <v>516</v>
      </c>
      <c r="C1" s="105"/>
      <c r="D1" s="105"/>
      <c r="E1" s="105"/>
      <c r="F1" s="105"/>
      <c r="G1" s="105"/>
      <c r="H1" s="105"/>
      <c r="I1" s="105"/>
      <c r="J1" s="105"/>
      <c r="K1" s="106"/>
    </row>
    <row r="2" spans="2:11" ht="115.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1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5</v>
      </c>
      <c r="F3" s="124" t="s">
        <v>499</v>
      </c>
      <c r="G3" s="126" t="s">
        <v>2</v>
      </c>
      <c r="H3" s="126"/>
      <c r="I3" s="126"/>
      <c r="J3" s="114" t="s">
        <v>481</v>
      </c>
      <c r="K3" s="99" t="s">
        <v>3</v>
      </c>
    </row>
    <row r="4" spans="1:11" ht="15" customHeight="1" thickBot="1">
      <c r="A4" s="116"/>
      <c r="B4" s="111"/>
      <c r="C4" s="113"/>
      <c r="D4" s="113"/>
      <c r="E4" s="113"/>
      <c r="F4" s="125"/>
      <c r="G4" s="3" t="s">
        <v>473</v>
      </c>
      <c r="H4" s="3" t="s">
        <v>472</v>
      </c>
      <c r="I4" s="3" t="s">
        <v>471</v>
      </c>
      <c r="J4" s="113"/>
      <c r="K4" s="100"/>
    </row>
    <row r="5" spans="4:11" ht="15.75">
      <c r="D5" s="97"/>
      <c r="E5" s="28" t="s">
        <v>470</v>
      </c>
      <c r="F5" s="25"/>
      <c r="G5" s="25"/>
      <c r="H5" s="25"/>
      <c r="I5" s="25"/>
      <c r="J5" s="25"/>
      <c r="K5" s="5"/>
    </row>
    <row r="6" spans="1:11" ht="12.75">
      <c r="A6" s="30">
        <v>1</v>
      </c>
      <c r="B6" s="77" t="s">
        <v>359</v>
      </c>
      <c r="C6" s="6" t="s">
        <v>360</v>
      </c>
      <c r="D6" s="6" t="s">
        <v>361</v>
      </c>
      <c r="E6" s="6" t="s">
        <v>12</v>
      </c>
      <c r="F6" s="6" t="s">
        <v>67</v>
      </c>
      <c r="G6" s="31" t="s">
        <v>469</v>
      </c>
      <c r="H6" s="31" t="s">
        <v>468</v>
      </c>
      <c r="I6" s="31" t="s">
        <v>467</v>
      </c>
      <c r="J6" s="84" t="s">
        <v>467</v>
      </c>
      <c r="K6" s="6" t="s">
        <v>68</v>
      </c>
    </row>
    <row r="7" spans="2:11" ht="12.75">
      <c r="B7" s="82"/>
      <c r="C7" s="5"/>
      <c r="D7" s="5"/>
      <c r="E7" s="5"/>
      <c r="F7" s="5"/>
      <c r="G7" s="1"/>
      <c r="H7" s="1"/>
      <c r="I7" s="1"/>
      <c r="J7" s="4"/>
      <c r="K7" s="5"/>
    </row>
    <row r="8" spans="4:11" ht="15.75">
      <c r="D8" s="98"/>
      <c r="E8" s="27" t="s">
        <v>34</v>
      </c>
      <c r="F8" s="26"/>
      <c r="G8" s="26"/>
      <c r="H8" s="26"/>
      <c r="I8" s="26"/>
      <c r="J8" s="26"/>
      <c r="K8" s="5"/>
    </row>
    <row r="9" spans="1:11" ht="12.75">
      <c r="A9" s="30">
        <v>1</v>
      </c>
      <c r="B9" s="79" t="s">
        <v>210</v>
      </c>
      <c r="C9" s="7" t="s">
        <v>211</v>
      </c>
      <c r="D9" s="7" t="s">
        <v>212</v>
      </c>
      <c r="E9" s="7" t="s">
        <v>12</v>
      </c>
      <c r="F9" s="7" t="s">
        <v>82</v>
      </c>
      <c r="G9" s="39" t="s">
        <v>466</v>
      </c>
      <c r="H9" s="39" t="s">
        <v>461</v>
      </c>
      <c r="I9" s="39" t="s">
        <v>460</v>
      </c>
      <c r="J9" s="86" t="s">
        <v>460</v>
      </c>
      <c r="K9" s="7" t="s">
        <v>337</v>
      </c>
    </row>
    <row r="10" spans="1:11" ht="12.75">
      <c r="A10" s="30">
        <v>2</v>
      </c>
      <c r="B10" s="80" t="s">
        <v>464</v>
      </c>
      <c r="C10" s="8" t="s">
        <v>465</v>
      </c>
      <c r="D10" s="8" t="s">
        <v>383</v>
      </c>
      <c r="E10" s="8" t="s">
        <v>12</v>
      </c>
      <c r="F10" s="8" t="s">
        <v>82</v>
      </c>
      <c r="G10" s="48" t="s">
        <v>462</v>
      </c>
      <c r="H10" s="48" t="s">
        <v>461</v>
      </c>
      <c r="I10" s="92" t="s">
        <v>460</v>
      </c>
      <c r="J10" s="87" t="s">
        <v>135</v>
      </c>
      <c r="K10" s="8" t="s">
        <v>337</v>
      </c>
    </row>
    <row r="11" spans="1:11" ht="12.75">
      <c r="A11" s="30">
        <v>1</v>
      </c>
      <c r="B11" s="81" t="s">
        <v>464</v>
      </c>
      <c r="C11" s="9" t="s">
        <v>463</v>
      </c>
      <c r="D11" s="9" t="s">
        <v>383</v>
      </c>
      <c r="E11" s="9" t="s">
        <v>12</v>
      </c>
      <c r="F11" s="9" t="s">
        <v>82</v>
      </c>
      <c r="G11" s="43" t="s">
        <v>462</v>
      </c>
      <c r="H11" s="43" t="s">
        <v>461</v>
      </c>
      <c r="I11" s="95" t="s">
        <v>460</v>
      </c>
      <c r="J11" s="88" t="s">
        <v>135</v>
      </c>
      <c r="K11" s="9" t="s">
        <v>337</v>
      </c>
    </row>
    <row r="12" spans="2:11" ht="12.75">
      <c r="B12" s="82"/>
      <c r="C12" s="5"/>
      <c r="D12" s="5"/>
      <c r="E12" s="5"/>
      <c r="F12" s="5"/>
      <c r="G12" s="1"/>
      <c r="H12" s="1"/>
      <c r="I12" s="1"/>
      <c r="J12" s="4"/>
      <c r="K12" s="5"/>
    </row>
    <row r="23" ht="12.75">
      <c r="F23" t="s">
        <v>505</v>
      </c>
    </row>
  </sheetData>
  <sheetProtection/>
  <mergeCells count="10">
    <mergeCell ref="J3:J4"/>
    <mergeCell ref="A3:A4"/>
    <mergeCell ref="B1:K2"/>
    <mergeCell ref="B3:B4"/>
    <mergeCell ref="C3:C4"/>
    <mergeCell ref="D3:D4"/>
    <mergeCell ref="K3:K4"/>
    <mergeCell ref="F3:F4"/>
    <mergeCell ref="E3:E4"/>
    <mergeCell ref="G3:I3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16" sqref="F16"/>
    </sheetView>
  </sheetViews>
  <sheetFormatPr defaultColWidth="8.75390625" defaultRowHeight="12.75"/>
  <cols>
    <col min="1" max="1" width="9.125" style="30" customWidth="1"/>
    <col min="2" max="2" width="17.25390625" style="0" bestFit="1" customWidth="1"/>
    <col min="3" max="3" width="29.375" style="0" customWidth="1"/>
    <col min="4" max="4" width="11.375" style="0" bestFit="1" customWidth="1"/>
    <col min="5" max="5" width="16.875" style="0" customWidth="1"/>
    <col min="6" max="6" width="35.875" style="0" bestFit="1" customWidth="1"/>
    <col min="7" max="7" width="8.375" style="0" customWidth="1"/>
    <col min="8" max="8" width="8.625" style="0" customWidth="1"/>
    <col min="9" max="9" width="8.375" style="0" customWidth="1"/>
    <col min="10" max="10" width="11.875" style="70" customWidth="1"/>
    <col min="11" max="11" width="15.375" style="0" bestFit="1" customWidth="1"/>
  </cols>
  <sheetData>
    <row r="1" spans="2:11" ht="12.75">
      <c r="B1" s="104" t="s">
        <v>515</v>
      </c>
      <c r="C1" s="105"/>
      <c r="D1" s="105"/>
      <c r="E1" s="105"/>
      <c r="F1" s="105"/>
      <c r="G1" s="105"/>
      <c r="H1" s="105"/>
      <c r="I1" s="105"/>
      <c r="J1" s="105"/>
      <c r="K1" s="106"/>
    </row>
    <row r="2" spans="2:11" ht="117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1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5</v>
      </c>
      <c r="F3" s="124" t="s">
        <v>499</v>
      </c>
      <c r="G3" s="126" t="s">
        <v>2</v>
      </c>
      <c r="H3" s="126"/>
      <c r="I3" s="126"/>
      <c r="J3" s="114" t="s">
        <v>481</v>
      </c>
      <c r="K3" s="99" t="s">
        <v>3</v>
      </c>
    </row>
    <row r="4" spans="1:11" ht="15" customHeight="1" thickBot="1">
      <c r="A4" s="116"/>
      <c r="B4" s="111"/>
      <c r="C4" s="113"/>
      <c r="D4" s="113"/>
      <c r="E4" s="113"/>
      <c r="F4" s="125"/>
      <c r="G4" s="3" t="s">
        <v>473</v>
      </c>
      <c r="H4" s="3" t="s">
        <v>472</v>
      </c>
      <c r="I4" s="3" t="s">
        <v>471</v>
      </c>
      <c r="J4" s="113"/>
      <c r="K4" s="100"/>
    </row>
    <row r="5" spans="2:11" ht="15.75">
      <c r="B5" s="117" t="s">
        <v>470</v>
      </c>
      <c r="C5" s="117"/>
      <c r="D5" s="117"/>
      <c r="E5" s="117"/>
      <c r="F5" s="117"/>
      <c r="G5" s="117"/>
      <c r="H5" s="117"/>
      <c r="I5" s="117"/>
      <c r="J5" s="117"/>
      <c r="K5" s="11"/>
    </row>
    <row r="6" spans="1:11" ht="12.75">
      <c r="A6" s="30">
        <v>1</v>
      </c>
      <c r="B6" s="12" t="s">
        <v>359</v>
      </c>
      <c r="C6" s="12" t="s">
        <v>360</v>
      </c>
      <c r="D6" s="12" t="s">
        <v>361</v>
      </c>
      <c r="E6" s="12" t="s">
        <v>12</v>
      </c>
      <c r="F6" s="12" t="s">
        <v>67</v>
      </c>
      <c r="G6" s="31" t="s">
        <v>146</v>
      </c>
      <c r="H6" s="31" t="s">
        <v>158</v>
      </c>
      <c r="I6" s="31" t="s">
        <v>147</v>
      </c>
      <c r="J6" s="66">
        <v>90</v>
      </c>
      <c r="K6" s="12" t="s">
        <v>68</v>
      </c>
    </row>
    <row r="7" spans="2:11" ht="12.75">
      <c r="B7" s="11"/>
      <c r="C7" s="11"/>
      <c r="D7" s="11"/>
      <c r="E7" s="11"/>
      <c r="F7" s="11"/>
      <c r="G7" s="11"/>
      <c r="H7" s="11"/>
      <c r="I7" s="11"/>
      <c r="K7" s="11"/>
    </row>
    <row r="8" spans="2:11" ht="15.75">
      <c r="B8" s="103" t="s">
        <v>34</v>
      </c>
      <c r="C8" s="103"/>
      <c r="D8" s="103"/>
      <c r="E8" s="103"/>
      <c r="F8" s="103"/>
      <c r="G8" s="103"/>
      <c r="H8" s="103"/>
      <c r="I8" s="103"/>
      <c r="J8" s="103"/>
      <c r="K8" s="11"/>
    </row>
    <row r="9" spans="1:11" ht="12.75">
      <c r="A9" s="30">
        <v>1</v>
      </c>
      <c r="B9" s="13" t="s">
        <v>476</v>
      </c>
      <c r="C9" s="13" t="s">
        <v>475</v>
      </c>
      <c r="D9" s="13" t="s">
        <v>212</v>
      </c>
      <c r="E9" s="13" t="s">
        <v>12</v>
      </c>
      <c r="F9" s="13" t="s">
        <v>423</v>
      </c>
      <c r="G9" s="39" t="s">
        <v>23</v>
      </c>
      <c r="H9" s="39" t="s">
        <v>109</v>
      </c>
      <c r="I9" s="39" t="s">
        <v>45</v>
      </c>
      <c r="J9" s="67">
        <v>150</v>
      </c>
      <c r="K9" s="13" t="s">
        <v>337</v>
      </c>
    </row>
    <row r="10" spans="1:11" ht="12.75">
      <c r="A10" s="30">
        <v>2</v>
      </c>
      <c r="B10" s="14" t="s">
        <v>464</v>
      </c>
      <c r="C10" s="14" t="s">
        <v>465</v>
      </c>
      <c r="D10" s="14" t="s">
        <v>383</v>
      </c>
      <c r="E10" s="14" t="s">
        <v>12</v>
      </c>
      <c r="F10" s="14" t="s">
        <v>423</v>
      </c>
      <c r="G10" s="48" t="s">
        <v>163</v>
      </c>
      <c r="H10" s="48" t="s">
        <v>164</v>
      </c>
      <c r="I10" s="48" t="s">
        <v>22</v>
      </c>
      <c r="J10" s="68">
        <v>120</v>
      </c>
      <c r="K10" s="14" t="s">
        <v>337</v>
      </c>
    </row>
    <row r="11" spans="1:11" ht="12.75">
      <c r="A11" s="30">
        <v>1</v>
      </c>
      <c r="B11" s="15" t="s">
        <v>464</v>
      </c>
      <c r="C11" s="15" t="s">
        <v>463</v>
      </c>
      <c r="D11" s="15" t="s">
        <v>383</v>
      </c>
      <c r="E11" s="15" t="s">
        <v>12</v>
      </c>
      <c r="F11" s="15" t="s">
        <v>423</v>
      </c>
      <c r="G11" s="43" t="s">
        <v>163</v>
      </c>
      <c r="H11" s="43" t="s">
        <v>164</v>
      </c>
      <c r="I11" s="43" t="s">
        <v>22</v>
      </c>
      <c r="J11" s="69" t="s">
        <v>474</v>
      </c>
      <c r="K11" s="15" t="s">
        <v>337</v>
      </c>
    </row>
    <row r="12" spans="2:11" ht="12.75">
      <c r="B12" s="11"/>
      <c r="C12" s="11"/>
      <c r="D12" s="11"/>
      <c r="E12" s="11"/>
      <c r="F12" s="11"/>
      <c r="G12" s="11"/>
      <c r="H12" s="11"/>
      <c r="I12" s="11"/>
      <c r="K12" s="11"/>
    </row>
  </sheetData>
  <sheetProtection/>
  <mergeCells count="12">
    <mergeCell ref="B1:K2"/>
    <mergeCell ref="B3:B4"/>
    <mergeCell ref="C3:C4"/>
    <mergeCell ref="D3:D4"/>
    <mergeCell ref="E3:E4"/>
    <mergeCell ref="F3:F4"/>
    <mergeCell ref="G3:I3"/>
    <mergeCell ref="J3:J4"/>
    <mergeCell ref="K3:K4"/>
    <mergeCell ref="B5:J5"/>
    <mergeCell ref="B8:J8"/>
    <mergeCell ref="A3:A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42" sqref="A42:IV42"/>
    </sheetView>
  </sheetViews>
  <sheetFormatPr defaultColWidth="9.125" defaultRowHeight="12.75"/>
  <cols>
    <col min="1" max="1" width="9.125" style="60" customWidth="1"/>
    <col min="2" max="2" width="23.375" style="82" customWidth="1"/>
    <col min="3" max="3" width="26.875" style="5" bestFit="1" customWidth="1"/>
    <col min="4" max="4" width="11.375" style="5" bestFit="1" customWidth="1"/>
    <col min="5" max="5" width="8.375" style="5" bestFit="1" customWidth="1"/>
    <col min="6" max="6" width="15.25390625" style="5" customWidth="1"/>
    <col min="7" max="7" width="32.75390625" style="5" customWidth="1"/>
    <col min="8" max="10" width="5.625" style="60" bestFit="1" customWidth="1"/>
    <col min="11" max="11" width="4.625" style="60" bestFit="1" customWidth="1"/>
    <col min="12" max="12" width="12.75390625" style="60" customWidth="1"/>
    <col min="13" max="13" width="8.625" style="60" bestFit="1" customWidth="1"/>
    <col min="14" max="14" width="17.75390625" style="5" bestFit="1" customWidth="1"/>
    <col min="15" max="16384" width="9.125" style="1" customWidth="1"/>
  </cols>
  <sheetData>
    <row r="1" spans="2:14" ht="15" customHeight="1">
      <c r="B1" s="104" t="s">
        <v>511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ht="114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1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20" t="s">
        <v>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60" t="s">
        <v>473</v>
      </c>
      <c r="B6" s="77" t="s">
        <v>9</v>
      </c>
      <c r="C6" s="6" t="s">
        <v>10</v>
      </c>
      <c r="D6" s="6" t="s">
        <v>11</v>
      </c>
      <c r="E6" s="6" t="str">
        <f>"1,1221"</f>
        <v>1,1221</v>
      </c>
      <c r="F6" s="6" t="s">
        <v>12</v>
      </c>
      <c r="G6" s="6" t="s">
        <v>13</v>
      </c>
      <c r="H6" s="31" t="s">
        <v>14</v>
      </c>
      <c r="I6" s="31" t="s">
        <v>15</v>
      </c>
      <c r="J6" s="31" t="s">
        <v>16</v>
      </c>
      <c r="K6" s="89"/>
      <c r="L6" s="84" t="s">
        <v>16</v>
      </c>
      <c r="M6" s="84" t="str">
        <f>"92,5732"</f>
        <v>92,5732</v>
      </c>
      <c r="N6" s="6" t="s">
        <v>17</v>
      </c>
    </row>
    <row r="8" spans="2:13" ht="15.75">
      <c r="B8" s="121" t="s">
        <v>18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60" t="s">
        <v>473</v>
      </c>
      <c r="B9" s="77" t="s">
        <v>19</v>
      </c>
      <c r="C9" s="6" t="s">
        <v>20</v>
      </c>
      <c r="D9" s="6" t="s">
        <v>21</v>
      </c>
      <c r="E9" s="6" t="str">
        <f>"0,7228"</f>
        <v>0,7228</v>
      </c>
      <c r="F9" s="6" t="s">
        <v>12</v>
      </c>
      <c r="G9" s="6" t="s">
        <v>13</v>
      </c>
      <c r="H9" s="31" t="s">
        <v>22</v>
      </c>
      <c r="I9" s="31" t="s">
        <v>23</v>
      </c>
      <c r="J9" s="90" t="s">
        <v>24</v>
      </c>
      <c r="K9" s="89"/>
      <c r="L9" s="84" t="s">
        <v>23</v>
      </c>
      <c r="M9" s="84" t="str">
        <f>"93,9640"</f>
        <v>93,9640</v>
      </c>
      <c r="N9" s="6" t="s">
        <v>17</v>
      </c>
    </row>
    <row r="11" spans="2:13" ht="15.75">
      <c r="B11" s="121" t="s">
        <v>25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4" ht="12.75">
      <c r="A12" s="60" t="s">
        <v>473</v>
      </c>
      <c r="B12" s="77" t="s">
        <v>26</v>
      </c>
      <c r="C12" s="6" t="s">
        <v>27</v>
      </c>
      <c r="D12" s="6" t="s">
        <v>28</v>
      </c>
      <c r="E12" s="6" t="str">
        <f>"0,6704"</f>
        <v>0,6704</v>
      </c>
      <c r="F12" s="6" t="s">
        <v>12</v>
      </c>
      <c r="G12" s="6" t="s">
        <v>29</v>
      </c>
      <c r="H12" s="31" t="s">
        <v>30</v>
      </c>
      <c r="I12" s="31" t="s">
        <v>31</v>
      </c>
      <c r="J12" s="31" t="s">
        <v>32</v>
      </c>
      <c r="K12" s="89"/>
      <c r="L12" s="84" t="s">
        <v>32</v>
      </c>
      <c r="M12" s="84" t="str">
        <f>"110,6160"</f>
        <v>110,6160</v>
      </c>
      <c r="N12" s="6" t="s">
        <v>33</v>
      </c>
    </row>
    <row r="13" spans="2:13" ht="12.75">
      <c r="B13" s="78"/>
      <c r="C13" s="24"/>
      <c r="D13" s="24"/>
      <c r="E13" s="24"/>
      <c r="F13" s="24"/>
      <c r="G13" s="24"/>
      <c r="H13" s="85"/>
      <c r="I13" s="85"/>
      <c r="J13" s="85"/>
      <c r="K13" s="85"/>
      <c r="L13" s="85"/>
      <c r="M13" s="85"/>
    </row>
    <row r="14" spans="2:13" ht="15.75">
      <c r="B14" s="122" t="s">
        <v>34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4" ht="12.75">
      <c r="A15" s="60" t="s">
        <v>473</v>
      </c>
      <c r="B15" s="79" t="s">
        <v>35</v>
      </c>
      <c r="C15" s="7" t="s">
        <v>36</v>
      </c>
      <c r="D15" s="7" t="s">
        <v>37</v>
      </c>
      <c r="E15" s="7" t="str">
        <f>"0,6588"</f>
        <v>0,6588</v>
      </c>
      <c r="F15" s="7" t="s">
        <v>12</v>
      </c>
      <c r="G15" s="7" t="s">
        <v>38</v>
      </c>
      <c r="H15" s="39" t="s">
        <v>39</v>
      </c>
      <c r="I15" s="39" t="s">
        <v>32</v>
      </c>
      <c r="J15" s="39" t="s">
        <v>40</v>
      </c>
      <c r="K15" s="91"/>
      <c r="L15" s="86" t="s">
        <v>40</v>
      </c>
      <c r="M15" s="86" t="str">
        <f>"111,9960"</f>
        <v>111,9960</v>
      </c>
      <c r="N15" s="7" t="s">
        <v>41</v>
      </c>
    </row>
    <row r="16" spans="1:14" ht="12.75">
      <c r="A16" s="60" t="s">
        <v>472</v>
      </c>
      <c r="B16" s="80" t="s">
        <v>42</v>
      </c>
      <c r="C16" s="8" t="s">
        <v>43</v>
      </c>
      <c r="D16" s="8" t="s">
        <v>44</v>
      </c>
      <c r="E16" s="8" t="str">
        <f>"0,6455"</f>
        <v>0,6455</v>
      </c>
      <c r="F16" s="8" t="s">
        <v>12</v>
      </c>
      <c r="G16" s="8" t="s">
        <v>13</v>
      </c>
      <c r="H16" s="48" t="s">
        <v>45</v>
      </c>
      <c r="I16" s="48" t="s">
        <v>31</v>
      </c>
      <c r="J16" s="92" t="s">
        <v>40</v>
      </c>
      <c r="K16" s="93"/>
      <c r="L16" s="87" t="s">
        <v>31</v>
      </c>
      <c r="M16" s="87" t="str">
        <f>"103,2800"</f>
        <v>103,2800</v>
      </c>
      <c r="N16" s="8" t="s">
        <v>46</v>
      </c>
    </row>
    <row r="17" spans="1:14" ht="12.75">
      <c r="A17" s="60" t="s">
        <v>473</v>
      </c>
      <c r="B17" s="80" t="s">
        <v>47</v>
      </c>
      <c r="C17" s="8" t="s">
        <v>48</v>
      </c>
      <c r="D17" s="8" t="s">
        <v>49</v>
      </c>
      <c r="E17" s="8" t="str">
        <f>"0,6395"</f>
        <v>0,6395</v>
      </c>
      <c r="F17" s="8" t="s">
        <v>12</v>
      </c>
      <c r="G17" s="8" t="s">
        <v>13</v>
      </c>
      <c r="H17" s="48" t="s">
        <v>50</v>
      </c>
      <c r="I17" s="48" t="s">
        <v>51</v>
      </c>
      <c r="J17" s="48" t="s">
        <v>52</v>
      </c>
      <c r="K17" s="93"/>
      <c r="L17" s="87" t="s">
        <v>52</v>
      </c>
      <c r="M17" s="87" t="str">
        <f>"115,1100"</f>
        <v>115,1100</v>
      </c>
      <c r="N17" s="8" t="s">
        <v>17</v>
      </c>
    </row>
    <row r="18" spans="1:14" ht="12.75">
      <c r="A18" s="60" t="s">
        <v>472</v>
      </c>
      <c r="B18" s="81" t="s">
        <v>35</v>
      </c>
      <c r="C18" s="9" t="s">
        <v>53</v>
      </c>
      <c r="D18" s="9" t="s">
        <v>37</v>
      </c>
      <c r="E18" s="9" t="str">
        <f>"0,6588"</f>
        <v>0,6588</v>
      </c>
      <c r="F18" s="9" t="s">
        <v>12</v>
      </c>
      <c r="G18" s="9" t="s">
        <v>38</v>
      </c>
      <c r="H18" s="43" t="s">
        <v>39</v>
      </c>
      <c r="I18" s="43" t="s">
        <v>32</v>
      </c>
      <c r="J18" s="43" t="s">
        <v>40</v>
      </c>
      <c r="K18" s="94"/>
      <c r="L18" s="88" t="s">
        <v>40</v>
      </c>
      <c r="M18" s="88" t="str">
        <f>"111,9960"</f>
        <v>111,9960</v>
      </c>
      <c r="N18" s="9" t="s">
        <v>41</v>
      </c>
    </row>
    <row r="20" spans="2:13" ht="15.75">
      <c r="B20" s="121" t="s">
        <v>55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4" ht="12.75">
      <c r="A21" s="60" t="s">
        <v>473</v>
      </c>
      <c r="B21" s="79" t="s">
        <v>56</v>
      </c>
      <c r="C21" s="7" t="s">
        <v>57</v>
      </c>
      <c r="D21" s="7" t="s">
        <v>58</v>
      </c>
      <c r="E21" s="7" t="str">
        <f>"0,6169"</f>
        <v>0,6169</v>
      </c>
      <c r="F21" s="7" t="s">
        <v>12</v>
      </c>
      <c r="G21" s="7" t="s">
        <v>423</v>
      </c>
      <c r="H21" s="39" t="s">
        <v>45</v>
      </c>
      <c r="I21" s="39" t="s">
        <v>31</v>
      </c>
      <c r="J21" s="39" t="s">
        <v>50</v>
      </c>
      <c r="K21" s="91"/>
      <c r="L21" s="86" t="s">
        <v>50</v>
      </c>
      <c r="M21" s="86" t="str">
        <f>"103,3308"</f>
        <v>103,3308</v>
      </c>
      <c r="N21" s="7" t="s">
        <v>59</v>
      </c>
    </row>
    <row r="22" spans="1:14" ht="12.75">
      <c r="A22" s="60" t="s">
        <v>472</v>
      </c>
      <c r="B22" s="80" t="s">
        <v>60</v>
      </c>
      <c r="C22" s="8" t="s">
        <v>61</v>
      </c>
      <c r="D22" s="8" t="s">
        <v>62</v>
      </c>
      <c r="E22" s="8" t="str">
        <f>"0,6098"</f>
        <v>0,6098</v>
      </c>
      <c r="F22" s="8" t="s">
        <v>12</v>
      </c>
      <c r="G22" s="8" t="s">
        <v>423</v>
      </c>
      <c r="H22" s="48" t="s">
        <v>31</v>
      </c>
      <c r="I22" s="48" t="s">
        <v>50</v>
      </c>
      <c r="J22" s="92" t="s">
        <v>40</v>
      </c>
      <c r="K22" s="93"/>
      <c r="L22" s="87" t="s">
        <v>50</v>
      </c>
      <c r="M22" s="87" t="str">
        <f>"102,1415"</f>
        <v>102,1415</v>
      </c>
      <c r="N22" s="8" t="s">
        <v>63</v>
      </c>
    </row>
    <row r="23" spans="1:14" ht="12.75">
      <c r="A23" s="60" t="s">
        <v>471</v>
      </c>
      <c r="B23" s="81" t="s">
        <v>64</v>
      </c>
      <c r="C23" s="9" t="s">
        <v>65</v>
      </c>
      <c r="D23" s="9" t="s">
        <v>66</v>
      </c>
      <c r="E23" s="9" t="str">
        <f>"0,6103"</f>
        <v>0,6103</v>
      </c>
      <c r="F23" s="9" t="s">
        <v>12</v>
      </c>
      <c r="G23" s="9" t="s">
        <v>67</v>
      </c>
      <c r="H23" s="43" t="s">
        <v>30</v>
      </c>
      <c r="I23" s="43" t="s">
        <v>39</v>
      </c>
      <c r="J23" s="95" t="s">
        <v>32</v>
      </c>
      <c r="K23" s="94"/>
      <c r="L23" s="88" t="s">
        <v>39</v>
      </c>
      <c r="M23" s="88" t="str">
        <f>"99,1738"</f>
        <v>99,1738</v>
      </c>
      <c r="N23" s="9" t="s">
        <v>68</v>
      </c>
    </row>
    <row r="25" spans="2:13" ht="15.75">
      <c r="B25" s="121" t="s">
        <v>69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4" ht="12.75">
      <c r="A26" s="60" t="s">
        <v>473</v>
      </c>
      <c r="B26" s="79" t="s">
        <v>70</v>
      </c>
      <c r="C26" s="7" t="s">
        <v>71</v>
      </c>
      <c r="D26" s="7" t="s">
        <v>72</v>
      </c>
      <c r="E26" s="7" t="str">
        <f>"0,5937"</f>
        <v>0,5937</v>
      </c>
      <c r="F26" s="7" t="s">
        <v>12</v>
      </c>
      <c r="G26" s="7" t="s">
        <v>82</v>
      </c>
      <c r="H26" s="39" t="s">
        <v>40</v>
      </c>
      <c r="I26" s="39" t="s">
        <v>51</v>
      </c>
      <c r="J26" s="39" t="s">
        <v>52</v>
      </c>
      <c r="K26" s="91"/>
      <c r="L26" s="86" t="s">
        <v>52</v>
      </c>
      <c r="M26" s="86" t="str">
        <f>"106,8660"</f>
        <v>106,8660</v>
      </c>
      <c r="N26" s="7" t="s">
        <v>92</v>
      </c>
    </row>
    <row r="27" spans="1:14" ht="12.75">
      <c r="A27" s="60" t="s">
        <v>473</v>
      </c>
      <c r="B27" s="80" t="s">
        <v>73</v>
      </c>
      <c r="C27" s="8" t="s">
        <v>74</v>
      </c>
      <c r="D27" s="8" t="s">
        <v>75</v>
      </c>
      <c r="E27" s="8" t="str">
        <f>"0,5992"</f>
        <v>0,5992</v>
      </c>
      <c r="F27" s="8" t="s">
        <v>12</v>
      </c>
      <c r="G27" s="8" t="s">
        <v>67</v>
      </c>
      <c r="H27" s="48" t="s">
        <v>76</v>
      </c>
      <c r="I27" s="48" t="s">
        <v>77</v>
      </c>
      <c r="J27" s="48" t="s">
        <v>78</v>
      </c>
      <c r="K27" s="93"/>
      <c r="L27" s="87" t="s">
        <v>78</v>
      </c>
      <c r="M27" s="87" t="str">
        <f>"127,3300"</f>
        <v>127,3300</v>
      </c>
      <c r="N27" s="8" t="s">
        <v>68</v>
      </c>
    </row>
    <row r="28" spans="1:14" ht="12.75">
      <c r="A28" s="60" t="s">
        <v>472</v>
      </c>
      <c r="B28" s="80" t="s">
        <v>79</v>
      </c>
      <c r="C28" s="8" t="s">
        <v>80</v>
      </c>
      <c r="D28" s="8" t="s">
        <v>81</v>
      </c>
      <c r="E28" s="8" t="str">
        <f>"0,5923"</f>
        <v>0,5923</v>
      </c>
      <c r="F28" s="8" t="s">
        <v>12</v>
      </c>
      <c r="G28" s="8" t="s">
        <v>82</v>
      </c>
      <c r="H28" s="48" t="s">
        <v>52</v>
      </c>
      <c r="I28" s="49" t="s">
        <v>83</v>
      </c>
      <c r="J28" s="92" t="s">
        <v>83</v>
      </c>
      <c r="K28" s="93"/>
      <c r="L28" s="87" t="s">
        <v>52</v>
      </c>
      <c r="M28" s="87" t="str">
        <f>"106,6140"</f>
        <v>106,6140</v>
      </c>
      <c r="N28" s="8" t="s">
        <v>84</v>
      </c>
    </row>
    <row r="29" spans="1:14" ht="12.75">
      <c r="A29" s="60" t="s">
        <v>471</v>
      </c>
      <c r="B29" s="80" t="s">
        <v>85</v>
      </c>
      <c r="C29" s="8" t="s">
        <v>86</v>
      </c>
      <c r="D29" s="8" t="s">
        <v>87</v>
      </c>
      <c r="E29" s="8" t="str">
        <f>"0,5885"</f>
        <v>0,5885</v>
      </c>
      <c r="F29" s="8" t="s">
        <v>12</v>
      </c>
      <c r="G29" s="8" t="s">
        <v>82</v>
      </c>
      <c r="H29" s="48" t="s">
        <v>50</v>
      </c>
      <c r="I29" s="48" t="s">
        <v>52</v>
      </c>
      <c r="J29" s="92" t="s">
        <v>83</v>
      </c>
      <c r="K29" s="93"/>
      <c r="L29" s="87" t="s">
        <v>52</v>
      </c>
      <c r="M29" s="87" t="str">
        <f>"105,9300"</f>
        <v>105,9300</v>
      </c>
      <c r="N29" s="8" t="s">
        <v>430</v>
      </c>
    </row>
    <row r="30" spans="1:14" ht="12.75">
      <c r="A30" s="60" t="s">
        <v>473</v>
      </c>
      <c r="B30" s="81" t="s">
        <v>88</v>
      </c>
      <c r="C30" s="9" t="s">
        <v>89</v>
      </c>
      <c r="D30" s="9" t="s">
        <v>72</v>
      </c>
      <c r="E30" s="9" t="str">
        <f>"0,5937"</f>
        <v>0,5937</v>
      </c>
      <c r="F30" s="9" t="s">
        <v>12</v>
      </c>
      <c r="G30" s="9" t="s">
        <v>82</v>
      </c>
      <c r="H30" s="43" t="s">
        <v>51</v>
      </c>
      <c r="I30" s="43" t="s">
        <v>90</v>
      </c>
      <c r="J30" s="95" t="s">
        <v>83</v>
      </c>
      <c r="K30" s="94"/>
      <c r="L30" s="88" t="s">
        <v>90</v>
      </c>
      <c r="M30" s="88" t="str">
        <f>"126,3097"</f>
        <v>126,3097</v>
      </c>
      <c r="N30" s="9" t="s">
        <v>84</v>
      </c>
    </row>
    <row r="32" spans="2:13" ht="15.75">
      <c r="B32" s="121" t="s">
        <v>91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4" ht="12.75">
      <c r="A33" s="60" t="s">
        <v>473</v>
      </c>
      <c r="B33" s="79" t="s">
        <v>92</v>
      </c>
      <c r="C33" s="7" t="s">
        <v>93</v>
      </c>
      <c r="D33" s="7" t="s">
        <v>94</v>
      </c>
      <c r="E33" s="7" t="str">
        <f>"0,5772"</f>
        <v>0,5772</v>
      </c>
      <c r="F33" s="7" t="s">
        <v>12</v>
      </c>
      <c r="G33" s="7" t="s">
        <v>82</v>
      </c>
      <c r="H33" s="39" t="s">
        <v>95</v>
      </c>
      <c r="I33" s="39" t="s">
        <v>96</v>
      </c>
      <c r="J33" s="39" t="s">
        <v>97</v>
      </c>
      <c r="K33" s="91"/>
      <c r="L33" s="86" t="s">
        <v>97</v>
      </c>
      <c r="M33" s="86" t="str">
        <f>"128,4270"</f>
        <v>128,4270</v>
      </c>
      <c r="N33" s="7" t="s">
        <v>98</v>
      </c>
    </row>
    <row r="34" spans="1:14" ht="12.75">
      <c r="A34" s="60" t="s">
        <v>472</v>
      </c>
      <c r="B34" s="80" t="s">
        <v>99</v>
      </c>
      <c r="C34" s="8" t="s">
        <v>100</v>
      </c>
      <c r="D34" s="8" t="s">
        <v>101</v>
      </c>
      <c r="E34" s="8" t="str">
        <f>"0,5725"</f>
        <v>0,5725</v>
      </c>
      <c r="F34" s="8" t="s">
        <v>12</v>
      </c>
      <c r="G34" s="8" t="s">
        <v>67</v>
      </c>
      <c r="H34" s="48" t="s">
        <v>102</v>
      </c>
      <c r="I34" s="48" t="s">
        <v>76</v>
      </c>
      <c r="J34" s="92" t="s">
        <v>103</v>
      </c>
      <c r="K34" s="93"/>
      <c r="L34" s="87" t="s">
        <v>76</v>
      </c>
      <c r="M34" s="87" t="str">
        <f>"114,5000"</f>
        <v>114,5000</v>
      </c>
      <c r="N34" s="8" t="s">
        <v>429</v>
      </c>
    </row>
    <row r="35" spans="1:14" ht="12.75">
      <c r="A35" s="60" t="s">
        <v>473</v>
      </c>
      <c r="B35" s="81" t="s">
        <v>99</v>
      </c>
      <c r="C35" s="9" t="s">
        <v>104</v>
      </c>
      <c r="D35" s="9" t="s">
        <v>101</v>
      </c>
      <c r="E35" s="9" t="str">
        <f>"0,5725"</f>
        <v>0,5725</v>
      </c>
      <c r="F35" s="9" t="s">
        <v>12</v>
      </c>
      <c r="G35" s="9" t="s">
        <v>67</v>
      </c>
      <c r="H35" s="43" t="s">
        <v>102</v>
      </c>
      <c r="I35" s="43" t="s">
        <v>76</v>
      </c>
      <c r="J35" s="95" t="s">
        <v>103</v>
      </c>
      <c r="K35" s="94"/>
      <c r="L35" s="88" t="s">
        <v>486</v>
      </c>
      <c r="M35" s="88" t="str">
        <f>"135,9115"</f>
        <v>135,9115</v>
      </c>
      <c r="N35" s="9" t="s">
        <v>429</v>
      </c>
    </row>
    <row r="37" spans="2:13" ht="15.75">
      <c r="B37" s="121" t="s">
        <v>105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4" ht="12.75">
      <c r="A38" s="60" t="s">
        <v>473</v>
      </c>
      <c r="B38" s="77" t="s">
        <v>106</v>
      </c>
      <c r="C38" s="6" t="s">
        <v>107</v>
      </c>
      <c r="D38" s="6" t="s">
        <v>108</v>
      </c>
      <c r="E38" s="6" t="str">
        <f>"0,5696"</f>
        <v>0,5696</v>
      </c>
      <c r="F38" s="6" t="s">
        <v>12</v>
      </c>
      <c r="G38" s="6" t="s">
        <v>82</v>
      </c>
      <c r="H38" s="31" t="s">
        <v>109</v>
      </c>
      <c r="I38" s="31" t="s">
        <v>45</v>
      </c>
      <c r="J38" s="31" t="s">
        <v>31</v>
      </c>
      <c r="K38" s="89"/>
      <c r="L38" s="84" t="s">
        <v>31</v>
      </c>
      <c r="M38" s="84" t="str">
        <f>"91,1360"</f>
        <v>91,1360</v>
      </c>
      <c r="N38" s="6" t="s">
        <v>63</v>
      </c>
    </row>
    <row r="40" spans="2:3" ht="18">
      <c r="B40" s="75" t="s">
        <v>110</v>
      </c>
      <c r="C40" s="75"/>
    </row>
    <row r="42" spans="2:6" ht="13.5">
      <c r="B42" s="83" t="s">
        <v>112</v>
      </c>
      <c r="C42" s="76" t="s">
        <v>113</v>
      </c>
      <c r="D42" s="76" t="s">
        <v>114</v>
      </c>
      <c r="E42" s="76" t="s">
        <v>115</v>
      </c>
      <c r="F42" s="10" t="s">
        <v>116</v>
      </c>
    </row>
    <row r="43" spans="1:6" ht="12.75">
      <c r="A43" s="60" t="s">
        <v>473</v>
      </c>
      <c r="B43" s="74" t="s">
        <v>92</v>
      </c>
      <c r="C43" s="1" t="s">
        <v>111</v>
      </c>
      <c r="D43" s="60" t="s">
        <v>487</v>
      </c>
      <c r="E43" s="60" t="s">
        <v>97</v>
      </c>
      <c r="F43" s="60" t="s">
        <v>118</v>
      </c>
    </row>
  </sheetData>
  <sheetProtection/>
  <mergeCells count="20">
    <mergeCell ref="A3:A4"/>
    <mergeCell ref="B14:M14"/>
    <mergeCell ref="B20:M20"/>
    <mergeCell ref="B25:M25"/>
    <mergeCell ref="B32:M32"/>
    <mergeCell ref="B37:M37"/>
    <mergeCell ref="B5:M5"/>
    <mergeCell ref="B8:M8"/>
    <mergeCell ref="B11:M11"/>
    <mergeCell ref="E3:E4"/>
    <mergeCell ref="L3:L4"/>
    <mergeCell ref="M3:M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F21" sqref="F21"/>
    </sheetView>
  </sheetViews>
  <sheetFormatPr defaultColWidth="8.75390625" defaultRowHeight="12.75"/>
  <cols>
    <col min="1" max="1" width="7.375" style="30" customWidth="1"/>
    <col min="2" max="2" width="19.25390625" style="11" customWidth="1"/>
    <col min="3" max="3" width="26.875" style="11" bestFit="1" customWidth="1"/>
    <col min="4" max="4" width="11.125" style="11" customWidth="1"/>
    <col min="5" max="5" width="8.375" style="11" bestFit="1" customWidth="1"/>
    <col min="6" max="6" width="14.125" style="11" customWidth="1"/>
    <col min="7" max="7" width="31.25390625" style="11" bestFit="1" customWidth="1"/>
    <col min="8" max="10" width="5.625" style="36" bestFit="1" customWidth="1"/>
    <col min="11" max="11" width="4.625" style="36" bestFit="1" customWidth="1"/>
    <col min="12" max="12" width="11.375" style="59" customWidth="1"/>
    <col min="13" max="13" width="8.625" style="36" bestFit="1" customWidth="1"/>
    <col min="14" max="14" width="13.75390625" style="11" bestFit="1" customWidth="1"/>
  </cols>
  <sheetData>
    <row r="1" spans="1:14" s="1" customFormat="1" ht="15" customHeight="1">
      <c r="A1" s="60"/>
      <c r="B1" s="104" t="s">
        <v>508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4.7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1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148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266</v>
      </c>
      <c r="C6" s="12" t="s">
        <v>267</v>
      </c>
      <c r="D6" s="12" t="s">
        <v>268</v>
      </c>
      <c r="E6" s="12" t="str">
        <f>"1,0272"</f>
        <v>1,0272</v>
      </c>
      <c r="F6" s="12" t="s">
        <v>12</v>
      </c>
      <c r="G6" s="12" t="s">
        <v>82</v>
      </c>
      <c r="H6" s="31" t="s">
        <v>158</v>
      </c>
      <c r="I6" s="31" t="s">
        <v>147</v>
      </c>
      <c r="J6" s="37" t="s">
        <v>269</v>
      </c>
      <c r="K6" s="32"/>
      <c r="L6" s="66">
        <v>90</v>
      </c>
      <c r="M6" s="33" t="str">
        <f>"96,5157"</f>
        <v>96,5157</v>
      </c>
      <c r="N6" s="12" t="s">
        <v>68</v>
      </c>
    </row>
    <row r="8" spans="2:13" ht="15.75">
      <c r="B8" s="103" t="s">
        <v>34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30">
        <v>1</v>
      </c>
      <c r="B9" s="13" t="s">
        <v>257</v>
      </c>
      <c r="C9" s="13" t="s">
        <v>258</v>
      </c>
      <c r="D9" s="13" t="s">
        <v>259</v>
      </c>
      <c r="E9" s="13" t="str">
        <f>"0,6432"</f>
        <v>0,6432</v>
      </c>
      <c r="F9" s="13" t="s">
        <v>12</v>
      </c>
      <c r="G9" s="13" t="s">
        <v>67</v>
      </c>
      <c r="H9" s="39" t="s">
        <v>51</v>
      </c>
      <c r="I9" s="63" t="s">
        <v>90</v>
      </c>
      <c r="J9" s="39" t="s">
        <v>244</v>
      </c>
      <c r="K9" s="40"/>
      <c r="L9" s="67">
        <v>195</v>
      </c>
      <c r="M9" s="42" t="str">
        <f>"125,4240"</f>
        <v>125,4240</v>
      </c>
      <c r="N9" s="13" t="s">
        <v>424</v>
      </c>
    </row>
    <row r="10" spans="1:14" ht="12.75">
      <c r="A10" s="30">
        <v>1</v>
      </c>
      <c r="B10" s="15" t="s">
        <v>257</v>
      </c>
      <c r="C10" s="15" t="s">
        <v>260</v>
      </c>
      <c r="D10" s="15" t="s">
        <v>259</v>
      </c>
      <c r="E10" s="15" t="str">
        <f>"0,6432"</f>
        <v>0,6432</v>
      </c>
      <c r="F10" s="15" t="s">
        <v>12</v>
      </c>
      <c r="G10" s="15" t="s">
        <v>67</v>
      </c>
      <c r="H10" s="43" t="s">
        <v>51</v>
      </c>
      <c r="I10" s="65" t="s">
        <v>90</v>
      </c>
      <c r="J10" s="43" t="s">
        <v>244</v>
      </c>
      <c r="K10" s="44"/>
      <c r="L10" s="69">
        <v>195</v>
      </c>
      <c r="M10" s="46" t="str">
        <f>"162,6749"</f>
        <v>162,6749</v>
      </c>
      <c r="N10" s="15" t="s">
        <v>424</v>
      </c>
    </row>
    <row r="12" spans="2:13" ht="15.75">
      <c r="B12" s="103" t="s">
        <v>91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4" ht="12.75">
      <c r="A13" s="30">
        <v>1</v>
      </c>
      <c r="B13" s="13" t="s">
        <v>270</v>
      </c>
      <c r="C13" s="13" t="s">
        <v>271</v>
      </c>
      <c r="D13" s="13" t="s">
        <v>272</v>
      </c>
      <c r="E13" s="13" t="str">
        <f>"0,5761"</f>
        <v>0,5761</v>
      </c>
      <c r="F13" s="13" t="s">
        <v>12</v>
      </c>
      <c r="G13" s="13" t="s">
        <v>67</v>
      </c>
      <c r="H13" s="63" t="s">
        <v>273</v>
      </c>
      <c r="I13" s="39" t="s">
        <v>273</v>
      </c>
      <c r="J13" s="39" t="s">
        <v>264</v>
      </c>
      <c r="K13" s="40"/>
      <c r="L13" s="67">
        <v>230</v>
      </c>
      <c r="M13" s="42" t="str">
        <f>"132,5030"</f>
        <v>132,5030</v>
      </c>
      <c r="N13" s="13" t="s">
        <v>424</v>
      </c>
    </row>
    <row r="14" spans="1:14" ht="12.75">
      <c r="A14" s="30">
        <v>1</v>
      </c>
      <c r="B14" s="15" t="s">
        <v>270</v>
      </c>
      <c r="C14" s="15" t="s">
        <v>274</v>
      </c>
      <c r="D14" s="15" t="s">
        <v>272</v>
      </c>
      <c r="E14" s="15" t="str">
        <f>"0,5761"</f>
        <v>0,5761</v>
      </c>
      <c r="F14" s="15" t="s">
        <v>12</v>
      </c>
      <c r="G14" s="15" t="s">
        <v>67</v>
      </c>
      <c r="H14" s="65" t="s">
        <v>273</v>
      </c>
      <c r="I14" s="43" t="s">
        <v>273</v>
      </c>
      <c r="J14" s="43" t="s">
        <v>264</v>
      </c>
      <c r="K14" s="44"/>
      <c r="L14" s="69">
        <v>230</v>
      </c>
      <c r="M14" s="46" t="str">
        <f>"134,3580"</f>
        <v>134,3580</v>
      </c>
      <c r="N14" s="15" t="s">
        <v>424</v>
      </c>
    </row>
    <row r="16" ht="15.75">
      <c r="F16" s="16"/>
    </row>
  </sheetData>
  <sheetProtection/>
  <mergeCells count="15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2:M12"/>
    <mergeCell ref="A3:A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F27" sqref="F27"/>
    </sheetView>
  </sheetViews>
  <sheetFormatPr defaultColWidth="8.75390625" defaultRowHeight="12.75"/>
  <cols>
    <col min="1" max="1" width="9.125" style="30" customWidth="1"/>
    <col min="2" max="2" width="18.25390625" style="11" customWidth="1"/>
    <col min="3" max="3" width="26.125" style="11" customWidth="1"/>
    <col min="4" max="4" width="11.375" style="11" bestFit="1" customWidth="1"/>
    <col min="5" max="5" width="8.375" style="11" bestFit="1" customWidth="1"/>
    <col min="6" max="6" width="14.75390625" style="11" customWidth="1"/>
    <col min="7" max="7" width="31.25390625" style="11" bestFit="1" customWidth="1"/>
    <col min="8" max="10" width="5.625" style="11" bestFit="1" customWidth="1"/>
    <col min="11" max="11" width="4.625" style="11" bestFit="1" customWidth="1"/>
    <col min="12" max="12" width="11.125" style="70" customWidth="1"/>
    <col min="13" max="13" width="8.625" style="11" bestFit="1" customWidth="1"/>
    <col min="14" max="14" width="16.375" style="11" bestFit="1" customWidth="1"/>
  </cols>
  <sheetData>
    <row r="1" spans="1:14" s="1" customFormat="1" ht="15" customHeight="1">
      <c r="A1" s="60"/>
      <c r="B1" s="104" t="s">
        <v>509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4.7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1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3" t="s">
        <v>257</v>
      </c>
      <c r="C6" s="13" t="s">
        <v>258</v>
      </c>
      <c r="D6" s="13" t="s">
        <v>259</v>
      </c>
      <c r="E6" s="13" t="str">
        <f>"0,6432"</f>
        <v>0,6432</v>
      </c>
      <c r="F6" s="13" t="s">
        <v>12</v>
      </c>
      <c r="G6" s="13" t="s">
        <v>67</v>
      </c>
      <c r="H6" s="39" t="s">
        <v>244</v>
      </c>
      <c r="I6" s="40"/>
      <c r="J6" s="40"/>
      <c r="K6" s="40"/>
      <c r="L6" s="67">
        <v>195</v>
      </c>
      <c r="M6" s="42" t="str">
        <f>"125,4240"</f>
        <v>125,4240</v>
      </c>
      <c r="N6" s="13" t="s">
        <v>424</v>
      </c>
    </row>
    <row r="7" spans="1:14" ht="12.75">
      <c r="A7" s="30">
        <v>1</v>
      </c>
      <c r="B7" s="15" t="s">
        <v>257</v>
      </c>
      <c r="C7" s="15" t="s">
        <v>260</v>
      </c>
      <c r="D7" s="15" t="s">
        <v>259</v>
      </c>
      <c r="E7" s="15" t="str">
        <f>"0,6432"</f>
        <v>0,6432</v>
      </c>
      <c r="F7" s="15" t="s">
        <v>12</v>
      </c>
      <c r="G7" s="15" t="s">
        <v>67</v>
      </c>
      <c r="H7" s="43" t="s">
        <v>244</v>
      </c>
      <c r="I7" s="44"/>
      <c r="J7" s="44"/>
      <c r="K7" s="44"/>
      <c r="L7" s="69">
        <v>195</v>
      </c>
      <c r="M7" s="46" t="str">
        <f>"162,6749"</f>
        <v>162,6749</v>
      </c>
      <c r="N7" s="15" t="s">
        <v>424</v>
      </c>
    </row>
    <row r="9" spans="2:13" ht="15.75">
      <c r="B9" s="103" t="s">
        <v>91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4" ht="12.75">
      <c r="A10" s="30">
        <v>1</v>
      </c>
      <c r="B10" s="12" t="s">
        <v>261</v>
      </c>
      <c r="C10" s="12" t="s">
        <v>262</v>
      </c>
      <c r="D10" s="12" t="s">
        <v>263</v>
      </c>
      <c r="E10" s="12" t="str">
        <f>"0,5726"</f>
        <v>0,5726</v>
      </c>
      <c r="F10" s="12" t="s">
        <v>12</v>
      </c>
      <c r="G10" s="12" t="s">
        <v>82</v>
      </c>
      <c r="H10" s="34" t="s">
        <v>264</v>
      </c>
      <c r="I10" s="31" t="s">
        <v>264</v>
      </c>
      <c r="J10" s="31" t="s">
        <v>265</v>
      </c>
      <c r="K10" s="32"/>
      <c r="L10" s="66">
        <v>250</v>
      </c>
      <c r="M10" s="33" t="str">
        <f>"143,1500"</f>
        <v>143,1500</v>
      </c>
      <c r="N10" s="12" t="s">
        <v>63</v>
      </c>
    </row>
  </sheetData>
  <sheetProtection/>
  <mergeCells count="14">
    <mergeCell ref="N3:N4"/>
    <mergeCell ref="A3:A4"/>
    <mergeCell ref="B5:M5"/>
    <mergeCell ref="B9:M9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E19" sqref="E19"/>
    </sheetView>
  </sheetViews>
  <sheetFormatPr defaultColWidth="8.75390625" defaultRowHeight="12.75"/>
  <cols>
    <col min="1" max="1" width="9.125" style="29" customWidth="1"/>
    <col min="2" max="2" width="15.375" style="11" customWidth="1"/>
    <col min="3" max="3" width="26.875" style="11" bestFit="1" customWidth="1"/>
    <col min="4" max="4" width="12.00390625" style="11" customWidth="1"/>
    <col min="5" max="5" width="8.375" style="11" bestFit="1" customWidth="1"/>
    <col min="6" max="6" width="14.875" style="11" customWidth="1"/>
    <col min="7" max="7" width="31.75390625" style="11" bestFit="1" customWidth="1"/>
    <col min="8" max="10" width="5.625" style="11" bestFit="1" customWidth="1"/>
    <col min="11" max="11" width="4.625" style="11" bestFit="1" customWidth="1"/>
    <col min="12" max="12" width="11.625" style="11" customWidth="1"/>
    <col min="13" max="13" width="8.625" style="11" bestFit="1" customWidth="1"/>
    <col min="14" max="14" width="15.875" style="11" customWidth="1"/>
  </cols>
  <sheetData>
    <row r="1" spans="1:14" s="1" customFormat="1" ht="15" customHeight="1">
      <c r="A1" s="60"/>
      <c r="B1" s="104" t="s">
        <v>506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1.7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1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91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3" t="s">
        <v>285</v>
      </c>
      <c r="C6" s="13" t="s">
        <v>286</v>
      </c>
      <c r="D6" s="13" t="s">
        <v>287</v>
      </c>
      <c r="E6" s="13" t="str">
        <f>"0,5704"</f>
        <v>0,5704</v>
      </c>
      <c r="F6" s="13" t="s">
        <v>12</v>
      </c>
      <c r="G6" s="13" t="s">
        <v>82</v>
      </c>
      <c r="H6" s="39" t="s">
        <v>265</v>
      </c>
      <c r="I6" s="39" t="s">
        <v>288</v>
      </c>
      <c r="J6" s="39" t="s">
        <v>289</v>
      </c>
      <c r="K6" s="40"/>
      <c r="L6" s="42">
        <v>272.5</v>
      </c>
      <c r="M6" s="42" t="str">
        <f>"155,4340"</f>
        <v>155,4340</v>
      </c>
      <c r="N6" s="13" t="s">
        <v>484</v>
      </c>
    </row>
    <row r="7" spans="1:14" ht="12.75">
      <c r="A7" s="30">
        <v>1</v>
      </c>
      <c r="B7" s="15" t="s">
        <v>285</v>
      </c>
      <c r="C7" s="15" t="s">
        <v>290</v>
      </c>
      <c r="D7" s="15" t="s">
        <v>287</v>
      </c>
      <c r="E7" s="15" t="str">
        <f>"0,5704"</f>
        <v>0,5704</v>
      </c>
      <c r="F7" s="15" t="s">
        <v>12</v>
      </c>
      <c r="G7" s="15" t="s">
        <v>82</v>
      </c>
      <c r="H7" s="43" t="s">
        <v>265</v>
      </c>
      <c r="I7" s="43" t="s">
        <v>288</v>
      </c>
      <c r="J7" s="43" t="s">
        <v>289</v>
      </c>
      <c r="K7" s="44"/>
      <c r="L7" s="46">
        <v>272.5</v>
      </c>
      <c r="M7" s="46" t="str">
        <f>"178,7491"</f>
        <v>178,7491</v>
      </c>
      <c r="N7" s="15" t="s">
        <v>484</v>
      </c>
    </row>
    <row r="10" spans="2:3" ht="18">
      <c r="B10" s="17"/>
      <c r="C10" s="17"/>
    </row>
    <row r="11" spans="2:3" ht="15.75">
      <c r="B11" s="18"/>
      <c r="C11" s="18"/>
    </row>
    <row r="12" spans="2:3" ht="13.5">
      <c r="B12" s="20"/>
      <c r="C12" s="21"/>
    </row>
    <row r="13" spans="10:14" ht="12.75">
      <c r="J13"/>
      <c r="K13"/>
      <c r="L13"/>
      <c r="M13"/>
      <c r="N13"/>
    </row>
    <row r="14" spans="10:14" ht="12.75">
      <c r="J14"/>
      <c r="K14"/>
      <c r="L14"/>
      <c r="M14"/>
      <c r="N14"/>
    </row>
    <row r="15" spans="10:14" ht="12.75">
      <c r="J15"/>
      <c r="K15"/>
      <c r="L15"/>
      <c r="M15"/>
      <c r="N15"/>
    </row>
    <row r="16" spans="10:14" ht="12.75">
      <c r="J16"/>
      <c r="K16"/>
      <c r="L16"/>
      <c r="M16"/>
      <c r="N16"/>
    </row>
  </sheetData>
  <sheetProtection/>
  <mergeCells count="13"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E21" sqref="E21"/>
    </sheetView>
  </sheetViews>
  <sheetFormatPr defaultColWidth="8.75390625" defaultRowHeight="12.75"/>
  <cols>
    <col min="1" max="1" width="9.125" style="30" customWidth="1"/>
    <col min="2" max="2" width="17.875" style="11" customWidth="1"/>
    <col min="3" max="3" width="27.125" style="11" customWidth="1"/>
    <col min="4" max="4" width="11.375" style="11" bestFit="1" customWidth="1"/>
    <col min="5" max="5" width="8.375" style="11" bestFit="1" customWidth="1"/>
    <col min="6" max="6" width="15.875" style="11" customWidth="1"/>
    <col min="7" max="7" width="30.75390625" style="11" bestFit="1" customWidth="1"/>
    <col min="8" max="10" width="5.625" style="11" bestFit="1" customWidth="1"/>
    <col min="11" max="11" width="4.625" style="11" bestFit="1" customWidth="1"/>
    <col min="12" max="12" width="10.875" style="11" customWidth="1"/>
    <col min="13" max="13" width="8.625" style="11" bestFit="1" customWidth="1"/>
    <col min="14" max="14" width="15.375" style="11" bestFit="1" customWidth="1"/>
  </cols>
  <sheetData>
    <row r="1" spans="1:14" s="1" customFormat="1" ht="15" customHeight="1">
      <c r="A1" s="60"/>
      <c r="B1" s="104" t="s">
        <v>507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82.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1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34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275</v>
      </c>
      <c r="C6" s="12" t="s">
        <v>276</v>
      </c>
      <c r="D6" s="12" t="s">
        <v>277</v>
      </c>
      <c r="E6" s="12" t="str">
        <f>"0,6583"</f>
        <v>0,6583</v>
      </c>
      <c r="F6" s="12" t="s">
        <v>12</v>
      </c>
      <c r="G6" s="12" t="s">
        <v>82</v>
      </c>
      <c r="H6" s="31" t="s">
        <v>96</v>
      </c>
      <c r="I6" s="31" t="s">
        <v>278</v>
      </c>
      <c r="J6" s="34" t="s">
        <v>279</v>
      </c>
      <c r="K6" s="32"/>
      <c r="L6" s="33" t="s">
        <v>278</v>
      </c>
      <c r="M6" s="33" t="str">
        <f>"148,1175"</f>
        <v>148,1175</v>
      </c>
      <c r="N6" s="12" t="s">
        <v>337</v>
      </c>
    </row>
    <row r="8" spans="2:13" ht="15.75">
      <c r="B8" s="103" t="s">
        <v>91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30">
        <v>1</v>
      </c>
      <c r="B9" s="12" t="s">
        <v>280</v>
      </c>
      <c r="C9" s="12" t="s">
        <v>281</v>
      </c>
      <c r="D9" s="12" t="s">
        <v>282</v>
      </c>
      <c r="E9" s="12" t="str">
        <f>"0,5711"</f>
        <v>0,5711</v>
      </c>
      <c r="F9" s="12" t="s">
        <v>12</v>
      </c>
      <c r="G9" s="12" t="s">
        <v>82</v>
      </c>
      <c r="H9" s="34" t="s">
        <v>283</v>
      </c>
      <c r="I9" s="31" t="s">
        <v>283</v>
      </c>
      <c r="J9" s="34" t="s">
        <v>284</v>
      </c>
      <c r="K9" s="32"/>
      <c r="L9" s="33" t="s">
        <v>283</v>
      </c>
      <c r="M9" s="33" t="str">
        <f>"159,9080"</f>
        <v>159,9080</v>
      </c>
      <c r="N9" s="12" t="s">
        <v>68</v>
      </c>
    </row>
  </sheetData>
  <sheetProtection/>
  <mergeCells count="14">
    <mergeCell ref="N3:N4"/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C22" sqref="C22"/>
    </sheetView>
  </sheetViews>
  <sheetFormatPr defaultColWidth="8.75390625" defaultRowHeight="12.75"/>
  <cols>
    <col min="1" max="1" width="7.625" style="0" customWidth="1"/>
    <col min="2" max="2" width="17.375" style="11" customWidth="1"/>
    <col min="3" max="3" width="26.875" style="11" bestFit="1" customWidth="1"/>
    <col min="4" max="4" width="12.75390625" style="11" bestFit="1" customWidth="1"/>
    <col min="5" max="5" width="8.375" style="11" bestFit="1" customWidth="1"/>
    <col min="6" max="6" width="15.25390625" style="11" customWidth="1"/>
    <col min="7" max="7" width="31.25390625" style="11" bestFit="1" customWidth="1"/>
    <col min="8" max="8" width="5.625" style="11" bestFit="1" customWidth="1"/>
    <col min="9" max="9" width="4.875" style="11" customWidth="1"/>
    <col min="10" max="10" width="4.625" style="11" customWidth="1"/>
    <col min="11" max="11" width="4.625" style="11" bestFit="1" customWidth="1"/>
    <col min="12" max="12" width="11.75390625" style="11" customWidth="1"/>
    <col min="13" max="13" width="8.625" style="11" bestFit="1" customWidth="1"/>
    <col min="14" max="14" width="15.375" style="11" bestFit="1" customWidth="1"/>
  </cols>
  <sheetData>
    <row r="1" spans="2:14" s="1" customFormat="1" ht="15" customHeight="1">
      <c r="B1" s="104" t="s">
        <v>501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s="1" customFormat="1" ht="105.7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2</v>
      </c>
      <c r="I3" s="114"/>
      <c r="J3" s="114"/>
      <c r="K3" s="114"/>
      <c r="L3" s="114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13"/>
      <c r="M4" s="113"/>
      <c r="N4" s="100"/>
    </row>
    <row r="5" spans="2:13" ht="15.75">
      <c r="B5" s="117" t="s">
        <v>91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404</v>
      </c>
      <c r="C6" s="12" t="s">
        <v>325</v>
      </c>
      <c r="D6" s="12" t="s">
        <v>282</v>
      </c>
      <c r="E6" s="12" t="str">
        <f>"0,5711"</f>
        <v>0,5711</v>
      </c>
      <c r="F6" s="12" t="s">
        <v>12</v>
      </c>
      <c r="G6" s="12" t="s">
        <v>67</v>
      </c>
      <c r="H6" s="31" t="s">
        <v>416</v>
      </c>
      <c r="I6" s="32"/>
      <c r="J6" s="32"/>
      <c r="K6" s="32"/>
      <c r="L6" s="33">
        <v>287.5</v>
      </c>
      <c r="M6" s="33" t="str">
        <f>"164,1912"</f>
        <v>164,1912</v>
      </c>
      <c r="N6" s="12" t="s">
        <v>68</v>
      </c>
    </row>
    <row r="8" spans="2:13" ht="15.75">
      <c r="B8" s="103" t="s">
        <v>105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30">
        <v>1</v>
      </c>
      <c r="B9" s="12" t="s">
        <v>417</v>
      </c>
      <c r="C9" s="12" t="s">
        <v>418</v>
      </c>
      <c r="D9" s="12" t="s">
        <v>419</v>
      </c>
      <c r="E9" s="12" t="str">
        <f>"0,5687"</f>
        <v>0,5687</v>
      </c>
      <c r="F9" s="12" t="s">
        <v>12</v>
      </c>
      <c r="G9" s="12" t="s">
        <v>348</v>
      </c>
      <c r="H9" s="31" t="s">
        <v>278</v>
      </c>
      <c r="I9" s="34" t="s">
        <v>265</v>
      </c>
      <c r="J9" s="32"/>
      <c r="K9" s="32"/>
      <c r="L9" s="33" t="s">
        <v>278</v>
      </c>
      <c r="M9" s="33" t="str">
        <f>"159,9469"</f>
        <v>159,9469</v>
      </c>
      <c r="N9" s="12" t="s">
        <v>337</v>
      </c>
    </row>
    <row r="12" spans="2:3" ht="15.75" customHeight="1">
      <c r="B12" s="17"/>
      <c r="C12" s="17"/>
    </row>
    <row r="13" spans="2:3" ht="15.75">
      <c r="B13" s="18"/>
      <c r="C13" s="18"/>
    </row>
    <row r="14" spans="2:3" ht="13.5">
      <c r="B14" s="20"/>
      <c r="C14" s="21"/>
    </row>
    <row r="15" spans="9:14" ht="12.75">
      <c r="I15"/>
      <c r="J15"/>
      <c r="K15"/>
      <c r="L15"/>
      <c r="M15"/>
      <c r="N15"/>
    </row>
    <row r="16" spans="9:14" ht="12.75">
      <c r="I16"/>
      <c r="J16"/>
      <c r="K16"/>
      <c r="L16"/>
      <c r="M16"/>
      <c r="N16"/>
    </row>
    <row r="17" spans="9:14" ht="12.75">
      <c r="I17"/>
      <c r="J17"/>
      <c r="K17"/>
      <c r="L17"/>
      <c r="M17"/>
      <c r="N17"/>
    </row>
    <row r="18" spans="9:14" ht="12.75">
      <c r="I18"/>
      <c r="J18"/>
      <c r="K18"/>
      <c r="L18"/>
      <c r="M18"/>
      <c r="N18"/>
    </row>
    <row r="19" spans="9:14" ht="12.75">
      <c r="I19"/>
      <c r="J19"/>
      <c r="K19"/>
      <c r="L19"/>
      <c r="M19"/>
      <c r="N19"/>
    </row>
    <row r="20" spans="9:14" ht="12.75">
      <c r="I20"/>
      <c r="J20"/>
      <c r="K20"/>
      <c r="L20"/>
      <c r="M20"/>
      <c r="N20"/>
    </row>
  </sheetData>
  <sheetProtection/>
  <mergeCells count="14">
    <mergeCell ref="N3:N4"/>
    <mergeCell ref="A3:A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23" sqref="E23"/>
    </sheetView>
  </sheetViews>
  <sheetFormatPr defaultColWidth="8.75390625" defaultRowHeight="12.75"/>
  <cols>
    <col min="1" max="1" width="7.125" style="0" customWidth="1"/>
    <col min="2" max="2" width="15.875" style="11" customWidth="1"/>
    <col min="3" max="3" width="26.875" style="11" bestFit="1" customWidth="1"/>
    <col min="4" max="4" width="12.875" style="11" customWidth="1"/>
    <col min="5" max="5" width="8.375" style="11" bestFit="1" customWidth="1"/>
    <col min="6" max="6" width="15.625" style="11" customWidth="1"/>
    <col min="7" max="7" width="31.25390625" style="11" bestFit="1" customWidth="1"/>
    <col min="8" max="10" width="5.625" style="11" bestFit="1" customWidth="1"/>
    <col min="11" max="11" width="4.625" style="11" bestFit="1" customWidth="1"/>
    <col min="12" max="12" width="10.875" style="11" customWidth="1"/>
    <col min="13" max="13" width="8.625" style="11" bestFit="1" customWidth="1"/>
    <col min="14" max="14" width="14.75390625" style="11" customWidth="1"/>
  </cols>
  <sheetData>
    <row r="1" spans="2:14" s="1" customFormat="1" ht="15" customHeight="1">
      <c r="B1" s="104" t="s">
        <v>502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14" s="1" customFormat="1" ht="78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2</v>
      </c>
      <c r="I3" s="114"/>
      <c r="J3" s="114"/>
      <c r="K3" s="114"/>
      <c r="L3" s="114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13"/>
      <c r="M4" s="113"/>
      <c r="N4" s="100"/>
    </row>
    <row r="5" spans="2:13" ht="15.75">
      <c r="B5" s="117" t="s">
        <v>55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412</v>
      </c>
      <c r="C6" s="12" t="s">
        <v>413</v>
      </c>
      <c r="D6" s="12" t="s">
        <v>414</v>
      </c>
      <c r="E6" s="12" t="str">
        <f>"0,6349"</f>
        <v>0,6349</v>
      </c>
      <c r="F6" s="12" t="s">
        <v>12</v>
      </c>
      <c r="G6" s="12" t="s">
        <v>67</v>
      </c>
      <c r="H6" s="34" t="s">
        <v>265</v>
      </c>
      <c r="I6" s="31" t="s">
        <v>265</v>
      </c>
      <c r="J6" s="34" t="s">
        <v>415</v>
      </c>
      <c r="K6" s="32"/>
      <c r="L6" s="33" t="s">
        <v>265</v>
      </c>
      <c r="M6" s="33" t="str">
        <f>"182,5337"</f>
        <v>182,5337</v>
      </c>
      <c r="N6" s="12" t="s">
        <v>424</v>
      </c>
    </row>
    <row r="8" ht="15.75">
      <c r="F8" s="16"/>
    </row>
    <row r="10" spans="2:3" ht="18">
      <c r="B10" s="17"/>
      <c r="C10" s="17"/>
    </row>
    <row r="11" spans="2:3" ht="15.75">
      <c r="B11" s="18"/>
      <c r="C11" s="18"/>
    </row>
    <row r="12" spans="2:3" ht="13.5">
      <c r="B12" s="20"/>
      <c r="C12" s="21"/>
    </row>
  </sheetData>
  <sheetProtection/>
  <mergeCells count="13"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C70" sqref="C70"/>
    </sheetView>
  </sheetViews>
  <sheetFormatPr defaultColWidth="8.75390625" defaultRowHeight="12.75"/>
  <cols>
    <col min="1" max="1" width="9.125" style="30" customWidth="1"/>
    <col min="2" max="2" width="21.75390625" style="11" customWidth="1"/>
    <col min="3" max="3" width="27.125" style="11" bestFit="1" customWidth="1"/>
    <col min="4" max="4" width="9.125" style="11" customWidth="1"/>
    <col min="5" max="5" width="8.375" style="11" bestFit="1" customWidth="1"/>
    <col min="6" max="6" width="13.375" style="11" customWidth="1"/>
    <col min="7" max="7" width="33.625" style="11" customWidth="1"/>
    <col min="8" max="10" width="5.625" style="36" bestFit="1" customWidth="1"/>
    <col min="11" max="11" width="4.625" style="36" bestFit="1" customWidth="1"/>
    <col min="12" max="12" width="11.25390625" style="59" customWidth="1"/>
    <col min="13" max="13" width="10.25390625" style="36" customWidth="1"/>
    <col min="14" max="14" width="24.125" style="11" bestFit="1" customWidth="1"/>
  </cols>
  <sheetData>
    <row r="1" spans="1:14" s="1" customFormat="1" ht="15" customHeight="1">
      <c r="A1" s="60"/>
      <c r="B1" s="104" t="s">
        <v>503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s="1" customFormat="1" ht="115.5" customHeight="1" thickBot="1">
      <c r="A2" s="60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s="2" customFormat="1" ht="12.75" customHeight="1">
      <c r="A3" s="115" t="s">
        <v>477</v>
      </c>
      <c r="B3" s="110" t="s">
        <v>0</v>
      </c>
      <c r="C3" s="112" t="s">
        <v>478</v>
      </c>
      <c r="D3" s="112" t="s">
        <v>479</v>
      </c>
      <c r="E3" s="114" t="s">
        <v>7</v>
      </c>
      <c r="F3" s="114" t="s">
        <v>5</v>
      </c>
      <c r="G3" s="118" t="s">
        <v>480</v>
      </c>
      <c r="H3" s="114" t="s">
        <v>2</v>
      </c>
      <c r="I3" s="114"/>
      <c r="J3" s="114"/>
      <c r="K3" s="114"/>
      <c r="L3" s="101" t="s">
        <v>481</v>
      </c>
      <c r="M3" s="114" t="s">
        <v>4</v>
      </c>
      <c r="N3" s="99" t="s">
        <v>3</v>
      </c>
    </row>
    <row r="4" spans="1:14" s="2" customFormat="1" ht="21" customHeight="1" thickBot="1">
      <c r="A4" s="116"/>
      <c r="B4" s="111"/>
      <c r="C4" s="113"/>
      <c r="D4" s="113"/>
      <c r="E4" s="113"/>
      <c r="F4" s="113"/>
      <c r="G4" s="119"/>
      <c r="H4" s="3">
        <v>1</v>
      </c>
      <c r="I4" s="3">
        <v>2</v>
      </c>
      <c r="J4" s="3">
        <v>3</v>
      </c>
      <c r="K4" s="3" t="s">
        <v>6</v>
      </c>
      <c r="L4" s="102"/>
      <c r="M4" s="113"/>
      <c r="N4" s="100"/>
    </row>
    <row r="5" spans="2:13" ht="15.75">
      <c r="B5" s="117" t="s">
        <v>331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4" ht="12.75">
      <c r="A6" s="30">
        <v>1</v>
      </c>
      <c r="B6" s="12" t="s">
        <v>332</v>
      </c>
      <c r="C6" s="12" t="s">
        <v>333</v>
      </c>
      <c r="D6" s="12" t="s">
        <v>334</v>
      </c>
      <c r="E6" s="12" t="str">
        <f>"1,3265"</f>
        <v>1,3265</v>
      </c>
      <c r="F6" s="12" t="s">
        <v>12</v>
      </c>
      <c r="G6" s="12" t="s">
        <v>423</v>
      </c>
      <c r="H6" s="31" t="s">
        <v>153</v>
      </c>
      <c r="I6" s="31" t="s">
        <v>163</v>
      </c>
      <c r="J6" s="37" t="s">
        <v>164</v>
      </c>
      <c r="K6" s="32"/>
      <c r="L6" s="54">
        <v>110</v>
      </c>
      <c r="M6" s="33" t="str">
        <f>"145,9150"</f>
        <v>145,9150</v>
      </c>
      <c r="N6" s="12" t="s">
        <v>356</v>
      </c>
    </row>
    <row r="8" spans="2:13" ht="15.75">
      <c r="B8" s="103" t="s">
        <v>148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4" ht="12.75">
      <c r="A9" s="30">
        <v>1</v>
      </c>
      <c r="B9" s="13" t="s">
        <v>335</v>
      </c>
      <c r="C9" s="13" t="s">
        <v>336</v>
      </c>
      <c r="D9" s="13" t="s">
        <v>157</v>
      </c>
      <c r="E9" s="13" t="str">
        <f>"1,0206"</f>
        <v>1,0206</v>
      </c>
      <c r="F9" s="13" t="s">
        <v>12</v>
      </c>
      <c r="G9" s="13" t="s">
        <v>29</v>
      </c>
      <c r="H9" s="39" t="s">
        <v>109</v>
      </c>
      <c r="I9" s="39" t="s">
        <v>45</v>
      </c>
      <c r="J9" s="39" t="s">
        <v>31</v>
      </c>
      <c r="K9" s="40"/>
      <c r="L9" s="55">
        <v>160</v>
      </c>
      <c r="M9" s="42" t="str">
        <f>"163,2960"</f>
        <v>163,2960</v>
      </c>
      <c r="N9" s="13" t="s">
        <v>337</v>
      </c>
    </row>
    <row r="10" spans="1:14" ht="12.75">
      <c r="A10" s="30">
        <v>1</v>
      </c>
      <c r="B10" s="15" t="s">
        <v>266</v>
      </c>
      <c r="C10" s="15" t="s">
        <v>267</v>
      </c>
      <c r="D10" s="15" t="s">
        <v>268</v>
      </c>
      <c r="E10" s="15" t="str">
        <f>"1,0272"</f>
        <v>1,0272</v>
      </c>
      <c r="F10" s="15" t="s">
        <v>12</v>
      </c>
      <c r="G10" s="15" t="s">
        <v>423</v>
      </c>
      <c r="H10" s="43" t="s">
        <v>420</v>
      </c>
      <c r="I10" s="43" t="s">
        <v>421</v>
      </c>
      <c r="J10" s="43" t="s">
        <v>177</v>
      </c>
      <c r="K10" s="44"/>
      <c r="L10" s="56">
        <v>137.5</v>
      </c>
      <c r="M10" s="46" t="str">
        <f>"147,4546"</f>
        <v>147,4546</v>
      </c>
      <c r="N10" s="15" t="s">
        <v>68</v>
      </c>
    </row>
    <row r="12" spans="2:13" ht="15.75">
      <c r="B12" s="103" t="s">
        <v>338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4" ht="12.75">
      <c r="B13" s="12" t="s">
        <v>339</v>
      </c>
      <c r="C13" s="12" t="s">
        <v>340</v>
      </c>
      <c r="D13" s="12" t="s">
        <v>341</v>
      </c>
      <c r="E13" s="12" t="str">
        <f>"0,7939"</f>
        <v>0,7939</v>
      </c>
      <c r="F13" s="12" t="s">
        <v>12</v>
      </c>
      <c r="G13" s="12" t="s">
        <v>82</v>
      </c>
      <c r="H13" s="37" t="s">
        <v>201</v>
      </c>
      <c r="I13" s="37" t="s">
        <v>201</v>
      </c>
      <c r="J13" s="37" t="s">
        <v>201</v>
      </c>
      <c r="K13" s="32"/>
      <c r="L13" s="54" t="s">
        <v>422</v>
      </c>
      <c r="M13" s="33" t="s">
        <v>422</v>
      </c>
      <c r="N13" s="12" t="s">
        <v>342</v>
      </c>
    </row>
    <row r="15" spans="2:13" ht="15.75">
      <c r="B15" s="103" t="s">
        <v>128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4" ht="12.75">
      <c r="A16" s="30">
        <v>1</v>
      </c>
      <c r="B16" s="12" t="s">
        <v>343</v>
      </c>
      <c r="C16" s="12" t="s">
        <v>344</v>
      </c>
      <c r="D16" s="12" t="s">
        <v>345</v>
      </c>
      <c r="E16" s="12" t="str">
        <f>"0,9119"</f>
        <v>0,9119</v>
      </c>
      <c r="F16" s="12" t="s">
        <v>12</v>
      </c>
      <c r="G16" s="12" t="s">
        <v>423</v>
      </c>
      <c r="H16" s="31" t="s">
        <v>189</v>
      </c>
      <c r="I16" s="31" t="s">
        <v>30</v>
      </c>
      <c r="J16" s="31" t="s">
        <v>32</v>
      </c>
      <c r="K16" s="32"/>
      <c r="L16" s="54">
        <v>165</v>
      </c>
      <c r="M16" s="33" t="str">
        <f>"150,4635"</f>
        <v>150,4635</v>
      </c>
      <c r="N16" s="12" t="s">
        <v>356</v>
      </c>
    </row>
    <row r="18" spans="2:13" ht="15.75">
      <c r="B18" s="103" t="s">
        <v>148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4" ht="12.75">
      <c r="A19" s="30">
        <v>1</v>
      </c>
      <c r="B19" s="13" t="s">
        <v>155</v>
      </c>
      <c r="C19" s="13" t="s">
        <v>156</v>
      </c>
      <c r="D19" s="13" t="s">
        <v>157</v>
      </c>
      <c r="E19" s="13" t="str">
        <f>"0,7710"</f>
        <v>0,7710</v>
      </c>
      <c r="F19" s="13" t="s">
        <v>12</v>
      </c>
      <c r="G19" s="13" t="s">
        <v>82</v>
      </c>
      <c r="H19" s="39" t="s">
        <v>109</v>
      </c>
      <c r="I19" s="47" t="s">
        <v>30</v>
      </c>
      <c r="J19" s="47" t="s">
        <v>30</v>
      </c>
      <c r="K19" s="40"/>
      <c r="L19" s="55">
        <v>140</v>
      </c>
      <c r="M19" s="42" t="str">
        <f>"107,9400"</f>
        <v>107,9400</v>
      </c>
      <c r="N19" s="13" t="s">
        <v>425</v>
      </c>
    </row>
    <row r="20" spans="1:14" ht="12.75">
      <c r="A20" s="30">
        <v>1</v>
      </c>
      <c r="B20" s="14" t="s">
        <v>160</v>
      </c>
      <c r="C20" s="14" t="s">
        <v>161</v>
      </c>
      <c r="D20" s="14" t="s">
        <v>162</v>
      </c>
      <c r="E20" s="14" t="str">
        <f>"0,8035"</f>
        <v>0,8035</v>
      </c>
      <c r="F20" s="14" t="s">
        <v>12</v>
      </c>
      <c r="G20" s="14" t="s">
        <v>67</v>
      </c>
      <c r="H20" s="48" t="s">
        <v>51</v>
      </c>
      <c r="I20" s="48" t="s">
        <v>102</v>
      </c>
      <c r="J20" s="49" t="s">
        <v>76</v>
      </c>
      <c r="K20" s="50"/>
      <c r="L20" s="57">
        <v>190</v>
      </c>
      <c r="M20" s="51" t="str">
        <f>"152,6650"</f>
        <v>152,6650</v>
      </c>
      <c r="N20" s="14" t="s">
        <v>337</v>
      </c>
    </row>
    <row r="21" spans="1:14" ht="12.75">
      <c r="A21" s="30">
        <v>1</v>
      </c>
      <c r="B21" s="15" t="s">
        <v>346</v>
      </c>
      <c r="C21" s="15" t="s">
        <v>482</v>
      </c>
      <c r="D21" s="15" t="s">
        <v>347</v>
      </c>
      <c r="E21" s="15" t="str">
        <f>"0,7738"</f>
        <v>0,7738</v>
      </c>
      <c r="F21" s="15" t="s">
        <v>12</v>
      </c>
      <c r="G21" s="15" t="s">
        <v>348</v>
      </c>
      <c r="H21" s="43" t="s">
        <v>32</v>
      </c>
      <c r="I21" s="52"/>
      <c r="J21" s="52"/>
      <c r="K21" s="44"/>
      <c r="L21" s="56">
        <v>165</v>
      </c>
      <c r="M21" s="46" t="str">
        <f>"127,6770"</f>
        <v>127,6770</v>
      </c>
      <c r="N21" s="15" t="s">
        <v>337</v>
      </c>
    </row>
    <row r="23" spans="2:13" ht="15.75">
      <c r="B23" s="103" t="s">
        <v>18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4" ht="12.75">
      <c r="A24" s="30">
        <v>1</v>
      </c>
      <c r="B24" s="13" t="s">
        <v>349</v>
      </c>
      <c r="C24" s="13" t="s">
        <v>350</v>
      </c>
      <c r="D24" s="13" t="s">
        <v>351</v>
      </c>
      <c r="E24" s="13" t="str">
        <f>"0,7235"</f>
        <v>0,7235</v>
      </c>
      <c r="F24" s="13" t="s">
        <v>12</v>
      </c>
      <c r="G24" s="13" t="s">
        <v>82</v>
      </c>
      <c r="H24" s="39" t="s">
        <v>40</v>
      </c>
      <c r="I24" s="39" t="s">
        <v>352</v>
      </c>
      <c r="J24" s="47" t="s">
        <v>102</v>
      </c>
      <c r="K24" s="40"/>
      <c r="L24" s="55">
        <v>182.5</v>
      </c>
      <c r="M24" s="42" t="str">
        <f>"132,0388"</f>
        <v>132,0388</v>
      </c>
      <c r="N24" s="13" t="s">
        <v>342</v>
      </c>
    </row>
    <row r="25" spans="1:14" ht="12.75">
      <c r="A25" s="30">
        <v>2</v>
      </c>
      <c r="B25" s="14" t="s">
        <v>353</v>
      </c>
      <c r="C25" s="14" t="s">
        <v>354</v>
      </c>
      <c r="D25" s="14" t="s">
        <v>355</v>
      </c>
      <c r="E25" s="14" t="str">
        <f>"0,7221"</f>
        <v>0,7221</v>
      </c>
      <c r="F25" s="14" t="s">
        <v>12</v>
      </c>
      <c r="G25" s="14" t="s">
        <v>82</v>
      </c>
      <c r="H25" s="48" t="s">
        <v>31</v>
      </c>
      <c r="I25" s="49" t="s">
        <v>40</v>
      </c>
      <c r="J25" s="49"/>
      <c r="K25" s="50"/>
      <c r="L25" s="57">
        <v>160</v>
      </c>
      <c r="M25" s="51" t="str">
        <f>"115,5360"</f>
        <v>115,5360</v>
      </c>
      <c r="N25" s="14" t="s">
        <v>337</v>
      </c>
    </row>
    <row r="26" spans="1:14" ht="12.75">
      <c r="A26" s="30">
        <v>1</v>
      </c>
      <c r="B26" s="14" t="s">
        <v>356</v>
      </c>
      <c r="C26" s="14" t="s">
        <v>357</v>
      </c>
      <c r="D26" s="14" t="s">
        <v>358</v>
      </c>
      <c r="E26" s="14" t="str">
        <f>"0,7469"</f>
        <v>0,7469</v>
      </c>
      <c r="F26" s="14" t="s">
        <v>12</v>
      </c>
      <c r="G26" s="14" t="s">
        <v>82</v>
      </c>
      <c r="H26" s="48" t="s">
        <v>273</v>
      </c>
      <c r="I26" s="49" t="s">
        <v>264</v>
      </c>
      <c r="J26" s="49" t="s">
        <v>264</v>
      </c>
      <c r="K26" s="50"/>
      <c r="L26" s="57">
        <v>220</v>
      </c>
      <c r="M26" s="51" t="str">
        <f>"164,3180"</f>
        <v>164,3180</v>
      </c>
      <c r="N26" s="14" t="s">
        <v>337</v>
      </c>
    </row>
    <row r="27" spans="1:14" ht="12.75">
      <c r="A27" s="30">
        <v>2</v>
      </c>
      <c r="B27" s="14" t="s">
        <v>359</v>
      </c>
      <c r="C27" s="14" t="s">
        <v>360</v>
      </c>
      <c r="D27" s="14" t="s">
        <v>361</v>
      </c>
      <c r="E27" s="14" t="str">
        <f>"0,7390"</f>
        <v>0,7390</v>
      </c>
      <c r="F27" s="14" t="s">
        <v>12</v>
      </c>
      <c r="G27" s="14" t="s">
        <v>67</v>
      </c>
      <c r="H27" s="48" t="s">
        <v>52</v>
      </c>
      <c r="I27" s="48" t="s">
        <v>90</v>
      </c>
      <c r="J27" s="48" t="s">
        <v>102</v>
      </c>
      <c r="K27" s="50"/>
      <c r="L27" s="57">
        <v>190</v>
      </c>
      <c r="M27" s="51" t="str">
        <f>"140,4100"</f>
        <v>140,4100</v>
      </c>
      <c r="N27" s="14" t="s">
        <v>424</v>
      </c>
    </row>
    <row r="28" spans="1:14" ht="12.75">
      <c r="A28" s="30">
        <v>1</v>
      </c>
      <c r="B28" s="15" t="s">
        <v>356</v>
      </c>
      <c r="C28" s="15" t="s">
        <v>362</v>
      </c>
      <c r="D28" s="15" t="s">
        <v>358</v>
      </c>
      <c r="E28" s="15" t="str">
        <f>"0,7469"</f>
        <v>0,7469</v>
      </c>
      <c r="F28" s="15" t="s">
        <v>12</v>
      </c>
      <c r="G28" s="15" t="s">
        <v>82</v>
      </c>
      <c r="H28" s="43" t="s">
        <v>273</v>
      </c>
      <c r="I28" s="53" t="s">
        <v>264</v>
      </c>
      <c r="J28" s="53" t="s">
        <v>264</v>
      </c>
      <c r="K28" s="44"/>
      <c r="L28" s="56">
        <v>220</v>
      </c>
      <c r="M28" s="46" t="str">
        <f>"195,0455"</f>
        <v>195,0455</v>
      </c>
      <c r="N28" s="15" t="s">
        <v>337</v>
      </c>
    </row>
    <row r="30" spans="2:13" ht="15.75">
      <c r="B30" s="103" t="s">
        <v>25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4" ht="12.75">
      <c r="A31" s="30">
        <v>1</v>
      </c>
      <c r="B31" s="13" t="s">
        <v>363</v>
      </c>
      <c r="C31" s="13" t="s">
        <v>364</v>
      </c>
      <c r="D31" s="13" t="s">
        <v>365</v>
      </c>
      <c r="E31" s="13" t="str">
        <f>"0,6754"</f>
        <v>0,6754</v>
      </c>
      <c r="F31" s="13" t="s">
        <v>12</v>
      </c>
      <c r="G31" s="13" t="s">
        <v>423</v>
      </c>
      <c r="H31" s="39" t="s">
        <v>32</v>
      </c>
      <c r="I31" s="39" t="s">
        <v>51</v>
      </c>
      <c r="J31" s="39" t="s">
        <v>90</v>
      </c>
      <c r="K31" s="40"/>
      <c r="L31" s="55">
        <v>185</v>
      </c>
      <c r="M31" s="42" t="str">
        <f>"124,9490"</f>
        <v>124,9490</v>
      </c>
      <c r="N31" s="13" t="s">
        <v>342</v>
      </c>
    </row>
    <row r="32" spans="2:14" ht="12.75">
      <c r="B32" s="14" t="s">
        <v>366</v>
      </c>
      <c r="C32" s="14" t="s">
        <v>367</v>
      </c>
      <c r="D32" s="14" t="s">
        <v>368</v>
      </c>
      <c r="E32" s="14" t="str">
        <f>"0,6734"</f>
        <v>0,6734</v>
      </c>
      <c r="F32" s="14" t="s">
        <v>12</v>
      </c>
      <c r="G32" s="14" t="s">
        <v>423</v>
      </c>
      <c r="H32" s="49" t="s">
        <v>90</v>
      </c>
      <c r="I32" s="49" t="s">
        <v>90</v>
      </c>
      <c r="J32" s="49" t="s">
        <v>90</v>
      </c>
      <c r="K32" s="49"/>
      <c r="L32" s="61">
        <v>0</v>
      </c>
      <c r="M32" s="51" t="s">
        <v>422</v>
      </c>
      <c r="N32" s="14" t="s">
        <v>342</v>
      </c>
    </row>
    <row r="33" spans="1:14" ht="12.75">
      <c r="A33" s="30">
        <v>1</v>
      </c>
      <c r="B33" s="14" t="s">
        <v>369</v>
      </c>
      <c r="C33" s="14" t="s">
        <v>370</v>
      </c>
      <c r="D33" s="14" t="s">
        <v>208</v>
      </c>
      <c r="E33" s="14" t="str">
        <f>"0,6759"</f>
        <v>0,6759</v>
      </c>
      <c r="F33" s="14" t="s">
        <v>12</v>
      </c>
      <c r="G33" s="14" t="s">
        <v>431</v>
      </c>
      <c r="H33" s="48" t="s">
        <v>96</v>
      </c>
      <c r="I33" s="48" t="s">
        <v>278</v>
      </c>
      <c r="J33" s="48" t="s">
        <v>371</v>
      </c>
      <c r="K33" s="50"/>
      <c r="L33" s="57">
        <v>232.5</v>
      </c>
      <c r="M33" s="51" t="str">
        <f>"157,1467"</f>
        <v>157,1467</v>
      </c>
      <c r="N33" s="14" t="s">
        <v>41</v>
      </c>
    </row>
    <row r="34" spans="1:14" ht="12.75">
      <c r="A34" s="30">
        <v>2</v>
      </c>
      <c r="B34" s="14" t="s">
        <v>19</v>
      </c>
      <c r="C34" s="14" t="s">
        <v>372</v>
      </c>
      <c r="D34" s="14" t="s">
        <v>373</v>
      </c>
      <c r="E34" s="14" t="str">
        <f>"0,6957"</f>
        <v>0,6957</v>
      </c>
      <c r="F34" s="14" t="s">
        <v>12</v>
      </c>
      <c r="G34" s="14" t="s">
        <v>82</v>
      </c>
      <c r="H34" s="48" t="s">
        <v>109</v>
      </c>
      <c r="I34" s="48" t="s">
        <v>31</v>
      </c>
      <c r="J34" s="49" t="s">
        <v>51</v>
      </c>
      <c r="K34" s="50"/>
      <c r="L34" s="57">
        <v>160</v>
      </c>
      <c r="M34" s="51" t="str">
        <f>"111,3120"</f>
        <v>111,3120</v>
      </c>
      <c r="N34" s="14" t="s">
        <v>425</v>
      </c>
    </row>
    <row r="35" spans="1:14" ht="12.75">
      <c r="A35" s="30">
        <v>1</v>
      </c>
      <c r="B35" s="14" t="s">
        <v>369</v>
      </c>
      <c r="C35" s="14" t="s">
        <v>374</v>
      </c>
      <c r="D35" s="14" t="s">
        <v>208</v>
      </c>
      <c r="E35" s="14" t="str">
        <f>"0,6759"</f>
        <v>0,6759</v>
      </c>
      <c r="F35" s="14" t="s">
        <v>12</v>
      </c>
      <c r="G35" s="14" t="s">
        <v>431</v>
      </c>
      <c r="H35" s="48" t="s">
        <v>96</v>
      </c>
      <c r="I35" s="48" t="s">
        <v>278</v>
      </c>
      <c r="J35" s="48" t="s">
        <v>371</v>
      </c>
      <c r="K35" s="50"/>
      <c r="L35" s="57">
        <v>232.5</v>
      </c>
      <c r="M35" s="51" t="str">
        <f>"157,1467"</f>
        <v>157,1467</v>
      </c>
      <c r="N35" s="14" t="s">
        <v>41</v>
      </c>
    </row>
    <row r="36" spans="1:14" ht="12.75">
      <c r="A36" s="30">
        <v>2</v>
      </c>
      <c r="B36" s="15" t="s">
        <v>375</v>
      </c>
      <c r="C36" s="15" t="s">
        <v>376</v>
      </c>
      <c r="D36" s="15" t="s">
        <v>377</v>
      </c>
      <c r="E36" s="15" t="str">
        <f>"0,6933"</f>
        <v>0,6933</v>
      </c>
      <c r="F36" s="15" t="s">
        <v>12</v>
      </c>
      <c r="G36" s="15" t="s">
        <v>423</v>
      </c>
      <c r="H36" s="43" t="s">
        <v>76</v>
      </c>
      <c r="I36" s="43" t="s">
        <v>77</v>
      </c>
      <c r="J36" s="53" t="s">
        <v>273</v>
      </c>
      <c r="K36" s="44"/>
      <c r="L36" s="56">
        <v>210</v>
      </c>
      <c r="M36" s="46" t="str">
        <f>"145,5930"</f>
        <v>145,5930</v>
      </c>
      <c r="N36" s="15" t="s">
        <v>63</v>
      </c>
    </row>
    <row r="38" spans="2:13" ht="15.75">
      <c r="B38" s="103" t="s">
        <v>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4" ht="12.75">
      <c r="A39" s="30">
        <v>1</v>
      </c>
      <c r="B39" s="13" t="s">
        <v>378</v>
      </c>
      <c r="C39" s="13" t="s">
        <v>379</v>
      </c>
      <c r="D39" s="13" t="s">
        <v>380</v>
      </c>
      <c r="E39" s="13" t="str">
        <f>"0,6483"</f>
        <v>0,6483</v>
      </c>
      <c r="F39" s="13" t="s">
        <v>12</v>
      </c>
      <c r="G39" s="13" t="s">
        <v>29</v>
      </c>
      <c r="H39" s="39" t="s">
        <v>102</v>
      </c>
      <c r="I39" s="39" t="s">
        <v>95</v>
      </c>
      <c r="J39" s="47" t="s">
        <v>300</v>
      </c>
      <c r="K39" s="47"/>
      <c r="L39" s="55">
        <v>202.5</v>
      </c>
      <c r="M39" s="42" t="str">
        <f>"131,2807"</f>
        <v>131,2807</v>
      </c>
      <c r="N39" s="13" t="s">
        <v>337</v>
      </c>
    </row>
    <row r="40" spans="1:14" ht="12.75">
      <c r="A40" s="30">
        <v>2</v>
      </c>
      <c r="B40" s="14" t="s">
        <v>381</v>
      </c>
      <c r="C40" s="14" t="s">
        <v>382</v>
      </c>
      <c r="D40" s="14" t="s">
        <v>383</v>
      </c>
      <c r="E40" s="14" t="str">
        <f>"0,6459"</f>
        <v>0,6459</v>
      </c>
      <c r="F40" s="14" t="s">
        <v>12</v>
      </c>
      <c r="G40" s="14" t="s">
        <v>67</v>
      </c>
      <c r="H40" s="48" t="s">
        <v>102</v>
      </c>
      <c r="I40" s="49" t="s">
        <v>76</v>
      </c>
      <c r="J40" s="49" t="s">
        <v>76</v>
      </c>
      <c r="K40" s="49"/>
      <c r="L40" s="57">
        <v>190</v>
      </c>
      <c r="M40" s="51" t="str">
        <f>"122,7210"</f>
        <v>122,7210</v>
      </c>
      <c r="N40" s="14" t="s">
        <v>337</v>
      </c>
    </row>
    <row r="41" spans="1:14" ht="12.75">
      <c r="A41" s="30">
        <v>3</v>
      </c>
      <c r="B41" s="15" t="s">
        <v>384</v>
      </c>
      <c r="C41" s="15" t="s">
        <v>385</v>
      </c>
      <c r="D41" s="15" t="s">
        <v>386</v>
      </c>
      <c r="E41" s="15" t="str">
        <f>"0,6680"</f>
        <v>0,6680</v>
      </c>
      <c r="F41" s="15" t="s">
        <v>12</v>
      </c>
      <c r="G41" s="15" t="s">
        <v>67</v>
      </c>
      <c r="H41" s="43" t="s">
        <v>51</v>
      </c>
      <c r="I41" s="43" t="s">
        <v>90</v>
      </c>
      <c r="J41" s="53" t="s">
        <v>95</v>
      </c>
      <c r="K41" s="53"/>
      <c r="L41" s="56">
        <v>185</v>
      </c>
      <c r="M41" s="46" t="str">
        <f>"123,5800"</f>
        <v>123,5800</v>
      </c>
      <c r="N41" s="15" t="s">
        <v>337</v>
      </c>
    </row>
    <row r="42" ht="12.75">
      <c r="L42" s="58"/>
    </row>
    <row r="43" spans="2:13" ht="15.75">
      <c r="B43" s="103" t="s">
        <v>55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4" ht="12.75">
      <c r="A44" s="30">
        <v>1</v>
      </c>
      <c r="B44" s="12" t="s">
        <v>387</v>
      </c>
      <c r="C44" s="12" t="s">
        <v>388</v>
      </c>
      <c r="D44" s="12" t="s">
        <v>389</v>
      </c>
      <c r="E44" s="12" t="str">
        <f>"0,6232"</f>
        <v>0,6232</v>
      </c>
      <c r="F44" s="12" t="s">
        <v>12</v>
      </c>
      <c r="G44" s="12" t="s">
        <v>82</v>
      </c>
      <c r="H44" s="31" t="s">
        <v>273</v>
      </c>
      <c r="I44" s="37" t="s">
        <v>279</v>
      </c>
      <c r="J44" s="37" t="s">
        <v>279</v>
      </c>
      <c r="K44" s="32"/>
      <c r="L44" s="54">
        <v>220</v>
      </c>
      <c r="M44" s="33" t="str">
        <f>"137,1040"</f>
        <v>137,1040</v>
      </c>
      <c r="N44" s="12" t="s">
        <v>337</v>
      </c>
    </row>
    <row r="46" spans="2:13" ht="15.75">
      <c r="B46" s="103" t="s">
        <v>69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4" ht="12.75">
      <c r="A47" s="30">
        <v>1</v>
      </c>
      <c r="B47" s="13" t="s">
        <v>390</v>
      </c>
      <c r="C47" s="13" t="s">
        <v>391</v>
      </c>
      <c r="D47" s="13" t="s">
        <v>392</v>
      </c>
      <c r="E47" s="13" t="str">
        <f>"0,5980"</f>
        <v>0,5980</v>
      </c>
      <c r="F47" s="13" t="s">
        <v>12</v>
      </c>
      <c r="G47" s="13" t="s">
        <v>29</v>
      </c>
      <c r="H47" s="39" t="s">
        <v>393</v>
      </c>
      <c r="I47" s="39" t="s">
        <v>394</v>
      </c>
      <c r="J47" s="39" t="s">
        <v>288</v>
      </c>
      <c r="K47" s="40"/>
      <c r="L47" s="55">
        <v>260</v>
      </c>
      <c r="M47" s="42" t="str">
        <f>"155,4800"</f>
        <v>155,4800</v>
      </c>
      <c r="N47" s="13" t="s">
        <v>335</v>
      </c>
    </row>
    <row r="48" spans="1:14" ht="12.75">
      <c r="A48" s="30">
        <v>2</v>
      </c>
      <c r="B48" s="14" t="s">
        <v>395</v>
      </c>
      <c r="C48" s="14" t="s">
        <v>396</v>
      </c>
      <c r="D48" s="14" t="s">
        <v>397</v>
      </c>
      <c r="E48" s="14" t="str">
        <f>"0,5962"</f>
        <v>0,5962</v>
      </c>
      <c r="F48" s="14" t="s">
        <v>12</v>
      </c>
      <c r="G48" s="14" t="s">
        <v>82</v>
      </c>
      <c r="H48" s="48" t="s">
        <v>103</v>
      </c>
      <c r="I48" s="48" t="s">
        <v>96</v>
      </c>
      <c r="J48" s="48" t="s">
        <v>264</v>
      </c>
      <c r="K48" s="50"/>
      <c r="L48" s="57">
        <v>230</v>
      </c>
      <c r="M48" s="51" t="str">
        <f>"137,1260"</f>
        <v>137,1260</v>
      </c>
      <c r="N48" s="14" t="s">
        <v>337</v>
      </c>
    </row>
    <row r="49" spans="1:14" ht="12.75">
      <c r="A49" s="30">
        <v>3</v>
      </c>
      <c r="B49" s="14" t="s">
        <v>398</v>
      </c>
      <c r="C49" s="14" t="s">
        <v>399</v>
      </c>
      <c r="D49" s="14" t="s">
        <v>400</v>
      </c>
      <c r="E49" s="14" t="str">
        <f>"0,5887"</f>
        <v>0,5887</v>
      </c>
      <c r="F49" s="14" t="s">
        <v>12</v>
      </c>
      <c r="G49" s="14" t="s">
        <v>82</v>
      </c>
      <c r="H49" s="48" t="s">
        <v>273</v>
      </c>
      <c r="I49" s="48" t="s">
        <v>264</v>
      </c>
      <c r="J49" s="49" t="s">
        <v>279</v>
      </c>
      <c r="K49" s="50"/>
      <c r="L49" s="57">
        <v>230</v>
      </c>
      <c r="M49" s="51" t="str">
        <f>"135,4010"</f>
        <v>135,4010</v>
      </c>
      <c r="N49" s="14" t="s">
        <v>84</v>
      </c>
    </row>
    <row r="50" spans="1:14" ht="12.75">
      <c r="A50" s="30">
        <v>4</v>
      </c>
      <c r="B50" s="15" t="s">
        <v>401</v>
      </c>
      <c r="C50" s="15" t="s">
        <v>402</v>
      </c>
      <c r="D50" s="15" t="s">
        <v>403</v>
      </c>
      <c r="E50" s="15" t="str">
        <f>"0,5919"</f>
        <v>0,5919</v>
      </c>
      <c r="F50" s="15" t="s">
        <v>12</v>
      </c>
      <c r="G50" s="15" t="s">
        <v>82</v>
      </c>
      <c r="H50" s="43" t="s">
        <v>102</v>
      </c>
      <c r="I50" s="43" t="s">
        <v>103</v>
      </c>
      <c r="J50" s="43" t="s">
        <v>273</v>
      </c>
      <c r="K50" s="44"/>
      <c r="L50" s="56">
        <v>220</v>
      </c>
      <c r="M50" s="46" t="str">
        <f>"130,2180"</f>
        <v>130,2180</v>
      </c>
      <c r="N50" s="15" t="s">
        <v>84</v>
      </c>
    </row>
    <row r="52" spans="2:13" ht="15.75">
      <c r="B52" s="103" t="s">
        <v>91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4" ht="12.75">
      <c r="A53" s="30">
        <v>1</v>
      </c>
      <c r="B53" s="13" t="s">
        <v>252</v>
      </c>
      <c r="C53" s="13" t="s">
        <v>253</v>
      </c>
      <c r="D53" s="13" t="s">
        <v>254</v>
      </c>
      <c r="E53" s="13" t="str">
        <f>"0,5735"</f>
        <v>0,5735</v>
      </c>
      <c r="F53" s="13" t="s">
        <v>12</v>
      </c>
      <c r="G53" s="13" t="s">
        <v>67</v>
      </c>
      <c r="H53" s="39" t="s">
        <v>77</v>
      </c>
      <c r="I53" s="47" t="s">
        <v>278</v>
      </c>
      <c r="J53" s="47" t="s">
        <v>278</v>
      </c>
      <c r="K53" s="40"/>
      <c r="L53" s="55">
        <v>210</v>
      </c>
      <c r="M53" s="42" t="str">
        <f>"120,4350"</f>
        <v>120,4350</v>
      </c>
      <c r="N53" s="13" t="s">
        <v>255</v>
      </c>
    </row>
    <row r="54" spans="1:14" ht="12.75">
      <c r="A54" s="30">
        <v>1</v>
      </c>
      <c r="B54" s="14" t="s">
        <v>404</v>
      </c>
      <c r="C54" s="14" t="s">
        <v>325</v>
      </c>
      <c r="D54" s="14" t="s">
        <v>282</v>
      </c>
      <c r="E54" s="14" t="str">
        <f>"0,5711"</f>
        <v>0,5711</v>
      </c>
      <c r="F54" s="14" t="s">
        <v>12</v>
      </c>
      <c r="G54" s="14" t="s">
        <v>67</v>
      </c>
      <c r="H54" s="48" t="s">
        <v>288</v>
      </c>
      <c r="I54" s="48" t="s">
        <v>405</v>
      </c>
      <c r="J54" s="48" t="s">
        <v>314</v>
      </c>
      <c r="K54" s="50"/>
      <c r="L54" s="57">
        <v>290</v>
      </c>
      <c r="M54" s="51" t="str">
        <f>"165,6190"</f>
        <v>165,6190</v>
      </c>
      <c r="N54" s="14" t="s">
        <v>68</v>
      </c>
    </row>
    <row r="55" spans="1:14" ht="12.75">
      <c r="A55" s="30">
        <v>2</v>
      </c>
      <c r="B55" s="15" t="s">
        <v>406</v>
      </c>
      <c r="C55" s="15" t="s">
        <v>407</v>
      </c>
      <c r="D55" s="15" t="s">
        <v>408</v>
      </c>
      <c r="E55" s="15" t="str">
        <f>"0,5841"</f>
        <v>0,5841</v>
      </c>
      <c r="F55" s="15" t="s">
        <v>12</v>
      </c>
      <c r="G55" s="15" t="s">
        <v>67</v>
      </c>
      <c r="H55" s="43" t="s">
        <v>51</v>
      </c>
      <c r="I55" s="43" t="s">
        <v>90</v>
      </c>
      <c r="J55" s="53" t="s">
        <v>76</v>
      </c>
      <c r="K55" s="44"/>
      <c r="L55" s="56">
        <v>185</v>
      </c>
      <c r="M55" s="46" t="str">
        <f>"108,0585"</f>
        <v>108,0585</v>
      </c>
      <c r="N55" s="15" t="s">
        <v>68</v>
      </c>
    </row>
    <row r="57" spans="2:3" ht="18">
      <c r="B57" s="17" t="s">
        <v>110</v>
      </c>
      <c r="C57" s="17"/>
    </row>
    <row r="58" spans="2:3" ht="13.5">
      <c r="B58" s="20"/>
      <c r="C58" s="21" t="s">
        <v>505</v>
      </c>
    </row>
    <row r="59" spans="2:6" ht="13.5">
      <c r="B59" s="22" t="s">
        <v>112</v>
      </c>
      <c r="C59" s="22" t="s">
        <v>113</v>
      </c>
      <c r="D59" s="22" t="s">
        <v>114</v>
      </c>
      <c r="E59" s="22" t="s">
        <v>115</v>
      </c>
      <c r="F59" s="22" t="s">
        <v>116</v>
      </c>
    </row>
    <row r="60" spans="1:6" ht="12.75">
      <c r="A60" s="30">
        <v>1</v>
      </c>
      <c r="B60" s="19" t="s">
        <v>404</v>
      </c>
      <c r="C60" s="35" t="s">
        <v>111</v>
      </c>
      <c r="D60" s="36" t="s">
        <v>169</v>
      </c>
      <c r="E60" s="36" t="s">
        <v>314</v>
      </c>
      <c r="F60" s="36" t="s">
        <v>409</v>
      </c>
    </row>
    <row r="61" spans="2:6" ht="12.75" hidden="1">
      <c r="B61" s="19" t="s">
        <v>401</v>
      </c>
      <c r="C61" s="11" t="s">
        <v>111</v>
      </c>
      <c r="D61" s="11" t="s">
        <v>117</v>
      </c>
      <c r="E61" s="11" t="s">
        <v>273</v>
      </c>
      <c r="F61" s="23" t="s">
        <v>410</v>
      </c>
    </row>
    <row r="62" spans="2:6" ht="12.75" hidden="1">
      <c r="B62" s="19" t="s">
        <v>356</v>
      </c>
      <c r="C62" s="11" t="s">
        <v>111</v>
      </c>
      <c r="D62" s="11" t="s">
        <v>119</v>
      </c>
      <c r="E62" s="11" t="s">
        <v>273</v>
      </c>
      <c r="F62" s="23" t="s">
        <v>411</v>
      </c>
    </row>
    <row r="64" spans="10:14" ht="12.75">
      <c r="J64" s="30"/>
      <c r="K64" s="30"/>
      <c r="M64" s="30"/>
      <c r="N64"/>
    </row>
    <row r="65" spans="10:14" ht="12.75">
      <c r="J65" s="30"/>
      <c r="K65" s="30"/>
      <c r="M65" s="30"/>
      <c r="N65"/>
    </row>
    <row r="66" spans="10:14" ht="12.75">
      <c r="J66" s="30"/>
      <c r="K66" s="30"/>
      <c r="M66" s="30"/>
      <c r="N66"/>
    </row>
    <row r="67" spans="10:14" ht="12.75">
      <c r="J67" s="30"/>
      <c r="K67" s="30"/>
      <c r="M67" s="30"/>
      <c r="N67"/>
    </row>
    <row r="68" spans="10:14" ht="12.75">
      <c r="J68" s="30"/>
      <c r="K68" s="30"/>
      <c r="M68" s="30"/>
      <c r="N68"/>
    </row>
    <row r="69" spans="10:14" ht="12.75">
      <c r="J69" s="30"/>
      <c r="K69" s="30"/>
      <c r="M69" s="30"/>
      <c r="N69"/>
    </row>
    <row r="70" spans="10:14" ht="12.75">
      <c r="J70" s="30"/>
      <c r="K70" s="30"/>
      <c r="M70" s="30"/>
      <c r="N70"/>
    </row>
  </sheetData>
  <sheetProtection/>
  <mergeCells count="23">
    <mergeCell ref="G3:G4"/>
    <mergeCell ref="H3:K3"/>
    <mergeCell ref="B38:M38"/>
    <mergeCell ref="B12:M12"/>
    <mergeCell ref="L3:L4"/>
    <mergeCell ref="M3:M4"/>
    <mergeCell ref="A3:A4"/>
    <mergeCell ref="B46:M46"/>
    <mergeCell ref="B52:M52"/>
    <mergeCell ref="B15:M15"/>
    <mergeCell ref="B18:M18"/>
    <mergeCell ref="B23:M23"/>
    <mergeCell ref="B30:M30"/>
    <mergeCell ref="B43:M43"/>
    <mergeCell ref="B1:N2"/>
    <mergeCell ref="B3:B4"/>
    <mergeCell ref="C3:C4"/>
    <mergeCell ref="D3:D4"/>
    <mergeCell ref="E3:E4"/>
    <mergeCell ref="F3:F4"/>
    <mergeCell ref="N3:N4"/>
    <mergeCell ref="B5:M5"/>
    <mergeCell ref="B8:M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2016-10-17T17:34:19Z</dcterms:modified>
  <cp:category/>
  <cp:version/>
  <cp:contentType/>
  <cp:contentStatus/>
</cp:coreProperties>
</file>