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440" activeTab="0"/>
  </bookViews>
  <sheets>
    <sheet name="Пауэрлифтинг в бинтах ДК" sheetId="1" r:id="rId1"/>
    <sheet name="Пауэрлифтинг в бинтах" sheetId="2" r:id="rId2"/>
    <sheet name="Жим лежа без экипировки ДК" sheetId="3" r:id="rId3"/>
    <sheet name="Жим лежа без экипировки" sheetId="4" r:id="rId4"/>
    <sheet name="Народный жим 1 вес" sheetId="5" r:id="rId5"/>
    <sheet name="Народный жим 1_2 веса" sheetId="6" r:id="rId6"/>
    <sheet name="Становая тяга без экипировки ДК" sheetId="7" r:id="rId7"/>
    <sheet name="Становая тяга без экипировки" sheetId="8" r:id="rId8"/>
  </sheets>
  <definedNames/>
  <calcPr fullCalcOnLoad="1" refMode="R1C1"/>
</workbook>
</file>

<file path=xl/sharedStrings.xml><?xml version="1.0" encoding="utf-8"?>
<sst xmlns="http://schemas.openxmlformats.org/spreadsheetml/2006/main" count="1724" uniqueCount="544">
  <si>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</si>
  <si>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</si>
  <si>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</si>
  <si>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</si>
  <si>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</si>
  <si>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</si>
  <si>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</si>
  <si>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</si>
  <si>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</si>
  <si>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Gloss</t>
  </si>
  <si>
    <t>ВЕСОВАЯ КАТЕГОРИЯ   56</t>
  </si>
  <si>
    <t>Евстигнеева Валерия</t>
  </si>
  <si>
    <t>Open (11.05.1993)/22</t>
  </si>
  <si>
    <t xml:space="preserve">Лично </t>
  </si>
  <si>
    <t xml:space="preserve">Тверь/Тверская область </t>
  </si>
  <si>
    <t>70,0</t>
  </si>
  <si>
    <t>35,0</t>
  </si>
  <si>
    <t>37,5</t>
  </si>
  <si>
    <t>40,0</t>
  </si>
  <si>
    <t>80,0</t>
  </si>
  <si>
    <t>85,0</t>
  </si>
  <si>
    <t>ВЕСОВАЯ КАТЕГОРИЯ   60</t>
  </si>
  <si>
    <t>Бокарева Татьяна</t>
  </si>
  <si>
    <t>Open (25.01.1984)/32</t>
  </si>
  <si>
    <t>90,0</t>
  </si>
  <si>
    <t>45,0</t>
  </si>
  <si>
    <t>50,0</t>
  </si>
  <si>
    <t>110,0</t>
  </si>
  <si>
    <t>ВЕСОВАЯ КАТЕГОРИЯ   67.5</t>
  </si>
  <si>
    <t>Акатьев Владимир</t>
  </si>
  <si>
    <t>Open (19.02.1985)/31</t>
  </si>
  <si>
    <t xml:space="preserve">Сосновый бор </t>
  </si>
  <si>
    <t>150,0</t>
  </si>
  <si>
    <t>165,0</t>
  </si>
  <si>
    <t>172,5</t>
  </si>
  <si>
    <t>95,0</t>
  </si>
  <si>
    <t>107,5</t>
  </si>
  <si>
    <t>112,5</t>
  </si>
  <si>
    <t>145,0</t>
  </si>
  <si>
    <t>175,0</t>
  </si>
  <si>
    <t>ВЕСОВАЯ КАТЕГОРИЯ   75</t>
  </si>
  <si>
    <t>Ромашев Павел</t>
  </si>
  <si>
    <t>Open (24.04.1989)/27</t>
  </si>
  <si>
    <t xml:space="preserve">Торжок/Тверская область </t>
  </si>
  <si>
    <t>170,0</t>
  </si>
  <si>
    <t>185,0</t>
  </si>
  <si>
    <t>120,0</t>
  </si>
  <si>
    <t>125,0</t>
  </si>
  <si>
    <t>132,5</t>
  </si>
  <si>
    <t>160,0</t>
  </si>
  <si>
    <t>200,0</t>
  </si>
  <si>
    <t>Мамедов Эльдар</t>
  </si>
  <si>
    <t>Open (12.02.1991)/25</t>
  </si>
  <si>
    <t>180,0</t>
  </si>
  <si>
    <t>140,0</t>
  </si>
  <si>
    <t>ВЕСОВАЯ КАТЕГОРИЯ   82.5</t>
  </si>
  <si>
    <t>Парылин Илья</t>
  </si>
  <si>
    <t>Open (31.03.1984)/32</t>
  </si>
  <si>
    <t>190,0</t>
  </si>
  <si>
    <t>210,0</t>
  </si>
  <si>
    <t>220,0</t>
  </si>
  <si>
    <t>250,0</t>
  </si>
  <si>
    <t>260,0</t>
  </si>
  <si>
    <t>Крапивницкий Алексей</t>
  </si>
  <si>
    <t>Open (20.05.1981)/34</t>
  </si>
  <si>
    <t>155,0</t>
  </si>
  <si>
    <t>117,5</t>
  </si>
  <si>
    <t>Майданов Артем</t>
  </si>
  <si>
    <t>Open (19.11.1986)/29</t>
  </si>
  <si>
    <t>130,0</t>
  </si>
  <si>
    <t>137,5</t>
  </si>
  <si>
    <t>100,0</t>
  </si>
  <si>
    <t>105,0</t>
  </si>
  <si>
    <t>ВЕСОВАЯ КАТЕГОРИЯ   90</t>
  </si>
  <si>
    <t>Тютиков Артем</t>
  </si>
  <si>
    <t>Open (12.11.1982)/33</t>
  </si>
  <si>
    <t xml:space="preserve">Лихославль/Тверская область </t>
  </si>
  <si>
    <t>245,0</t>
  </si>
  <si>
    <t>270,0</t>
  </si>
  <si>
    <t>142,5</t>
  </si>
  <si>
    <t>225,0</t>
  </si>
  <si>
    <t>240,0</t>
  </si>
  <si>
    <t>Горячов Кирилл</t>
  </si>
  <si>
    <t>Open (31.05.1990)/25</t>
  </si>
  <si>
    <t>90,00</t>
  </si>
  <si>
    <t>265,0</t>
  </si>
  <si>
    <t>Бажуков Алексей</t>
  </si>
  <si>
    <t>Open (29.09.1987)/28</t>
  </si>
  <si>
    <t xml:space="preserve">Кашин/Тверская область </t>
  </si>
  <si>
    <t>215,0</t>
  </si>
  <si>
    <t>Цацев Никита</t>
  </si>
  <si>
    <t>Open (18.03.1997)/19</t>
  </si>
  <si>
    <t xml:space="preserve">Потемкин М. </t>
  </si>
  <si>
    <t>ВЕСОВАЯ КАТЕГОРИЯ   100</t>
  </si>
  <si>
    <t>Малыгин Владислав</t>
  </si>
  <si>
    <t>Open (02.01.1994)/22</t>
  </si>
  <si>
    <t xml:space="preserve">Кимры/Тверская область </t>
  </si>
  <si>
    <t>280,0</t>
  </si>
  <si>
    <t>300,0</t>
  </si>
  <si>
    <t>135,0</t>
  </si>
  <si>
    <t>282,5</t>
  </si>
  <si>
    <t>Бокарев Виталий</t>
  </si>
  <si>
    <t>Open (19.10.1981)/34</t>
  </si>
  <si>
    <t>230,0</t>
  </si>
  <si>
    <t>Озеров Павел</t>
  </si>
  <si>
    <t>Open (19.06.1993)/22</t>
  </si>
  <si>
    <t>195,0</t>
  </si>
  <si>
    <t>205,0</t>
  </si>
  <si>
    <t>157,5</t>
  </si>
  <si>
    <t>ВЕСОВАЯ КАТЕГОРИЯ   110</t>
  </si>
  <si>
    <t>Семенов Максим</t>
  </si>
  <si>
    <t>Open (26.09.1985)/30</t>
  </si>
  <si>
    <t>255,0</t>
  </si>
  <si>
    <t>162,5</t>
  </si>
  <si>
    <t>167,5</t>
  </si>
  <si>
    <t>Герасимов Михаил</t>
  </si>
  <si>
    <t>Open (07.02.1982)/34</t>
  </si>
  <si>
    <t>Зелянин Сергей</t>
  </si>
  <si>
    <t>Open (02.11.1987)/28</t>
  </si>
  <si>
    <t xml:space="preserve">Минск/Минская </t>
  </si>
  <si>
    <t>310,0</t>
  </si>
  <si>
    <t>320,0</t>
  </si>
  <si>
    <t>ВЕСОВАЯ КАТЕГОРИЯ   125</t>
  </si>
  <si>
    <t>Милашевский Артем</t>
  </si>
  <si>
    <t>Open (29.03.1983)/33</t>
  </si>
  <si>
    <t>275,0</t>
  </si>
  <si>
    <t>ВЕСОВАЯ КАТЕГОРИЯ   140</t>
  </si>
  <si>
    <t>Чесноков Анатолий</t>
  </si>
  <si>
    <t>Open (04.11.1982)/33</t>
  </si>
  <si>
    <t xml:space="preserve">Москва </t>
  </si>
  <si>
    <t>192,5</t>
  </si>
  <si>
    <t>267,5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</si>
  <si>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</si>
  <si>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</si>
  <si>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</si>
  <si>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</si>
  <si>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</si>
  <si>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</si>
  <si>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</si>
  <si>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</si>
  <si>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Мужчины </t>
  </si>
  <si>
    <t xml:space="preserve">125 </t>
  </si>
  <si>
    <t>737,5</t>
  </si>
  <si>
    <t>408,9437</t>
  </si>
  <si>
    <t>662,5</t>
  </si>
  <si>
    <t>405,8475</t>
  </si>
  <si>
    <t>690,0</t>
  </si>
  <si>
    <t>402,9945</t>
  </si>
  <si>
    <t xml:space="preserve">110 </t>
  </si>
  <si>
    <t>702,5</t>
  </si>
  <si>
    <t>635,0</t>
  </si>
  <si>
    <t xml:space="preserve">82.5 </t>
  </si>
  <si>
    <t>580,0</t>
  </si>
  <si>
    <t>640,0</t>
  </si>
  <si>
    <t>595,0</t>
  </si>
  <si>
    <t>590,0</t>
  </si>
  <si>
    <t>517,5</t>
  </si>
  <si>
    <t>460,0</t>
  </si>
  <si>
    <t>605,0</t>
  </si>
  <si>
    <t>617,5</t>
  </si>
  <si>
    <t>560,0</t>
  </si>
  <si>
    <t>465,0</t>
  </si>
  <si>
    <t>450,0</t>
  </si>
  <si>
    <t>390,0</t>
  </si>
  <si>
    <t>ВЕСОВАЯ КАТЕГОРИЯ   48</t>
  </si>
  <si>
    <t>Матюхина Екатерина</t>
  </si>
  <si>
    <t>Open (20.05.1990)/25</t>
  </si>
  <si>
    <t>75,0</t>
  </si>
  <si>
    <t>82,5</t>
  </si>
  <si>
    <t>57,5</t>
  </si>
  <si>
    <t>62,5</t>
  </si>
  <si>
    <t>65,0</t>
  </si>
  <si>
    <t>ВЕСОВАЯ КАТЕГОРИЯ   52</t>
  </si>
  <si>
    <t>Шодикулова Екатерина</t>
  </si>
  <si>
    <t>Open (26.11.1994)/21</t>
  </si>
  <si>
    <t>55,0</t>
  </si>
  <si>
    <t>115,0</t>
  </si>
  <si>
    <t>Шумилова Екатерина</t>
  </si>
  <si>
    <t>Open (06.11.1991)/24</t>
  </si>
  <si>
    <t>51,90</t>
  </si>
  <si>
    <t>Ляшенко Кристина</t>
  </si>
  <si>
    <t>Open (04.06.1992)/23</t>
  </si>
  <si>
    <t>Неумержицкая Анна</t>
  </si>
  <si>
    <t>Open (08.08.1988)/27</t>
  </si>
  <si>
    <t>60,0</t>
  </si>
  <si>
    <t>Замашнюк Анастасия</t>
  </si>
  <si>
    <t>Open (23.03.1996)/20</t>
  </si>
  <si>
    <t>Лобза Роман</t>
  </si>
  <si>
    <t>Open (13.09.1989)/26</t>
  </si>
  <si>
    <t>122,5</t>
  </si>
  <si>
    <t>127,5</t>
  </si>
  <si>
    <t>Козлов Даниил</t>
  </si>
  <si>
    <t>Open (29.10.1998)/17</t>
  </si>
  <si>
    <t>77,5</t>
  </si>
  <si>
    <t>87,5</t>
  </si>
  <si>
    <t>Батистов Сергей</t>
  </si>
  <si>
    <t>Open (26.02.1986)/30</t>
  </si>
  <si>
    <t>Курякин Роман</t>
  </si>
  <si>
    <t>Open (17.07.1982)/33</t>
  </si>
  <si>
    <t>Малов Вадим</t>
  </si>
  <si>
    <t>Open (27.01.1990)/26</t>
  </si>
  <si>
    <t>82,50</t>
  </si>
  <si>
    <t xml:space="preserve">Железнодорожный/Московская область </t>
  </si>
  <si>
    <t>242,5</t>
  </si>
  <si>
    <t>Забелин Николай</t>
  </si>
  <si>
    <t>Open (23.05.1985)/30</t>
  </si>
  <si>
    <t>88,70</t>
  </si>
  <si>
    <t>152,5</t>
  </si>
  <si>
    <t>Лазарев Роман</t>
  </si>
  <si>
    <t>Open (12.12.1985)/30</t>
  </si>
  <si>
    <t xml:space="preserve">Белый/Тверская область </t>
  </si>
  <si>
    <t>212,5</t>
  </si>
  <si>
    <t>257,5</t>
  </si>
  <si>
    <t>Ганин Кирилл</t>
  </si>
  <si>
    <t>Open (02.07.1985)/30</t>
  </si>
  <si>
    <t>217,5</t>
  </si>
  <si>
    <t>Иванов Иван</t>
  </si>
  <si>
    <t>Open (30.01.1994)/22</t>
  </si>
  <si>
    <t xml:space="preserve">Осташков/Тверская область </t>
  </si>
  <si>
    <t>207,5</t>
  </si>
  <si>
    <t>Андреев Андрей</t>
  </si>
  <si>
    <t>Open (08.03.1979)/37</t>
  </si>
  <si>
    <t>Иошин Александр</t>
  </si>
  <si>
    <t>Open (11.04.1993)/23</t>
  </si>
  <si>
    <t>Титов Денис</t>
  </si>
  <si>
    <t>Open (16.04.1986)/30</t>
  </si>
  <si>
    <t>177,5</t>
  </si>
  <si>
    <t>Воронов Никита</t>
  </si>
  <si>
    <t>Open (05.02.1987)/29</t>
  </si>
  <si>
    <t>299,4663</t>
  </si>
  <si>
    <t>247,5</t>
  </si>
  <si>
    <t>294,1290</t>
  </si>
  <si>
    <t>285,6448</t>
  </si>
  <si>
    <t>720,0</t>
  </si>
  <si>
    <t>400,1400</t>
  </si>
  <si>
    <t>610,0</t>
  </si>
  <si>
    <t>378,2610</t>
  </si>
  <si>
    <t>612,5</t>
  </si>
  <si>
    <t>377,8206</t>
  </si>
  <si>
    <t>Акиньшин Андрей</t>
  </si>
  <si>
    <t>Open (19.02.2001)/15</t>
  </si>
  <si>
    <t>Нигматов Тулкин</t>
  </si>
  <si>
    <t>Open (01.10.1997)/18</t>
  </si>
  <si>
    <t xml:space="preserve">Клин/Московская область </t>
  </si>
  <si>
    <t>Якимов Олег</t>
  </si>
  <si>
    <t>Open (04.04.1989)/27</t>
  </si>
  <si>
    <t>83,40</t>
  </si>
  <si>
    <t>Вендель Иван</t>
  </si>
  <si>
    <t>Open (15.07.1998)/17</t>
  </si>
  <si>
    <t xml:space="preserve">Калинина </t>
  </si>
  <si>
    <t>Михайлецкий Богдан</t>
  </si>
  <si>
    <t>Open (05.05.1986)/30</t>
  </si>
  <si>
    <t>104,40</t>
  </si>
  <si>
    <t>Цымбалов Дмитрий</t>
  </si>
  <si>
    <t>Open (09.08.1979)/36</t>
  </si>
  <si>
    <t>Арсентьев Иван</t>
  </si>
  <si>
    <t>Open (04.06.1976)/39</t>
  </si>
  <si>
    <t>Котов Вадим</t>
  </si>
  <si>
    <t>Open (04.04.1992)/24</t>
  </si>
  <si>
    <t xml:space="preserve">Мурманск/Мурманская область </t>
  </si>
  <si>
    <t>202,5</t>
  </si>
  <si>
    <t>Шарапов Игорь</t>
  </si>
  <si>
    <t>Open (30.10.1971)/44</t>
  </si>
  <si>
    <t xml:space="preserve">Дубна/Московская область </t>
  </si>
  <si>
    <t>187,5</t>
  </si>
  <si>
    <t>Петров Роман</t>
  </si>
  <si>
    <t>Open (14.02.1978)/38</t>
  </si>
  <si>
    <t>122,8260</t>
  </si>
  <si>
    <t>114,3600</t>
  </si>
  <si>
    <t>112,6700</t>
  </si>
  <si>
    <t>67,5</t>
  </si>
  <si>
    <t>Артамонова Анжелика</t>
  </si>
  <si>
    <t>Open (20.02.1986)/30</t>
  </si>
  <si>
    <t xml:space="preserve">Козлов </t>
  </si>
  <si>
    <t>52,5</t>
  </si>
  <si>
    <t>Знамецкий Олег</t>
  </si>
  <si>
    <t>Open (02.03.1989)/27</t>
  </si>
  <si>
    <t>102,5</t>
  </si>
  <si>
    <t>Колтаков Алик</t>
  </si>
  <si>
    <t>Open (30.06.1986)/29</t>
  </si>
  <si>
    <t>72,20</t>
  </si>
  <si>
    <t>Смирнов Виталий</t>
  </si>
  <si>
    <t>Open (13.02.1979)/37</t>
  </si>
  <si>
    <t xml:space="preserve">Бежецк/Тверская область </t>
  </si>
  <si>
    <t>Егоров Александр</t>
  </si>
  <si>
    <t>Open (16.10.1989)/26</t>
  </si>
  <si>
    <t>Прохоров Максим</t>
  </si>
  <si>
    <t>Open (04.05.1996)/20</t>
  </si>
  <si>
    <t>Воронин Роман</t>
  </si>
  <si>
    <t>Open (20.04.1991)/25</t>
  </si>
  <si>
    <t>Суворов Михаил</t>
  </si>
  <si>
    <t>Open (15.11.1971)/44</t>
  </si>
  <si>
    <t>82,00</t>
  </si>
  <si>
    <t>Трифонов Артем</t>
  </si>
  <si>
    <t>Open (21.08.1987)/28</t>
  </si>
  <si>
    <t>Воробей Олег</t>
  </si>
  <si>
    <t>Open (03.09.1986)/29</t>
  </si>
  <si>
    <t>Поспелов Дмитрий</t>
  </si>
  <si>
    <t>Open (05.01.1979)/37</t>
  </si>
  <si>
    <t>Березин Григорий</t>
  </si>
  <si>
    <t>Open (08.03.1991)/25</t>
  </si>
  <si>
    <t>147,5</t>
  </si>
  <si>
    <t>Грицков Андрей</t>
  </si>
  <si>
    <t>Open (10.01.1978)/38</t>
  </si>
  <si>
    <t>Величко Федор</t>
  </si>
  <si>
    <t>Open (25.11.1988)/27</t>
  </si>
  <si>
    <t>Цветков Дмитрий</t>
  </si>
  <si>
    <t>Open (19.09.1983)/32</t>
  </si>
  <si>
    <t>Жильцов Евгений</t>
  </si>
  <si>
    <t>Open (14.11.1986)/29</t>
  </si>
  <si>
    <t>Вишняков Роман</t>
  </si>
  <si>
    <t>Open (10.10.1987)/28</t>
  </si>
  <si>
    <t>Мальчиков Денис</t>
  </si>
  <si>
    <t>Open (12.06.1980)/35</t>
  </si>
  <si>
    <t>Финогенов Алексей</t>
  </si>
  <si>
    <t>Open (12.07.1981)/34</t>
  </si>
  <si>
    <t>Попов Владимир</t>
  </si>
  <si>
    <t>Open (31.12.1968)/47</t>
  </si>
  <si>
    <t>Филиппов Константин</t>
  </si>
  <si>
    <t>Open (28.08.1977)/38</t>
  </si>
  <si>
    <t>Карелин Дмитрий</t>
  </si>
  <si>
    <t>Open (08.06.1988)/27</t>
  </si>
  <si>
    <t>Барматов Валерий</t>
  </si>
  <si>
    <t>Open (20.03.1982)/34</t>
  </si>
  <si>
    <t>69,3313</t>
  </si>
  <si>
    <t>64,3713</t>
  </si>
  <si>
    <t>62,9063</t>
  </si>
  <si>
    <t>123,0230</t>
  </si>
  <si>
    <t>109,0127</t>
  </si>
  <si>
    <t>105,3630</t>
  </si>
  <si>
    <t>Янковский Андрей</t>
  </si>
  <si>
    <t>Open (20.03.2001)/15</t>
  </si>
  <si>
    <t xml:space="preserve">Арсентьев И. </t>
  </si>
  <si>
    <t>Стрункин Александр</t>
  </si>
  <si>
    <t>Open (20.10.1984)/31</t>
  </si>
  <si>
    <t>330,0</t>
  </si>
  <si>
    <t>180,2720</t>
  </si>
  <si>
    <t>170,8980</t>
  </si>
  <si>
    <t>157,9599</t>
  </si>
  <si>
    <t>Егоров Сергей</t>
  </si>
  <si>
    <t>Open (23.12.1978)/37</t>
  </si>
  <si>
    <t>Марусев Константин</t>
  </si>
  <si>
    <t>Open (25.03.1992)/24</t>
  </si>
  <si>
    <t xml:space="preserve">Нелидово/Тверская область </t>
  </si>
  <si>
    <t>Щурин Кирилл</t>
  </si>
  <si>
    <t>Open (20.12.1993)/22</t>
  </si>
  <si>
    <t>Чичерин Михаил</t>
  </si>
  <si>
    <t>Open (08.09.1987)/28</t>
  </si>
  <si>
    <t>235,0</t>
  </si>
  <si>
    <t>159,6758</t>
  </si>
  <si>
    <t>157,2968</t>
  </si>
  <si>
    <t>143,4500</t>
  </si>
  <si>
    <t>Место</t>
  </si>
  <si>
    <t>Возрастная категория Дата рождения/возраст</t>
  </si>
  <si>
    <t>Собств. вес</t>
  </si>
  <si>
    <t>Город/область</t>
  </si>
  <si>
    <t>47,5</t>
  </si>
  <si>
    <t>51,3</t>
  </si>
  <si>
    <t>64,0</t>
  </si>
  <si>
    <t>87,9</t>
  </si>
  <si>
    <t>88,7</t>
  </si>
  <si>
    <t>89,5</t>
  </si>
  <si>
    <t>99,9</t>
  </si>
  <si>
    <t>103,4</t>
  </si>
  <si>
    <t>103,9</t>
  </si>
  <si>
    <t xml:space="preserve">Герасимов Н. </t>
  </si>
  <si>
    <t>Бобров В.</t>
  </si>
  <si>
    <t xml:space="preserve">Самостоятельно </t>
  </si>
  <si>
    <t>Результат</t>
  </si>
  <si>
    <t>Кубок Победы                                                                                                                    Становая тяга без экипировки ДК
г. Тверь, 07-08 мая 2016 г.</t>
  </si>
  <si>
    <t xml:space="preserve">Бокарев В. </t>
  </si>
  <si>
    <t xml:space="preserve">90,0 </t>
  </si>
  <si>
    <t xml:space="preserve">110,0 </t>
  </si>
  <si>
    <t>57,1</t>
  </si>
  <si>
    <t>Кубок Победы                                                                                                                    Становая тяга без экипировки 
г. Тверь, 07-08 мая 2016 г.</t>
  </si>
  <si>
    <t>58,6</t>
  </si>
  <si>
    <t>80,1</t>
  </si>
  <si>
    <t>83,4</t>
  </si>
  <si>
    <t>109,4</t>
  </si>
  <si>
    <t>Цветков В.</t>
  </si>
  <si>
    <t>51,9</t>
  </si>
  <si>
    <t>50,6</t>
  </si>
  <si>
    <t>58,5</t>
  </si>
  <si>
    <t>53,2</t>
  </si>
  <si>
    <t>72,2</t>
  </si>
  <si>
    <t>72,9</t>
  </si>
  <si>
    <t>72,8</t>
  </si>
  <si>
    <t>74,0</t>
  </si>
  <si>
    <t>80,6</t>
  </si>
  <si>
    <t>81,2</t>
  </si>
  <si>
    <t>82,0</t>
  </si>
  <si>
    <t>81,5</t>
  </si>
  <si>
    <t>86,9</t>
  </si>
  <si>
    <t>86,5</t>
  </si>
  <si>
    <t>86,6</t>
  </si>
  <si>
    <t>85,8</t>
  </si>
  <si>
    <t>98,4</t>
  </si>
  <si>
    <t>94,3</t>
  </si>
  <si>
    <t>96,1</t>
  </si>
  <si>
    <t>96,5</t>
  </si>
  <si>
    <t>99,4</t>
  </si>
  <si>
    <t>98,3</t>
  </si>
  <si>
    <t>104,2</t>
  </si>
  <si>
    <t>107,8</t>
  </si>
  <si>
    <t>104,5</t>
  </si>
  <si>
    <t>0</t>
  </si>
  <si>
    <t>Горячов К.</t>
  </si>
  <si>
    <t>Ефременков П.</t>
  </si>
  <si>
    <t>Горячев С.</t>
  </si>
  <si>
    <t>Неворотин С.</t>
  </si>
  <si>
    <t>Петров М.</t>
  </si>
  <si>
    <t>Зубкова С.</t>
  </si>
  <si>
    <t>Халилулин Д.</t>
  </si>
  <si>
    <t xml:space="preserve">Бобров В. </t>
  </si>
  <si>
    <t>Маслюк В.</t>
  </si>
  <si>
    <t>Фурсов Р.</t>
  </si>
  <si>
    <t>Николаев Е.</t>
  </si>
  <si>
    <t>Ганин К.</t>
  </si>
  <si>
    <t xml:space="preserve">52,0 </t>
  </si>
  <si>
    <t xml:space="preserve">60,0 </t>
  </si>
  <si>
    <t xml:space="preserve">100,0 </t>
  </si>
  <si>
    <t>Кубок Победы                                                                                                                                Жим лежа без экипировки ДК
г. Тверь, 07 - 08 мая 2016 г.</t>
  </si>
  <si>
    <t xml:space="preserve">125,0 </t>
  </si>
  <si>
    <t>58,3</t>
  </si>
  <si>
    <t>65,7</t>
  </si>
  <si>
    <t>71,0</t>
  </si>
  <si>
    <t>87,6</t>
  </si>
  <si>
    <t>93,1</t>
  </si>
  <si>
    <t>104,4</t>
  </si>
  <si>
    <t>107,3</t>
  </si>
  <si>
    <t>113,2</t>
  </si>
  <si>
    <t>114,9</t>
  </si>
  <si>
    <t>123,0</t>
  </si>
  <si>
    <t>Герасимов Н.</t>
  </si>
  <si>
    <t>Боровков А.</t>
  </si>
  <si>
    <t xml:space="preserve">Безуглов Н. </t>
  </si>
  <si>
    <t>Тимофеев С.</t>
  </si>
  <si>
    <t>Кузеев Д.</t>
  </si>
  <si>
    <t xml:space="preserve">Цветков В.  </t>
  </si>
  <si>
    <t>Григорьев К.</t>
  </si>
  <si>
    <t>58,1</t>
  </si>
  <si>
    <t>73,0</t>
  </si>
  <si>
    <t>64,3</t>
  </si>
  <si>
    <t>88,3</t>
  </si>
  <si>
    <t>107,6</t>
  </si>
  <si>
    <t>115,4</t>
  </si>
  <si>
    <t>52,0</t>
  </si>
  <si>
    <t xml:space="preserve">48,0 </t>
  </si>
  <si>
    <t xml:space="preserve">Горячов К. </t>
  </si>
  <si>
    <t xml:space="preserve">Горячев С. </t>
  </si>
  <si>
    <t>Тысячнюк Е.</t>
  </si>
  <si>
    <t xml:space="preserve">Петров М. </t>
  </si>
  <si>
    <t>54,0</t>
  </si>
  <si>
    <t>73,6</t>
  </si>
  <si>
    <t>81,0</t>
  </si>
  <si>
    <t>79,7</t>
  </si>
  <si>
    <t>89,8</t>
  </si>
  <si>
    <t>87,2</t>
  </si>
  <si>
    <t>98,9</t>
  </si>
  <si>
    <t>98,7</t>
  </si>
  <si>
    <t>103,5</t>
  </si>
  <si>
    <t>116,6</t>
  </si>
  <si>
    <t>128,8</t>
  </si>
  <si>
    <t xml:space="preserve">Москва/Московская область </t>
  </si>
  <si>
    <t>Шумилова Е.</t>
  </si>
  <si>
    <t>Бокарев В.</t>
  </si>
  <si>
    <t>Степанов С.</t>
  </si>
  <si>
    <t>Козлов А.</t>
  </si>
  <si>
    <t>Орлов В.</t>
  </si>
  <si>
    <t>С</t>
  </si>
  <si>
    <t>Копылов В.</t>
  </si>
  <si>
    <t>1</t>
  </si>
  <si>
    <t>2</t>
  </si>
  <si>
    <t>3</t>
  </si>
  <si>
    <t>4</t>
  </si>
  <si>
    <t>Вес</t>
  </si>
  <si>
    <t>Повторы</t>
  </si>
  <si>
    <t>25,0</t>
  </si>
  <si>
    <t>27,5</t>
  </si>
  <si>
    <t>Тюрина Анна</t>
  </si>
  <si>
    <t>Open (22.04.1984)/32</t>
  </si>
  <si>
    <t>3010,0</t>
  </si>
  <si>
    <t>1550,0</t>
  </si>
  <si>
    <t>935,0</t>
  </si>
  <si>
    <t>69,9</t>
  </si>
  <si>
    <t>62</t>
  </si>
  <si>
    <t>34</t>
  </si>
  <si>
    <t>86</t>
  </si>
  <si>
    <t>Тоннаж</t>
  </si>
  <si>
    <t>Кубок Победы                                                                                                             Народный жим (1/2 вес)
г. Тверь, 07 - 08 мая 2016 г.</t>
  </si>
  <si>
    <t>72,5</t>
  </si>
  <si>
    <t>Халилулин Дмитрий</t>
  </si>
  <si>
    <t>Open (09.09.1981)/34</t>
  </si>
  <si>
    <t>Морозов Олег</t>
  </si>
  <si>
    <t>Open (24.02.1984)/32</t>
  </si>
  <si>
    <t>77,40</t>
  </si>
  <si>
    <t>Майборода Станислав</t>
  </si>
  <si>
    <t>Open (05.09.1991)/24</t>
  </si>
  <si>
    <t>78,20</t>
  </si>
  <si>
    <t xml:space="preserve">Солнечногорск/Московская область </t>
  </si>
  <si>
    <t>Ряховский Дмитрий</t>
  </si>
  <si>
    <t>Open (07.06.1997)/18</t>
  </si>
  <si>
    <t>77,50</t>
  </si>
  <si>
    <t>Шелепов Юрий</t>
  </si>
  <si>
    <t>Open (11.09.1987)/28</t>
  </si>
  <si>
    <t>Громов Николай</t>
  </si>
  <si>
    <t>Open (19.12.1993)/22</t>
  </si>
  <si>
    <t>92,00</t>
  </si>
  <si>
    <t>92,5</t>
  </si>
  <si>
    <t>Сорокин Алексей</t>
  </si>
  <si>
    <t>Open (14.02.1959)/57</t>
  </si>
  <si>
    <t>94,10</t>
  </si>
  <si>
    <t>997,5</t>
  </si>
  <si>
    <t>3420,0</t>
  </si>
  <si>
    <t>2092,5271</t>
  </si>
  <si>
    <t>3465,0</t>
  </si>
  <si>
    <t>1981,2870</t>
  </si>
  <si>
    <t>3060,0</t>
  </si>
  <si>
    <t>1887,5611</t>
  </si>
  <si>
    <t>2557,5</t>
  </si>
  <si>
    <t>2015,0</t>
  </si>
  <si>
    <t>2000,0</t>
  </si>
  <si>
    <t>1885,0</t>
  </si>
  <si>
    <t>1757,5</t>
  </si>
  <si>
    <t>1472,5</t>
  </si>
  <si>
    <t>1275,0</t>
  </si>
  <si>
    <t>950,0</t>
  </si>
  <si>
    <t>19</t>
  </si>
  <si>
    <t>26</t>
  </si>
  <si>
    <t>31</t>
  </si>
  <si>
    <t>25</t>
  </si>
  <si>
    <t>38</t>
  </si>
  <si>
    <t>15</t>
  </si>
  <si>
    <t>10</t>
  </si>
  <si>
    <t>33</t>
  </si>
  <si>
    <t>5</t>
  </si>
  <si>
    <t xml:space="preserve">Тимофеев С. </t>
  </si>
  <si>
    <t>Кубок Победы                                                                                                                   Народный жим (1 вес)
г. Тверь, 07 - 08 мая 2016 г.</t>
  </si>
  <si>
    <t xml:space="preserve">Сосновый бор/Ленинградская область </t>
  </si>
  <si>
    <t>Минск/Белоруссия</t>
  </si>
  <si>
    <t xml:space="preserve"> </t>
  </si>
  <si>
    <t>Кубок Победы                                                                                                                               Жим лежа без экипировки
г. Тверь, 07-08 мая 2016 г.</t>
  </si>
  <si>
    <t>Кубок Победы                                                                                                                                                                Пауэрлифтинг в бинтах 
г. Тверь, 07 - 08 мая 2016 г.</t>
  </si>
  <si>
    <t>Кубок Победы                                                                                                                                                       Пауэрлифтинг в бинтах ДК
г. Тверь, 07 - 08 мая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</si>
</sst>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49" fontId="45" fillId="0" borderId="13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34" borderId="0" xfId="0" applyNumberFormat="1" applyFill="1" applyAlignment="1">
      <alignment/>
    </xf>
    <xf numFmtId="49" fontId="0" fillId="0" borderId="13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27">
      <selection activeCell="C57" sqref="C57"/>
    </sheetView>
  </sheetViews>
  <sheetFormatPr defaultColWidth="8.75390625" defaultRowHeight="12.75"/>
  <cols>
    <col min="1" max="1" width="7.875" style="26" customWidth="1"/>
    <col min="2" max="2" width="23.125" style="11" customWidth="1"/>
    <col min="3" max="3" width="26.00390625" style="11" customWidth="1"/>
    <col min="4" max="4" width="10.125" style="11" bestFit="1" customWidth="1"/>
    <col min="5" max="5" width="8.25390625" style="11" bestFit="1" customWidth="1"/>
    <col min="6" max="6" width="13.00390625" style="11" customWidth="1"/>
    <col min="7" max="7" width="36.75390625" style="11" bestFit="1" customWidth="1"/>
    <col min="8" max="10" width="5.625" style="11" bestFit="1" customWidth="1"/>
    <col min="11" max="11" width="4.25390625" style="11" bestFit="1" customWidth="1"/>
    <col min="12" max="14" width="5.625" style="11" bestFit="1" customWidth="1"/>
    <col min="15" max="15" width="4.25390625" style="11" bestFit="1" customWidth="1"/>
    <col min="16" max="19" width="5.625" style="11" bestFit="1" customWidth="1"/>
    <col min="20" max="20" width="7.75390625" style="40" bestFit="1" customWidth="1"/>
    <col min="21" max="21" width="8.625" style="11" bestFit="1" customWidth="1"/>
    <col min="22" max="22" width="15.75390625" style="11" customWidth="1"/>
  </cols>
  <sheetData>
    <row r="1" spans="1:22" s="1" customFormat="1" ht="15" customHeight="1">
      <c r="A1" s="25"/>
      <c r="B1" s="80" t="s">
        <v>543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</row>
    <row r="2" spans="1:22" s="1" customFormat="1" ht="90" customHeight="1" thickBot="1">
      <c r="A2" s="2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s="2" customFormat="1" ht="12.75" customHeight="1" thickBot="1">
      <c r="A3" s="79" t="s">
        <v>352</v>
      </c>
      <c r="B3" s="86" t="s">
        <v>0</v>
      </c>
      <c r="C3" s="87" t="s">
        <v>353</v>
      </c>
      <c r="D3" s="89" t="s">
        <v>354</v>
      </c>
      <c r="E3" s="90" t="s">
        <v>9</v>
      </c>
      <c r="F3" s="87" t="s">
        <v>7</v>
      </c>
      <c r="G3" s="92" t="s">
        <v>355</v>
      </c>
      <c r="H3" s="90" t="s">
        <v>1</v>
      </c>
      <c r="I3" s="90"/>
      <c r="J3" s="90"/>
      <c r="K3" s="90"/>
      <c r="L3" s="90" t="s">
        <v>2</v>
      </c>
      <c r="M3" s="90"/>
      <c r="N3" s="90"/>
      <c r="O3" s="90"/>
      <c r="P3" s="90" t="s">
        <v>3</v>
      </c>
      <c r="Q3" s="90"/>
      <c r="R3" s="90"/>
      <c r="S3" s="90"/>
      <c r="T3" s="94" t="s">
        <v>4</v>
      </c>
      <c r="U3" s="90" t="s">
        <v>6</v>
      </c>
      <c r="V3" s="96" t="s">
        <v>5</v>
      </c>
    </row>
    <row r="4" spans="1:22" s="2" customFormat="1" ht="21" customHeight="1" thickBot="1">
      <c r="A4" s="79"/>
      <c r="B4" s="86"/>
      <c r="C4" s="88"/>
      <c r="D4" s="89"/>
      <c r="E4" s="91"/>
      <c r="F4" s="88"/>
      <c r="G4" s="93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95"/>
      <c r="U4" s="91"/>
      <c r="V4" s="97"/>
    </row>
    <row r="5" spans="2:21" ht="15.75">
      <c r="B5" s="98" t="s">
        <v>164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2" ht="12.75">
      <c r="A6" s="26">
        <v>1</v>
      </c>
      <c r="B6" s="12" t="s">
        <v>165</v>
      </c>
      <c r="C6" s="12" t="s">
        <v>166</v>
      </c>
      <c r="D6" s="12" t="s">
        <v>356</v>
      </c>
      <c r="E6" s="12" t="str">
        <f>"1,1884"</f>
        <v>1,1884</v>
      </c>
      <c r="F6" s="12" t="s">
        <v>13</v>
      </c>
      <c r="G6" s="12" t="s">
        <v>14</v>
      </c>
      <c r="H6" s="41" t="s">
        <v>167</v>
      </c>
      <c r="I6" s="41" t="s">
        <v>168</v>
      </c>
      <c r="J6" s="41" t="s">
        <v>20</v>
      </c>
      <c r="K6" s="28"/>
      <c r="L6" s="41" t="s">
        <v>169</v>
      </c>
      <c r="M6" s="41" t="s">
        <v>170</v>
      </c>
      <c r="N6" s="45" t="s">
        <v>171</v>
      </c>
      <c r="O6" s="28"/>
      <c r="P6" s="41" t="s">
        <v>35</v>
      </c>
      <c r="Q6" s="41" t="s">
        <v>71</v>
      </c>
      <c r="R6" s="45" t="s">
        <v>72</v>
      </c>
      <c r="S6" s="28"/>
      <c r="T6" s="35">
        <v>247.5</v>
      </c>
      <c r="U6" s="27" t="str">
        <f>"294,1290"</f>
        <v>294,1290</v>
      </c>
      <c r="V6" s="12" t="s">
        <v>433</v>
      </c>
    </row>
    <row r="8" spans="2:21" ht="15.75">
      <c r="B8" s="99" t="s">
        <v>172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2" ht="12.75">
      <c r="A9" s="26">
        <v>1</v>
      </c>
      <c r="B9" s="13" t="s">
        <v>173</v>
      </c>
      <c r="C9" s="13" t="s">
        <v>174</v>
      </c>
      <c r="D9" s="13" t="s">
        <v>357</v>
      </c>
      <c r="E9" s="13" t="str">
        <f>"1,1195"</f>
        <v>1,1195</v>
      </c>
      <c r="F9" s="13" t="s">
        <v>13</v>
      </c>
      <c r="G9" s="13" t="s">
        <v>14</v>
      </c>
      <c r="H9" s="42" t="s">
        <v>71</v>
      </c>
      <c r="I9" s="47" t="s">
        <v>36</v>
      </c>
      <c r="J9" s="47" t="s">
        <v>36</v>
      </c>
      <c r="K9" s="30"/>
      <c r="L9" s="42" t="s">
        <v>26</v>
      </c>
      <c r="M9" s="42" t="s">
        <v>175</v>
      </c>
      <c r="N9" s="42" t="s">
        <v>169</v>
      </c>
      <c r="O9" s="30"/>
      <c r="P9" s="42" t="s">
        <v>71</v>
      </c>
      <c r="Q9" s="42" t="s">
        <v>27</v>
      </c>
      <c r="R9" s="47" t="s">
        <v>176</v>
      </c>
      <c r="S9" s="30"/>
      <c r="T9" s="36">
        <v>267.5</v>
      </c>
      <c r="U9" s="29" t="str">
        <f>"299,4663"</f>
        <v>299,4663</v>
      </c>
      <c r="V9" s="13" t="s">
        <v>366</v>
      </c>
    </row>
    <row r="10" spans="1:22" ht="12.75">
      <c r="A10" s="26">
        <v>2</v>
      </c>
      <c r="B10" s="14" t="s">
        <v>177</v>
      </c>
      <c r="C10" s="14" t="s">
        <v>178</v>
      </c>
      <c r="D10" s="14" t="s">
        <v>380</v>
      </c>
      <c r="E10" s="14" t="str">
        <f>"1,1093"</f>
        <v>1,1093</v>
      </c>
      <c r="F10" s="14" t="s">
        <v>13</v>
      </c>
      <c r="G10" s="14" t="s">
        <v>14</v>
      </c>
      <c r="H10" s="44" t="s">
        <v>19</v>
      </c>
      <c r="I10" s="46" t="s">
        <v>20</v>
      </c>
      <c r="J10" s="44" t="s">
        <v>20</v>
      </c>
      <c r="K10" s="33"/>
      <c r="L10" s="44" t="s">
        <v>169</v>
      </c>
      <c r="M10" s="46" t="s">
        <v>170</v>
      </c>
      <c r="N10" s="33"/>
      <c r="O10" s="33"/>
      <c r="P10" s="44" t="s">
        <v>71</v>
      </c>
      <c r="Q10" s="44" t="s">
        <v>72</v>
      </c>
      <c r="R10" s="44" t="s">
        <v>176</v>
      </c>
      <c r="S10" s="33"/>
      <c r="T10" s="38">
        <v>257.5</v>
      </c>
      <c r="U10" s="34" t="str">
        <f>"285,6448"</f>
        <v>285,6448</v>
      </c>
      <c r="V10" s="14" t="s">
        <v>448</v>
      </c>
    </row>
    <row r="12" spans="2:21" ht="15.75">
      <c r="B12" s="99" t="s">
        <v>21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2" ht="12.75">
      <c r="A13" s="26">
        <v>1</v>
      </c>
      <c r="B13" s="13" t="s">
        <v>180</v>
      </c>
      <c r="C13" s="13" t="s">
        <v>181</v>
      </c>
      <c r="D13" s="13" t="s">
        <v>375</v>
      </c>
      <c r="E13" s="13" t="str">
        <f>"1,0065"</f>
        <v>1,0065</v>
      </c>
      <c r="F13" s="13" t="s">
        <v>13</v>
      </c>
      <c r="G13" s="13" t="s">
        <v>14</v>
      </c>
      <c r="H13" s="47" t="s">
        <v>19</v>
      </c>
      <c r="I13" s="47" t="s">
        <v>19</v>
      </c>
      <c r="J13" s="42" t="s">
        <v>19</v>
      </c>
      <c r="K13" s="30"/>
      <c r="L13" s="47" t="s">
        <v>171</v>
      </c>
      <c r="M13" s="47" t="s">
        <v>171</v>
      </c>
      <c r="N13" s="42" t="s">
        <v>171</v>
      </c>
      <c r="O13" s="30"/>
      <c r="P13" s="42" t="s">
        <v>35</v>
      </c>
      <c r="Q13" s="42" t="s">
        <v>72</v>
      </c>
      <c r="R13" s="47" t="s">
        <v>176</v>
      </c>
      <c r="S13" s="30"/>
      <c r="T13" s="36">
        <v>250</v>
      </c>
      <c r="U13" s="29" t="str">
        <f>"251,6250"</f>
        <v>251,6250</v>
      </c>
      <c r="V13" s="13" t="s">
        <v>407</v>
      </c>
    </row>
    <row r="14" spans="2:22" ht="12.75">
      <c r="B14" s="14" t="s">
        <v>182</v>
      </c>
      <c r="C14" s="14" t="s">
        <v>183</v>
      </c>
      <c r="D14" s="14" t="s">
        <v>440</v>
      </c>
      <c r="E14" s="14" t="str">
        <f>"1,0135"</f>
        <v>1,0135</v>
      </c>
      <c r="F14" s="14" t="s">
        <v>13</v>
      </c>
      <c r="G14" s="14" t="s">
        <v>14</v>
      </c>
      <c r="H14" s="46" t="s">
        <v>19</v>
      </c>
      <c r="I14" s="44" t="s">
        <v>19</v>
      </c>
      <c r="J14" s="46" t="s">
        <v>24</v>
      </c>
      <c r="K14" s="33"/>
      <c r="L14" s="46" t="s">
        <v>184</v>
      </c>
      <c r="M14" s="46" t="s">
        <v>184</v>
      </c>
      <c r="N14" s="46" t="s">
        <v>184</v>
      </c>
      <c r="O14" s="33"/>
      <c r="P14" s="33"/>
      <c r="Q14" s="33"/>
      <c r="R14" s="33"/>
      <c r="S14" s="33"/>
      <c r="T14" s="48">
        <v>0</v>
      </c>
      <c r="U14" s="34" t="s">
        <v>405</v>
      </c>
      <c r="V14" s="14" t="s">
        <v>449</v>
      </c>
    </row>
    <row r="16" spans="2:21" ht="15.75">
      <c r="B16" s="99" t="s">
        <v>40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2" ht="12.75">
      <c r="A17" s="26">
        <v>1</v>
      </c>
      <c r="B17" s="12" t="s">
        <v>185</v>
      </c>
      <c r="C17" s="12" t="s">
        <v>186</v>
      </c>
      <c r="D17" s="12" t="s">
        <v>441</v>
      </c>
      <c r="E17" s="12" t="str">
        <f>"0,8515"</f>
        <v>0,8515</v>
      </c>
      <c r="F17" s="12" t="s">
        <v>13</v>
      </c>
      <c r="G17" s="12" t="s">
        <v>463</v>
      </c>
      <c r="H17" s="41" t="s">
        <v>27</v>
      </c>
      <c r="I17" s="41" t="s">
        <v>46</v>
      </c>
      <c r="J17" s="45" t="s">
        <v>47</v>
      </c>
      <c r="K17" s="28"/>
      <c r="L17" s="45" t="s">
        <v>169</v>
      </c>
      <c r="M17" s="41" t="s">
        <v>169</v>
      </c>
      <c r="N17" s="45" t="s">
        <v>170</v>
      </c>
      <c r="O17" s="28"/>
      <c r="P17" s="41" t="s">
        <v>176</v>
      </c>
      <c r="Q17" s="41" t="s">
        <v>46</v>
      </c>
      <c r="R17" s="41" t="s">
        <v>47</v>
      </c>
      <c r="S17" s="28"/>
      <c r="T17" s="35">
        <v>302.5</v>
      </c>
      <c r="U17" s="27" t="str">
        <f>"257,5787"</f>
        <v>257,5787</v>
      </c>
      <c r="V17" s="12" t="s">
        <v>367</v>
      </c>
    </row>
    <row r="18" spans="16:18" ht="12.75">
      <c r="P18" s="51"/>
      <c r="Q18" s="51"/>
      <c r="R18" s="51"/>
    </row>
    <row r="19" spans="2:21" ht="15.75">
      <c r="B19" s="99" t="s">
        <v>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</row>
    <row r="20" spans="1:22" ht="12.75">
      <c r="A20" s="26">
        <v>1</v>
      </c>
      <c r="B20" s="13" t="s">
        <v>187</v>
      </c>
      <c r="C20" s="13" t="s">
        <v>188</v>
      </c>
      <c r="D20" s="13" t="s">
        <v>442</v>
      </c>
      <c r="E20" s="13" t="str">
        <f>"0,7808"</f>
        <v>0,7808</v>
      </c>
      <c r="F20" s="13" t="s">
        <v>13</v>
      </c>
      <c r="G20" s="13" t="s">
        <v>76</v>
      </c>
      <c r="H20" s="42" t="s">
        <v>27</v>
      </c>
      <c r="I20" s="42" t="s">
        <v>189</v>
      </c>
      <c r="J20" s="47" t="s">
        <v>190</v>
      </c>
      <c r="K20" s="30"/>
      <c r="L20" s="42" t="s">
        <v>24</v>
      </c>
      <c r="M20" s="42" t="s">
        <v>35</v>
      </c>
      <c r="N20" s="42" t="s">
        <v>71</v>
      </c>
      <c r="O20" s="30"/>
      <c r="P20" s="42" t="s">
        <v>38</v>
      </c>
      <c r="Q20" s="42" t="s">
        <v>108</v>
      </c>
      <c r="R20" s="42" t="s">
        <v>113</v>
      </c>
      <c r="S20" s="30"/>
      <c r="T20" s="36">
        <v>385</v>
      </c>
      <c r="U20" s="29" t="str">
        <f>"300,6080"</f>
        <v>300,6080</v>
      </c>
      <c r="V20" s="13" t="s">
        <v>367</v>
      </c>
    </row>
    <row r="21" spans="1:22" ht="12.75">
      <c r="A21" s="26">
        <v>2</v>
      </c>
      <c r="B21" s="14" t="s">
        <v>191</v>
      </c>
      <c r="C21" s="14" t="s">
        <v>192</v>
      </c>
      <c r="D21" s="14" t="s">
        <v>358</v>
      </c>
      <c r="E21" s="14" t="str">
        <f>"0,7841"</f>
        <v>0,7841</v>
      </c>
      <c r="F21" s="14" t="s">
        <v>13</v>
      </c>
      <c r="G21" s="14" t="s">
        <v>88</v>
      </c>
      <c r="H21" s="44" t="s">
        <v>54</v>
      </c>
      <c r="I21" s="46" t="s">
        <v>32</v>
      </c>
      <c r="J21" s="44" t="s">
        <v>65</v>
      </c>
      <c r="K21" s="33"/>
      <c r="L21" s="44" t="s">
        <v>193</v>
      </c>
      <c r="M21" s="44" t="s">
        <v>168</v>
      </c>
      <c r="N21" s="46" t="s">
        <v>194</v>
      </c>
      <c r="O21" s="33"/>
      <c r="P21" s="44" t="s">
        <v>69</v>
      </c>
      <c r="Q21" s="44" t="s">
        <v>54</v>
      </c>
      <c r="R21" s="44" t="s">
        <v>38</v>
      </c>
      <c r="S21" s="46"/>
      <c r="T21" s="38">
        <v>382.5</v>
      </c>
      <c r="U21" s="34" t="str">
        <f>"299,9182"</f>
        <v>299,9182</v>
      </c>
      <c r="V21" s="14" t="s">
        <v>367</v>
      </c>
    </row>
    <row r="23" spans="2:21" ht="15.75">
      <c r="B23" s="99" t="s">
        <v>40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2" ht="12.75">
      <c r="A24" s="26">
        <v>1</v>
      </c>
      <c r="B24" s="13" t="s">
        <v>195</v>
      </c>
      <c r="C24" s="13" t="s">
        <v>196</v>
      </c>
      <c r="D24" s="13" t="s">
        <v>385</v>
      </c>
      <c r="E24" s="13" t="str">
        <f>"0,7034"</f>
        <v>0,7034</v>
      </c>
      <c r="F24" s="13" t="s">
        <v>540</v>
      </c>
      <c r="G24" s="13" t="s">
        <v>88</v>
      </c>
      <c r="H24" s="42" t="s">
        <v>44</v>
      </c>
      <c r="I24" s="42" t="s">
        <v>53</v>
      </c>
      <c r="J24" s="47" t="s">
        <v>45</v>
      </c>
      <c r="K24" s="30"/>
      <c r="L24" s="42" t="s">
        <v>46</v>
      </c>
      <c r="M24" s="47" t="s">
        <v>47</v>
      </c>
      <c r="N24" s="47" t="s">
        <v>47</v>
      </c>
      <c r="O24" s="30"/>
      <c r="P24" s="42" t="s">
        <v>53</v>
      </c>
      <c r="Q24" s="42" t="s">
        <v>58</v>
      </c>
      <c r="R24" s="47" t="s">
        <v>130</v>
      </c>
      <c r="S24" s="30"/>
      <c r="T24" s="36">
        <v>490</v>
      </c>
      <c r="U24" s="29" t="str">
        <f>"344,6660"</f>
        <v>344,6660</v>
      </c>
      <c r="V24" s="13" t="s">
        <v>367</v>
      </c>
    </row>
    <row r="25" spans="1:22" ht="12.75">
      <c r="A25" s="26">
        <v>2</v>
      </c>
      <c r="B25" s="14" t="s">
        <v>197</v>
      </c>
      <c r="C25" s="14" t="s">
        <v>198</v>
      </c>
      <c r="D25" s="14" t="s">
        <v>385</v>
      </c>
      <c r="E25" s="14" t="str">
        <f>"0,7034"</f>
        <v>0,7034</v>
      </c>
      <c r="F25" s="14" t="s">
        <v>13</v>
      </c>
      <c r="G25" s="14" t="s">
        <v>14</v>
      </c>
      <c r="H25" s="44" t="s">
        <v>54</v>
      </c>
      <c r="I25" s="46" t="s">
        <v>65</v>
      </c>
      <c r="J25" s="46" t="s">
        <v>65</v>
      </c>
      <c r="K25" s="33"/>
      <c r="L25" s="44" t="s">
        <v>27</v>
      </c>
      <c r="M25" s="46" t="s">
        <v>66</v>
      </c>
      <c r="N25" s="46" t="s">
        <v>66</v>
      </c>
      <c r="O25" s="33"/>
      <c r="P25" s="46" t="s">
        <v>32</v>
      </c>
      <c r="Q25" s="44" t="s">
        <v>32</v>
      </c>
      <c r="R25" s="44" t="s">
        <v>44</v>
      </c>
      <c r="S25" s="33"/>
      <c r="T25" s="38">
        <v>420</v>
      </c>
      <c r="U25" s="34" t="str">
        <f>"295,4280"</f>
        <v>295,4280</v>
      </c>
      <c r="V25" s="14" t="s">
        <v>450</v>
      </c>
    </row>
    <row r="27" spans="2:21" ht="15.75">
      <c r="B27" s="99" t="s">
        <v>55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2" ht="12.75">
      <c r="A28" s="26">
        <v>1</v>
      </c>
      <c r="B28" s="12" t="s">
        <v>199</v>
      </c>
      <c r="C28" s="12" t="s">
        <v>200</v>
      </c>
      <c r="D28" s="12" t="s">
        <v>168</v>
      </c>
      <c r="E28" s="12" t="str">
        <f>"0,6446"</f>
        <v>0,6446</v>
      </c>
      <c r="F28" s="12" t="s">
        <v>13</v>
      </c>
      <c r="G28" s="12" t="s">
        <v>202</v>
      </c>
      <c r="H28" s="41" t="s">
        <v>114</v>
      </c>
      <c r="I28" s="41" t="s">
        <v>45</v>
      </c>
      <c r="J28" s="41" t="s">
        <v>106</v>
      </c>
      <c r="K28" s="28"/>
      <c r="L28" s="41" t="s">
        <v>35</v>
      </c>
      <c r="M28" s="41" t="s">
        <v>72</v>
      </c>
      <c r="N28" s="45" t="s">
        <v>27</v>
      </c>
      <c r="O28" s="28"/>
      <c r="P28" s="41" t="s">
        <v>60</v>
      </c>
      <c r="Q28" s="45" t="s">
        <v>81</v>
      </c>
      <c r="R28" s="45" t="s">
        <v>203</v>
      </c>
      <c r="S28" s="28"/>
      <c r="T28" s="35">
        <v>520</v>
      </c>
      <c r="U28" s="27" t="str">
        <f>"335,1920"</f>
        <v>335,1920</v>
      </c>
      <c r="V28" s="12" t="s">
        <v>367</v>
      </c>
    </row>
    <row r="30" spans="2:21" ht="15.75">
      <c r="B30" s="99" t="s">
        <v>73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1:22" ht="12.75">
      <c r="A31" s="26">
        <v>1</v>
      </c>
      <c r="B31" s="13" t="s">
        <v>204</v>
      </c>
      <c r="C31" s="13" t="s">
        <v>205</v>
      </c>
      <c r="D31" s="13" t="s">
        <v>360</v>
      </c>
      <c r="E31" s="13" t="str">
        <f>"0,6169"</f>
        <v>0,6169</v>
      </c>
      <c r="F31" s="13" t="s">
        <v>13</v>
      </c>
      <c r="G31" s="13" t="s">
        <v>88</v>
      </c>
      <c r="H31" s="42" t="s">
        <v>106</v>
      </c>
      <c r="I31" s="42" t="s">
        <v>107</v>
      </c>
      <c r="J31" s="47" t="s">
        <v>59</v>
      </c>
      <c r="K31" s="30"/>
      <c r="L31" s="42" t="s">
        <v>32</v>
      </c>
      <c r="M31" s="42" t="s">
        <v>207</v>
      </c>
      <c r="N31" s="47" t="s">
        <v>65</v>
      </c>
      <c r="O31" s="30"/>
      <c r="P31" s="42" t="s">
        <v>81</v>
      </c>
      <c r="Q31" s="42" t="s">
        <v>61</v>
      </c>
      <c r="R31" s="42" t="s">
        <v>112</v>
      </c>
      <c r="S31" s="30"/>
      <c r="T31" s="36">
        <v>612.5</v>
      </c>
      <c r="U31" s="29" t="str">
        <f>"377,8206"</f>
        <v>377,8206</v>
      </c>
      <c r="V31" s="13" t="s">
        <v>367</v>
      </c>
    </row>
    <row r="32" spans="1:22" ht="12.75">
      <c r="A32" s="26">
        <v>2</v>
      </c>
      <c r="B32" s="15" t="s">
        <v>208</v>
      </c>
      <c r="C32" s="15" t="s">
        <v>209</v>
      </c>
      <c r="D32" s="15" t="s">
        <v>359</v>
      </c>
      <c r="E32" s="15" t="str">
        <f>"0,6201"</f>
        <v>0,6201</v>
      </c>
      <c r="F32" s="15" t="s">
        <v>13</v>
      </c>
      <c r="G32" s="15" t="s">
        <v>210</v>
      </c>
      <c r="H32" s="43" t="s">
        <v>58</v>
      </c>
      <c r="I32" s="43" t="s">
        <v>107</v>
      </c>
      <c r="J32" s="43" t="s">
        <v>211</v>
      </c>
      <c r="K32" s="32"/>
      <c r="L32" s="43" t="s">
        <v>69</v>
      </c>
      <c r="M32" s="49" t="s">
        <v>70</v>
      </c>
      <c r="N32" s="43" t="s">
        <v>54</v>
      </c>
      <c r="O32" s="32"/>
      <c r="P32" s="43" t="s">
        <v>103</v>
      </c>
      <c r="Q32" s="43" t="s">
        <v>77</v>
      </c>
      <c r="R32" s="43" t="s">
        <v>212</v>
      </c>
      <c r="S32" s="32"/>
      <c r="T32" s="37">
        <v>610</v>
      </c>
      <c r="U32" s="31" t="str">
        <f>"378,2610"</f>
        <v>378,2610</v>
      </c>
      <c r="V32" s="15" t="s">
        <v>367</v>
      </c>
    </row>
    <row r="33" spans="1:22" ht="12.75">
      <c r="A33" s="26">
        <v>3</v>
      </c>
      <c r="B33" s="15" t="s">
        <v>213</v>
      </c>
      <c r="C33" s="15" t="s">
        <v>214</v>
      </c>
      <c r="D33" s="15" t="s">
        <v>24</v>
      </c>
      <c r="E33" s="15" t="str">
        <f>"0,6119"</f>
        <v>0,6119</v>
      </c>
      <c r="F33" s="15" t="s">
        <v>13</v>
      </c>
      <c r="G33" s="15" t="s">
        <v>14</v>
      </c>
      <c r="H33" s="43" t="s">
        <v>50</v>
      </c>
      <c r="I33" s="43" t="s">
        <v>59</v>
      </c>
      <c r="J33" s="43" t="s">
        <v>89</v>
      </c>
      <c r="K33" s="32"/>
      <c r="L33" s="43" t="s">
        <v>99</v>
      </c>
      <c r="M33" s="43" t="s">
        <v>54</v>
      </c>
      <c r="N33" s="49" t="s">
        <v>79</v>
      </c>
      <c r="O33" s="32"/>
      <c r="P33" s="43" t="s">
        <v>58</v>
      </c>
      <c r="Q33" s="43" t="s">
        <v>50</v>
      </c>
      <c r="R33" s="43" t="s">
        <v>215</v>
      </c>
      <c r="S33" s="32"/>
      <c r="T33" s="37">
        <v>572.5</v>
      </c>
      <c r="U33" s="31" t="str">
        <f>"350,2841"</f>
        <v>350,2841</v>
      </c>
      <c r="V33" s="15" t="s">
        <v>365</v>
      </c>
    </row>
    <row r="34" spans="1:22" ht="12.75">
      <c r="A34" s="26">
        <v>4</v>
      </c>
      <c r="B34" s="14" t="s">
        <v>216</v>
      </c>
      <c r="C34" s="14" t="s">
        <v>217</v>
      </c>
      <c r="D34" s="14" t="s">
        <v>443</v>
      </c>
      <c r="E34" s="14" t="str">
        <f>"0,6184"</f>
        <v>0,6184</v>
      </c>
      <c r="F34" s="14" t="s">
        <v>13</v>
      </c>
      <c r="G34" s="52" t="s">
        <v>218</v>
      </c>
      <c r="H34" s="46" t="s">
        <v>107</v>
      </c>
      <c r="I34" s="44" t="s">
        <v>59</v>
      </c>
      <c r="J34" s="46" t="s">
        <v>215</v>
      </c>
      <c r="K34" s="33"/>
      <c r="L34" s="46" t="s">
        <v>38</v>
      </c>
      <c r="M34" s="44" t="s">
        <v>32</v>
      </c>
      <c r="N34" s="46" t="s">
        <v>65</v>
      </c>
      <c r="O34" s="33"/>
      <c r="P34" s="44" t="s">
        <v>50</v>
      </c>
      <c r="Q34" s="44" t="s">
        <v>219</v>
      </c>
      <c r="R34" s="46" t="s">
        <v>59</v>
      </c>
      <c r="S34" s="33"/>
      <c r="T34" s="38">
        <v>567.5</v>
      </c>
      <c r="U34" s="34" t="str">
        <f>"350,9704"</f>
        <v>350,9704</v>
      </c>
      <c r="V34" s="14" t="s">
        <v>451</v>
      </c>
    </row>
    <row r="36" spans="2:21" ht="15.75">
      <c r="B36" s="99" t="s">
        <v>93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</row>
    <row r="37" spans="1:22" ht="12.75">
      <c r="A37" s="26">
        <v>1</v>
      </c>
      <c r="B37" s="13" t="s">
        <v>220</v>
      </c>
      <c r="C37" s="13" t="s">
        <v>221</v>
      </c>
      <c r="D37" s="13" t="s">
        <v>396</v>
      </c>
      <c r="E37" s="13" t="str">
        <f>"0,5853"</f>
        <v>0,5853</v>
      </c>
      <c r="F37" s="13" t="s">
        <v>13</v>
      </c>
      <c r="G37" s="13" t="s">
        <v>88</v>
      </c>
      <c r="H37" s="42" t="s">
        <v>50</v>
      </c>
      <c r="I37" s="42" t="s">
        <v>59</v>
      </c>
      <c r="J37" s="47" t="s">
        <v>60</v>
      </c>
      <c r="K37" s="30"/>
      <c r="L37" s="42" t="s">
        <v>44</v>
      </c>
      <c r="M37" s="42" t="s">
        <v>53</v>
      </c>
      <c r="N37" s="47" t="s">
        <v>45</v>
      </c>
      <c r="O37" s="30"/>
      <c r="P37" s="42" t="s">
        <v>59</v>
      </c>
      <c r="Q37" s="42" t="s">
        <v>60</v>
      </c>
      <c r="R37" s="42" t="s">
        <v>103</v>
      </c>
      <c r="S37" s="30"/>
      <c r="T37" s="36">
        <v>620</v>
      </c>
      <c r="U37" s="29" t="str">
        <f>"362,9170"</f>
        <v>362,9170</v>
      </c>
      <c r="V37" s="13" t="s">
        <v>367</v>
      </c>
    </row>
    <row r="38" spans="1:22" ht="12.75">
      <c r="A38" s="26">
        <v>2</v>
      </c>
      <c r="B38" s="15" t="s">
        <v>104</v>
      </c>
      <c r="C38" s="15" t="s">
        <v>105</v>
      </c>
      <c r="D38" s="15" t="s">
        <v>401</v>
      </c>
      <c r="E38" s="15" t="str">
        <f>"0,5856"</f>
        <v>0,5856</v>
      </c>
      <c r="F38" s="15" t="s">
        <v>13</v>
      </c>
      <c r="G38" s="15" t="s">
        <v>14</v>
      </c>
      <c r="H38" s="43" t="s">
        <v>106</v>
      </c>
      <c r="I38" s="43" t="s">
        <v>107</v>
      </c>
      <c r="J38" s="43" t="s">
        <v>60</v>
      </c>
      <c r="K38" s="32"/>
      <c r="L38" s="43" t="s">
        <v>32</v>
      </c>
      <c r="M38" s="49" t="s">
        <v>108</v>
      </c>
      <c r="N38" s="49" t="s">
        <v>108</v>
      </c>
      <c r="O38" s="32"/>
      <c r="P38" s="43" t="s">
        <v>58</v>
      </c>
      <c r="Q38" s="32"/>
      <c r="R38" s="32"/>
      <c r="S38" s="32"/>
      <c r="T38" s="37">
        <v>560</v>
      </c>
      <c r="U38" s="31" t="str">
        <f>"327,9360"</f>
        <v>327,9360</v>
      </c>
      <c r="V38" s="15" t="s">
        <v>433</v>
      </c>
    </row>
    <row r="39" spans="1:22" ht="12.75">
      <c r="A39" s="26">
        <v>3</v>
      </c>
      <c r="B39" s="14" t="s">
        <v>222</v>
      </c>
      <c r="C39" s="14" t="s">
        <v>223</v>
      </c>
      <c r="D39" s="14" t="s">
        <v>400</v>
      </c>
      <c r="E39" s="14" t="str">
        <f>"0,5828"</f>
        <v>0,5828</v>
      </c>
      <c r="F39" s="14" t="s">
        <v>13</v>
      </c>
      <c r="G39" s="14" t="s">
        <v>43</v>
      </c>
      <c r="H39" s="44" t="s">
        <v>50</v>
      </c>
      <c r="I39" s="46" t="s">
        <v>59</v>
      </c>
      <c r="J39" s="46" t="s">
        <v>60</v>
      </c>
      <c r="K39" s="33"/>
      <c r="L39" s="46" t="s">
        <v>32</v>
      </c>
      <c r="M39" s="44" t="s">
        <v>32</v>
      </c>
      <c r="N39" s="44" t="s">
        <v>65</v>
      </c>
      <c r="O39" s="33"/>
      <c r="P39" s="44" t="s">
        <v>50</v>
      </c>
      <c r="Q39" s="46" t="s">
        <v>59</v>
      </c>
      <c r="R39" s="46" t="s">
        <v>59</v>
      </c>
      <c r="S39" s="33"/>
      <c r="T39" s="38">
        <v>555</v>
      </c>
      <c r="U39" s="34" t="str">
        <f>"323,4540"</f>
        <v>323,4540</v>
      </c>
      <c r="V39" s="14" t="s">
        <v>367</v>
      </c>
    </row>
    <row r="41" spans="2:21" ht="15.75">
      <c r="B41" s="99" t="s">
        <v>109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</row>
    <row r="42" spans="1:22" ht="12.75">
      <c r="A42" s="26">
        <v>1</v>
      </c>
      <c r="B42" s="12" t="s">
        <v>224</v>
      </c>
      <c r="C42" s="12" t="s">
        <v>225</v>
      </c>
      <c r="D42" s="12" t="s">
        <v>444</v>
      </c>
      <c r="E42" s="12" t="str">
        <f>"0,5661"</f>
        <v>0,5661</v>
      </c>
      <c r="F42" s="12" t="s">
        <v>13</v>
      </c>
      <c r="G42" s="12" t="s">
        <v>210</v>
      </c>
      <c r="H42" s="45" t="s">
        <v>106</v>
      </c>
      <c r="I42" s="41" t="s">
        <v>89</v>
      </c>
      <c r="J42" s="41" t="s">
        <v>80</v>
      </c>
      <c r="K42" s="28"/>
      <c r="L42" s="41" t="s">
        <v>226</v>
      </c>
      <c r="M42" s="41" t="s">
        <v>45</v>
      </c>
      <c r="N42" s="41" t="s">
        <v>130</v>
      </c>
      <c r="O42" s="28"/>
      <c r="P42" s="41" t="s">
        <v>130</v>
      </c>
      <c r="Q42" s="45" t="s">
        <v>219</v>
      </c>
      <c r="R42" s="41" t="s">
        <v>59</v>
      </c>
      <c r="S42" s="28"/>
      <c r="T42" s="35">
        <v>627.5</v>
      </c>
      <c r="U42" s="27" t="str">
        <f>"355,2278"</f>
        <v>355,2278</v>
      </c>
      <c r="V42" s="12" t="s">
        <v>367</v>
      </c>
    </row>
    <row r="44" spans="2:21" ht="15.75">
      <c r="B44" s="99" t="s">
        <v>122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1:22" ht="12.75">
      <c r="A45" s="26">
        <v>1</v>
      </c>
      <c r="B45" s="12" t="s">
        <v>227</v>
      </c>
      <c r="C45" s="12" t="s">
        <v>228</v>
      </c>
      <c r="D45" s="12" t="s">
        <v>445</v>
      </c>
      <c r="E45" s="12" t="str">
        <f>"0,5558"</f>
        <v>0,5558</v>
      </c>
      <c r="F45" s="12" t="s">
        <v>13</v>
      </c>
      <c r="G45" s="12" t="s">
        <v>14</v>
      </c>
      <c r="H45" s="45" t="s">
        <v>62</v>
      </c>
      <c r="I45" s="41" t="s">
        <v>62</v>
      </c>
      <c r="J45" s="28"/>
      <c r="K45" s="28"/>
      <c r="L45" s="41" t="s">
        <v>44</v>
      </c>
      <c r="M45" s="41" t="s">
        <v>53</v>
      </c>
      <c r="N45" s="45" t="s">
        <v>45</v>
      </c>
      <c r="O45" s="28"/>
      <c r="P45" s="41" t="s">
        <v>61</v>
      </c>
      <c r="Q45" s="41" t="s">
        <v>85</v>
      </c>
      <c r="R45" s="41" t="s">
        <v>97</v>
      </c>
      <c r="S45" s="28"/>
      <c r="T45" s="35">
        <v>720</v>
      </c>
      <c r="U45" s="27" t="str">
        <f>"400,1400"</f>
        <v>400,1400</v>
      </c>
      <c r="V45" s="12" t="s">
        <v>416</v>
      </c>
    </row>
    <row r="47" spans="2:3" ht="18">
      <c r="B47" s="16" t="s">
        <v>132</v>
      </c>
      <c r="C47" s="16"/>
    </row>
    <row r="48" spans="2:3" ht="15.75">
      <c r="B48" s="17" t="s">
        <v>133</v>
      </c>
      <c r="C48" s="17"/>
    </row>
    <row r="49" spans="2:3" ht="13.5">
      <c r="B49" s="19"/>
      <c r="C49" s="20" t="s">
        <v>540</v>
      </c>
    </row>
    <row r="50" spans="2:6" ht="13.5">
      <c r="B50" s="21" t="s">
        <v>135</v>
      </c>
      <c r="C50" s="21" t="s">
        <v>136</v>
      </c>
      <c r="D50" s="21" t="s">
        <v>137</v>
      </c>
      <c r="E50" s="21" t="s">
        <v>138</v>
      </c>
      <c r="F50" s="21" t="s">
        <v>139</v>
      </c>
    </row>
    <row r="51" spans="1:6" ht="12.75">
      <c r="A51" s="26">
        <v>1</v>
      </c>
      <c r="B51" s="18" t="s">
        <v>173</v>
      </c>
      <c r="C51" s="23" t="s">
        <v>134</v>
      </c>
      <c r="D51" s="24" t="s">
        <v>446</v>
      </c>
      <c r="E51" s="24" t="s">
        <v>131</v>
      </c>
      <c r="F51" s="24" t="s">
        <v>229</v>
      </c>
    </row>
    <row r="52" spans="1:6" ht="12.75">
      <c r="A52" s="26">
        <v>2</v>
      </c>
      <c r="B52" s="18" t="s">
        <v>165</v>
      </c>
      <c r="C52" s="23" t="s">
        <v>134</v>
      </c>
      <c r="D52" s="24" t="s">
        <v>447</v>
      </c>
      <c r="E52" s="24" t="s">
        <v>230</v>
      </c>
      <c r="F52" s="24" t="s">
        <v>231</v>
      </c>
    </row>
    <row r="53" spans="1:6" ht="12.75">
      <c r="A53" s="26">
        <v>3</v>
      </c>
      <c r="B53" s="18" t="s">
        <v>177</v>
      </c>
      <c r="C53" s="23" t="s">
        <v>134</v>
      </c>
      <c r="D53" s="24" t="s">
        <v>418</v>
      </c>
      <c r="E53" s="24" t="s">
        <v>212</v>
      </c>
      <c r="F53" s="24" t="s">
        <v>232</v>
      </c>
    </row>
    <row r="56" spans="2:3" ht="15.75">
      <c r="B56" s="17" t="s">
        <v>140</v>
      </c>
      <c r="C56" s="17"/>
    </row>
    <row r="57" spans="2:3" ht="13.5">
      <c r="B57" s="19"/>
      <c r="C57" s="20" t="s">
        <v>540</v>
      </c>
    </row>
    <row r="58" spans="2:6" ht="13.5">
      <c r="B58" s="21" t="s">
        <v>135</v>
      </c>
      <c r="C58" s="21" t="s">
        <v>136</v>
      </c>
      <c r="D58" s="21" t="s">
        <v>137</v>
      </c>
      <c r="E58" s="21" t="s">
        <v>138</v>
      </c>
      <c r="F58" s="21" t="s">
        <v>139</v>
      </c>
    </row>
    <row r="59" spans="1:6" ht="12.75">
      <c r="A59" s="26">
        <v>1</v>
      </c>
      <c r="B59" s="18" t="s">
        <v>227</v>
      </c>
      <c r="C59" s="23" t="s">
        <v>134</v>
      </c>
      <c r="D59" s="24" t="s">
        <v>422</v>
      </c>
      <c r="E59" s="24" t="s">
        <v>233</v>
      </c>
      <c r="F59" s="24" t="s">
        <v>234</v>
      </c>
    </row>
    <row r="60" spans="1:6" ht="12.75">
      <c r="A60" s="26">
        <v>2</v>
      </c>
      <c r="B60" s="18" t="s">
        <v>208</v>
      </c>
      <c r="C60" s="23" t="s">
        <v>134</v>
      </c>
      <c r="D60" s="24" t="s">
        <v>371</v>
      </c>
      <c r="E60" s="24" t="s">
        <v>235</v>
      </c>
      <c r="F60" s="24" t="s">
        <v>236</v>
      </c>
    </row>
    <row r="61" spans="1:6" ht="12.75">
      <c r="A61" s="26">
        <v>3</v>
      </c>
      <c r="B61" s="18" t="s">
        <v>204</v>
      </c>
      <c r="C61" s="23" t="s">
        <v>134</v>
      </c>
      <c r="D61" s="24" t="s">
        <v>371</v>
      </c>
      <c r="E61" s="24" t="s">
        <v>237</v>
      </c>
      <c r="F61" s="24" t="s">
        <v>238</v>
      </c>
    </row>
  </sheetData>
  <sheetProtection/>
  <mergeCells count="25">
    <mergeCell ref="B12:U12"/>
    <mergeCell ref="B41:U41"/>
    <mergeCell ref="B44:U44"/>
    <mergeCell ref="B16:U16"/>
    <mergeCell ref="B19:U19"/>
    <mergeCell ref="B23:U23"/>
    <mergeCell ref="B27:U27"/>
    <mergeCell ref="B30:U30"/>
    <mergeCell ref="B36:U36"/>
    <mergeCell ref="P3:S3"/>
    <mergeCell ref="T3:T4"/>
    <mergeCell ref="U3:U4"/>
    <mergeCell ref="V3:V4"/>
    <mergeCell ref="B5:U5"/>
    <mergeCell ref="B8:U8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workbookViewId="0" topLeftCell="A4">
      <selection activeCell="C47" sqref="C47"/>
    </sheetView>
  </sheetViews>
  <sheetFormatPr defaultColWidth="9.125" defaultRowHeight="12.75"/>
  <cols>
    <col min="1" max="1" width="8.00390625" style="25" customWidth="1"/>
    <col min="2" max="2" width="21.125" style="61" customWidth="1"/>
    <col min="3" max="3" width="25.75390625" style="5" customWidth="1"/>
    <col min="4" max="4" width="10.125" style="5" bestFit="1" customWidth="1"/>
    <col min="5" max="5" width="8.25390625" style="5" bestFit="1" customWidth="1"/>
    <col min="6" max="6" width="10.75390625" style="5" customWidth="1"/>
    <col min="7" max="7" width="33.875" style="5" customWidth="1"/>
    <col min="8" max="10" width="5.625" style="1" bestFit="1" customWidth="1"/>
    <col min="11" max="11" width="4.25390625" style="1" bestFit="1" customWidth="1"/>
    <col min="12" max="14" width="5.625" style="1" bestFit="1" customWidth="1"/>
    <col min="15" max="15" width="4.25390625" style="1" bestFit="1" customWidth="1"/>
    <col min="16" max="19" width="5.625" style="1" bestFit="1" customWidth="1"/>
    <col min="20" max="20" width="7.75390625" style="4" bestFit="1" customWidth="1"/>
    <col min="21" max="21" width="8.625" style="1" bestFit="1" customWidth="1"/>
    <col min="22" max="22" width="15.25390625" style="5" customWidth="1"/>
    <col min="23" max="16384" width="9.125" style="1" customWidth="1"/>
  </cols>
  <sheetData>
    <row r="1" spans="2:22" ht="15" customHeight="1">
      <c r="B1" s="80" t="s">
        <v>542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</row>
    <row r="2" spans="2:22" ht="90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s="2" customFormat="1" ht="12.75" customHeight="1" thickBot="1">
      <c r="A3" s="79" t="s">
        <v>352</v>
      </c>
      <c r="B3" s="86" t="s">
        <v>0</v>
      </c>
      <c r="C3" s="87" t="s">
        <v>353</v>
      </c>
      <c r="D3" s="89" t="s">
        <v>354</v>
      </c>
      <c r="E3" s="90" t="s">
        <v>9</v>
      </c>
      <c r="F3" s="87" t="s">
        <v>7</v>
      </c>
      <c r="G3" s="92" t="s">
        <v>355</v>
      </c>
      <c r="H3" s="90" t="s">
        <v>1</v>
      </c>
      <c r="I3" s="90"/>
      <c r="J3" s="90"/>
      <c r="K3" s="90"/>
      <c r="L3" s="90" t="s">
        <v>2</v>
      </c>
      <c r="M3" s="90"/>
      <c r="N3" s="90"/>
      <c r="O3" s="90"/>
      <c r="P3" s="90" t="s">
        <v>3</v>
      </c>
      <c r="Q3" s="90"/>
      <c r="R3" s="90"/>
      <c r="S3" s="90"/>
      <c r="T3" s="90" t="s">
        <v>4</v>
      </c>
      <c r="U3" s="90" t="s">
        <v>6</v>
      </c>
      <c r="V3" s="96" t="s">
        <v>5</v>
      </c>
    </row>
    <row r="4" spans="1:22" s="2" customFormat="1" ht="21" customHeight="1" thickBot="1">
      <c r="A4" s="79"/>
      <c r="B4" s="86"/>
      <c r="C4" s="88"/>
      <c r="D4" s="89"/>
      <c r="E4" s="91"/>
      <c r="F4" s="88"/>
      <c r="G4" s="93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91"/>
      <c r="U4" s="91"/>
      <c r="V4" s="97"/>
    </row>
    <row r="5" spans="1:22" s="65" customFormat="1" ht="15.75">
      <c r="A5" s="25"/>
      <c r="B5" s="100" t="s">
        <v>10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61"/>
    </row>
    <row r="6" spans="1:22" ht="12.75">
      <c r="A6" s="25" t="s">
        <v>471</v>
      </c>
      <c r="B6" s="57" t="s">
        <v>11</v>
      </c>
      <c r="C6" s="6" t="s">
        <v>12</v>
      </c>
      <c r="D6" s="6" t="s">
        <v>452</v>
      </c>
      <c r="E6" s="6" t="str">
        <f>"1,0748"</f>
        <v>1,0748</v>
      </c>
      <c r="F6" s="6" t="s">
        <v>13</v>
      </c>
      <c r="G6" s="6" t="s">
        <v>14</v>
      </c>
      <c r="H6" s="75" t="s">
        <v>15</v>
      </c>
      <c r="I6" s="75" t="s">
        <v>15</v>
      </c>
      <c r="J6" s="41" t="s">
        <v>15</v>
      </c>
      <c r="K6" s="66"/>
      <c r="L6" s="41" t="s">
        <v>16</v>
      </c>
      <c r="M6" s="41" t="s">
        <v>17</v>
      </c>
      <c r="N6" s="41" t="s">
        <v>18</v>
      </c>
      <c r="O6" s="66"/>
      <c r="P6" s="41" t="s">
        <v>15</v>
      </c>
      <c r="Q6" s="41" t="s">
        <v>19</v>
      </c>
      <c r="R6" s="41" t="s">
        <v>20</v>
      </c>
      <c r="S6" s="66"/>
      <c r="T6" s="67" t="s">
        <v>106</v>
      </c>
      <c r="U6" s="67" t="str">
        <f>"209,5860"</f>
        <v>209,5860</v>
      </c>
      <c r="V6" s="6" t="s">
        <v>464</v>
      </c>
    </row>
    <row r="8" spans="1:22" s="65" customFormat="1" ht="15.75">
      <c r="A8" s="25"/>
      <c r="B8" s="101" t="s">
        <v>21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61"/>
    </row>
    <row r="9" spans="2:22" ht="12.75">
      <c r="B9" s="57" t="s">
        <v>22</v>
      </c>
      <c r="C9" s="6" t="s">
        <v>23</v>
      </c>
      <c r="D9" s="6" t="s">
        <v>373</v>
      </c>
      <c r="E9" s="6" t="str">
        <f>"1,0277"</f>
        <v>1,0277</v>
      </c>
      <c r="F9" s="6" t="s">
        <v>13</v>
      </c>
      <c r="G9" s="6" t="s">
        <v>14</v>
      </c>
      <c r="H9" s="41" t="s">
        <v>19</v>
      </c>
      <c r="I9" s="75" t="s">
        <v>20</v>
      </c>
      <c r="J9" s="41" t="s">
        <v>24</v>
      </c>
      <c r="K9" s="66"/>
      <c r="L9" s="75" t="s">
        <v>25</v>
      </c>
      <c r="M9" s="75" t="s">
        <v>26</v>
      </c>
      <c r="N9" s="75" t="s">
        <v>26</v>
      </c>
      <c r="O9" s="66"/>
      <c r="P9" s="66"/>
      <c r="Q9" s="66"/>
      <c r="R9" s="66"/>
      <c r="S9" s="66"/>
      <c r="T9" s="67" t="s">
        <v>405</v>
      </c>
      <c r="U9" s="67" t="s">
        <v>405</v>
      </c>
      <c r="V9" s="6" t="s">
        <v>465</v>
      </c>
    </row>
    <row r="11" spans="2:21" ht="15.75">
      <c r="B11" s="101" t="s">
        <v>28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2" ht="12.75">
      <c r="A12" s="25" t="s">
        <v>471</v>
      </c>
      <c r="B12" s="57" t="s">
        <v>29</v>
      </c>
      <c r="C12" s="6" t="s">
        <v>30</v>
      </c>
      <c r="D12" s="6" t="s">
        <v>424</v>
      </c>
      <c r="E12" s="6" t="str">
        <f>"0,7660"</f>
        <v>0,7660</v>
      </c>
      <c r="F12" s="6" t="s">
        <v>13</v>
      </c>
      <c r="G12" s="6" t="s">
        <v>538</v>
      </c>
      <c r="H12" s="41" t="s">
        <v>32</v>
      </c>
      <c r="I12" s="75" t="s">
        <v>33</v>
      </c>
      <c r="J12" s="41" t="s">
        <v>34</v>
      </c>
      <c r="K12" s="66"/>
      <c r="L12" s="41" t="s">
        <v>35</v>
      </c>
      <c r="M12" s="41" t="s">
        <v>36</v>
      </c>
      <c r="N12" s="41" t="s">
        <v>37</v>
      </c>
      <c r="O12" s="66"/>
      <c r="P12" s="41" t="s">
        <v>38</v>
      </c>
      <c r="Q12" s="41" t="s">
        <v>33</v>
      </c>
      <c r="R12" s="41" t="s">
        <v>39</v>
      </c>
      <c r="S12" s="66"/>
      <c r="T12" s="67" t="s">
        <v>157</v>
      </c>
      <c r="U12" s="67" t="str">
        <f>"352,3600"</f>
        <v>352,3600</v>
      </c>
      <c r="V12" s="6" t="s">
        <v>435</v>
      </c>
    </row>
    <row r="14" spans="2:21" ht="15.75">
      <c r="B14" s="101" t="s">
        <v>40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2" ht="12.75">
      <c r="A15" s="25" t="s">
        <v>471</v>
      </c>
      <c r="B15" s="58" t="s">
        <v>41</v>
      </c>
      <c r="C15" s="7" t="s">
        <v>42</v>
      </c>
      <c r="D15" s="7" t="s">
        <v>453</v>
      </c>
      <c r="E15" s="7" t="str">
        <f>"0,6983"</f>
        <v>0,6983</v>
      </c>
      <c r="F15" s="7" t="s">
        <v>13</v>
      </c>
      <c r="G15" s="7" t="s">
        <v>43</v>
      </c>
      <c r="H15" s="42" t="s">
        <v>44</v>
      </c>
      <c r="I15" s="78" t="s">
        <v>45</v>
      </c>
      <c r="J15" s="42" t="s">
        <v>45</v>
      </c>
      <c r="K15" s="69"/>
      <c r="L15" s="42" t="s">
        <v>46</v>
      </c>
      <c r="M15" s="42" t="s">
        <v>47</v>
      </c>
      <c r="N15" s="42" t="s">
        <v>48</v>
      </c>
      <c r="O15" s="69"/>
      <c r="P15" s="42" t="s">
        <v>49</v>
      </c>
      <c r="Q15" s="42" t="s">
        <v>39</v>
      </c>
      <c r="R15" s="42" t="s">
        <v>50</v>
      </c>
      <c r="S15" s="69"/>
      <c r="T15" s="68" t="s">
        <v>156</v>
      </c>
      <c r="U15" s="68" t="str">
        <f>"361,3703"</f>
        <v>361,3703</v>
      </c>
      <c r="V15" s="7" t="s">
        <v>466</v>
      </c>
    </row>
    <row r="16" spans="1:22" ht="12.75">
      <c r="A16" s="25" t="s">
        <v>472</v>
      </c>
      <c r="B16" s="59" t="s">
        <v>51</v>
      </c>
      <c r="C16" s="8" t="s">
        <v>52</v>
      </c>
      <c r="D16" s="8" t="s">
        <v>441</v>
      </c>
      <c r="E16" s="8" t="str">
        <f>"0,7027"</f>
        <v>0,7027</v>
      </c>
      <c r="F16" s="8" t="s">
        <v>13</v>
      </c>
      <c r="G16" s="8" t="s">
        <v>14</v>
      </c>
      <c r="H16" s="76" t="s">
        <v>44</v>
      </c>
      <c r="I16" s="44" t="s">
        <v>44</v>
      </c>
      <c r="J16" s="44" t="s">
        <v>53</v>
      </c>
      <c r="K16" s="70"/>
      <c r="L16" s="44" t="s">
        <v>46</v>
      </c>
      <c r="M16" s="76" t="s">
        <v>47</v>
      </c>
      <c r="N16" s="44" t="s">
        <v>47</v>
      </c>
      <c r="O16" s="70"/>
      <c r="P16" s="44" t="s">
        <v>54</v>
      </c>
      <c r="Q16" s="44" t="s">
        <v>32</v>
      </c>
      <c r="R16" s="44" t="s">
        <v>49</v>
      </c>
      <c r="S16" s="70"/>
      <c r="T16" s="71" t="s">
        <v>161</v>
      </c>
      <c r="U16" s="71" t="str">
        <f>"326,7323"</f>
        <v>326,7323</v>
      </c>
      <c r="V16" s="8" t="s">
        <v>467</v>
      </c>
    </row>
    <row r="18" spans="2:21" ht="15.75">
      <c r="B18" s="101" t="s">
        <v>55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</row>
    <row r="19" spans="1:22" ht="12.75">
      <c r="A19" s="25" t="s">
        <v>471</v>
      </c>
      <c r="B19" s="58" t="s">
        <v>56</v>
      </c>
      <c r="C19" s="7" t="s">
        <v>57</v>
      </c>
      <c r="D19" s="7" t="s">
        <v>454</v>
      </c>
      <c r="E19" s="7" t="str">
        <f>"0,6524"</f>
        <v>0,6524</v>
      </c>
      <c r="F19" s="7" t="s">
        <v>13</v>
      </c>
      <c r="G19" s="7" t="s">
        <v>14</v>
      </c>
      <c r="H19" s="42" t="s">
        <v>58</v>
      </c>
      <c r="I19" s="42" t="s">
        <v>59</v>
      </c>
      <c r="J19" s="78" t="s">
        <v>60</v>
      </c>
      <c r="K19" s="69"/>
      <c r="L19" s="42" t="s">
        <v>54</v>
      </c>
      <c r="M19" s="78" t="s">
        <v>32</v>
      </c>
      <c r="N19" s="42" t="s">
        <v>32</v>
      </c>
      <c r="O19" s="69"/>
      <c r="P19" s="42" t="s">
        <v>60</v>
      </c>
      <c r="Q19" s="78" t="s">
        <v>61</v>
      </c>
      <c r="R19" s="78" t="s">
        <v>62</v>
      </c>
      <c r="S19" s="69"/>
      <c r="T19" s="68" t="s">
        <v>152</v>
      </c>
      <c r="U19" s="68" t="str">
        <f>"378,3630"</f>
        <v>378,3630</v>
      </c>
      <c r="V19" s="7" t="s">
        <v>450</v>
      </c>
    </row>
    <row r="20" spans="1:22" ht="12.75">
      <c r="A20" s="25" t="s">
        <v>472</v>
      </c>
      <c r="B20" s="60" t="s">
        <v>63</v>
      </c>
      <c r="C20" s="9" t="s">
        <v>64</v>
      </c>
      <c r="D20" s="9" t="s">
        <v>19</v>
      </c>
      <c r="E20" s="9" t="str">
        <f>"0,6578"</f>
        <v>0,6578</v>
      </c>
      <c r="F20" s="9" t="s">
        <v>13</v>
      </c>
      <c r="G20" s="9" t="s">
        <v>14</v>
      </c>
      <c r="H20" s="43" t="s">
        <v>65</v>
      </c>
      <c r="I20" s="77" t="s">
        <v>44</v>
      </c>
      <c r="J20" s="77" t="s">
        <v>44</v>
      </c>
      <c r="K20" s="73"/>
      <c r="L20" s="43" t="s">
        <v>27</v>
      </c>
      <c r="M20" s="43" t="s">
        <v>66</v>
      </c>
      <c r="N20" s="43" t="s">
        <v>47</v>
      </c>
      <c r="O20" s="73"/>
      <c r="P20" s="43" t="s">
        <v>32</v>
      </c>
      <c r="Q20" s="43" t="s">
        <v>49</v>
      </c>
      <c r="R20" s="43" t="s">
        <v>44</v>
      </c>
      <c r="S20" s="73"/>
      <c r="T20" s="72" t="s">
        <v>162</v>
      </c>
      <c r="U20" s="72" t="str">
        <f>"296,0100"</f>
        <v>296,0100</v>
      </c>
      <c r="V20" s="9" t="s">
        <v>367</v>
      </c>
    </row>
    <row r="21" spans="1:22" ht="12.75">
      <c r="A21" s="25" t="s">
        <v>473</v>
      </c>
      <c r="B21" s="59" t="s">
        <v>67</v>
      </c>
      <c r="C21" s="8" t="s">
        <v>68</v>
      </c>
      <c r="D21" s="8" t="s">
        <v>455</v>
      </c>
      <c r="E21" s="8" t="str">
        <f>"0,6595"</f>
        <v>0,6595</v>
      </c>
      <c r="F21" s="8" t="s">
        <v>13</v>
      </c>
      <c r="G21" s="8" t="s">
        <v>14</v>
      </c>
      <c r="H21" s="44" t="s">
        <v>46</v>
      </c>
      <c r="I21" s="44" t="s">
        <v>69</v>
      </c>
      <c r="J21" s="76" t="s">
        <v>70</v>
      </c>
      <c r="K21" s="70"/>
      <c r="L21" s="44" t="s">
        <v>71</v>
      </c>
      <c r="M21" s="44" t="s">
        <v>72</v>
      </c>
      <c r="N21" s="44" t="s">
        <v>27</v>
      </c>
      <c r="O21" s="70"/>
      <c r="P21" s="44" t="s">
        <v>54</v>
      </c>
      <c r="Q21" s="44" t="s">
        <v>32</v>
      </c>
      <c r="R21" s="76" t="s">
        <v>49</v>
      </c>
      <c r="S21" s="70"/>
      <c r="T21" s="71" t="s">
        <v>163</v>
      </c>
      <c r="U21" s="71" t="str">
        <f>"257,2050"</f>
        <v>257,2050</v>
      </c>
      <c r="V21" s="8" t="s">
        <v>413</v>
      </c>
    </row>
    <row r="23" spans="2:21" ht="15.75">
      <c r="B23" s="101" t="s">
        <v>73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2" ht="12.75">
      <c r="A24" s="25" t="s">
        <v>471</v>
      </c>
      <c r="B24" s="58" t="s">
        <v>74</v>
      </c>
      <c r="C24" s="7" t="s">
        <v>75</v>
      </c>
      <c r="D24" s="7" t="s">
        <v>456</v>
      </c>
      <c r="E24" s="7" t="str">
        <f>"0,6126"</f>
        <v>0,6126</v>
      </c>
      <c r="F24" s="7" t="s">
        <v>13</v>
      </c>
      <c r="G24" s="7" t="s">
        <v>76</v>
      </c>
      <c r="H24" s="42" t="s">
        <v>77</v>
      </c>
      <c r="I24" s="42" t="s">
        <v>62</v>
      </c>
      <c r="J24" s="42" t="s">
        <v>78</v>
      </c>
      <c r="K24" s="69"/>
      <c r="L24" s="42" t="s">
        <v>69</v>
      </c>
      <c r="M24" s="42" t="s">
        <v>70</v>
      </c>
      <c r="N24" s="42" t="s">
        <v>79</v>
      </c>
      <c r="O24" s="69"/>
      <c r="P24" s="42" t="s">
        <v>80</v>
      </c>
      <c r="Q24" s="42" t="s">
        <v>81</v>
      </c>
      <c r="R24" s="42" t="s">
        <v>61</v>
      </c>
      <c r="S24" s="69"/>
      <c r="T24" s="68" t="s">
        <v>144</v>
      </c>
      <c r="U24" s="68" t="str">
        <f>"405,8475"</f>
        <v>405,8475</v>
      </c>
      <c r="V24" s="7" t="s">
        <v>366</v>
      </c>
    </row>
    <row r="25" spans="1:22" ht="12.75">
      <c r="A25" s="25" t="s">
        <v>472</v>
      </c>
      <c r="B25" s="60" t="s">
        <v>82</v>
      </c>
      <c r="C25" s="9" t="s">
        <v>83</v>
      </c>
      <c r="D25" s="9" t="s">
        <v>24</v>
      </c>
      <c r="E25" s="9" t="str">
        <f>"0,6119"</f>
        <v>0,6119</v>
      </c>
      <c r="F25" s="9" t="s">
        <v>13</v>
      </c>
      <c r="G25" s="9" t="s">
        <v>14</v>
      </c>
      <c r="H25" s="43" t="s">
        <v>39</v>
      </c>
      <c r="I25" s="77" t="s">
        <v>58</v>
      </c>
      <c r="J25" s="43" t="s">
        <v>58</v>
      </c>
      <c r="K25" s="73"/>
      <c r="L25" s="43" t="s">
        <v>33</v>
      </c>
      <c r="M25" s="43" t="s">
        <v>39</v>
      </c>
      <c r="N25" s="43" t="s">
        <v>53</v>
      </c>
      <c r="O25" s="73"/>
      <c r="P25" s="43" t="s">
        <v>60</v>
      </c>
      <c r="Q25" s="43" t="s">
        <v>61</v>
      </c>
      <c r="R25" s="43" t="s">
        <v>85</v>
      </c>
      <c r="S25" s="73"/>
      <c r="T25" s="72" t="s">
        <v>150</v>
      </c>
      <c r="U25" s="72" t="str">
        <f>"388,5248"</f>
        <v>388,5248</v>
      </c>
      <c r="V25" s="9" t="s">
        <v>436</v>
      </c>
    </row>
    <row r="26" spans="1:22" ht="12.75">
      <c r="A26" s="25" t="s">
        <v>473</v>
      </c>
      <c r="B26" s="60" t="s">
        <v>86</v>
      </c>
      <c r="C26" s="9" t="s">
        <v>87</v>
      </c>
      <c r="D26" s="9" t="s">
        <v>426</v>
      </c>
      <c r="E26" s="9" t="str">
        <f>"0,6213"</f>
        <v>0,6213</v>
      </c>
      <c r="F26" s="9" t="s">
        <v>13</v>
      </c>
      <c r="G26" s="9" t="s">
        <v>88</v>
      </c>
      <c r="H26" s="77" t="s">
        <v>58</v>
      </c>
      <c r="I26" s="43" t="s">
        <v>58</v>
      </c>
      <c r="J26" s="43" t="s">
        <v>50</v>
      </c>
      <c r="K26" s="73"/>
      <c r="L26" s="43" t="s">
        <v>49</v>
      </c>
      <c r="M26" s="43" t="s">
        <v>44</v>
      </c>
      <c r="N26" s="77" t="s">
        <v>53</v>
      </c>
      <c r="O26" s="73"/>
      <c r="P26" s="43" t="s">
        <v>58</v>
      </c>
      <c r="Q26" s="43" t="s">
        <v>89</v>
      </c>
      <c r="R26" s="43" t="s">
        <v>80</v>
      </c>
      <c r="S26" s="72"/>
      <c r="T26" s="72" t="s">
        <v>154</v>
      </c>
      <c r="U26" s="72" t="str">
        <f>"369,7032"</f>
        <v>369,7032</v>
      </c>
      <c r="V26" s="9" t="s">
        <v>367</v>
      </c>
    </row>
    <row r="27" spans="1:22" ht="12.75">
      <c r="A27" s="25" t="s">
        <v>474</v>
      </c>
      <c r="B27" s="59" t="s">
        <v>90</v>
      </c>
      <c r="C27" s="8" t="s">
        <v>91</v>
      </c>
      <c r="D27" s="8" t="s">
        <v>457</v>
      </c>
      <c r="E27" s="8" t="str">
        <f>"0,6230"</f>
        <v>0,6230</v>
      </c>
      <c r="F27" s="8" t="s">
        <v>13</v>
      </c>
      <c r="G27" s="8" t="s">
        <v>14</v>
      </c>
      <c r="H27" s="76" t="s">
        <v>81</v>
      </c>
      <c r="I27" s="76" t="s">
        <v>81</v>
      </c>
      <c r="J27" s="44" t="s">
        <v>81</v>
      </c>
      <c r="K27" s="70"/>
      <c r="L27" s="44" t="s">
        <v>27</v>
      </c>
      <c r="M27" s="44" t="s">
        <v>46</v>
      </c>
      <c r="N27" s="44" t="s">
        <v>69</v>
      </c>
      <c r="O27" s="70"/>
      <c r="P27" s="44" t="s">
        <v>59</v>
      </c>
      <c r="Q27" s="44" t="s">
        <v>60</v>
      </c>
      <c r="R27" s="76" t="s">
        <v>80</v>
      </c>
      <c r="S27" s="70"/>
      <c r="T27" s="71" t="s">
        <v>155</v>
      </c>
      <c r="U27" s="71" t="str">
        <f>"367,5700"</f>
        <v>367,5700</v>
      </c>
      <c r="V27" s="8" t="s">
        <v>92</v>
      </c>
    </row>
    <row r="29" spans="2:21" ht="15.75">
      <c r="B29" s="101" t="s">
        <v>93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2" ht="12.75">
      <c r="A30" s="25" t="s">
        <v>471</v>
      </c>
      <c r="B30" s="58" t="s">
        <v>94</v>
      </c>
      <c r="C30" s="7" t="s">
        <v>95</v>
      </c>
      <c r="D30" s="7" t="s">
        <v>458</v>
      </c>
      <c r="E30" s="7" t="str">
        <f>"0,5840"</f>
        <v>0,5840</v>
      </c>
      <c r="F30" s="7" t="s">
        <v>13</v>
      </c>
      <c r="G30" s="7" t="s">
        <v>96</v>
      </c>
      <c r="H30" s="42" t="s">
        <v>97</v>
      </c>
      <c r="I30" s="78" t="s">
        <v>98</v>
      </c>
      <c r="J30" s="78" t="s">
        <v>98</v>
      </c>
      <c r="K30" s="69"/>
      <c r="L30" s="42" t="s">
        <v>99</v>
      </c>
      <c r="M30" s="42" t="s">
        <v>54</v>
      </c>
      <c r="N30" s="78" t="s">
        <v>38</v>
      </c>
      <c r="O30" s="69"/>
      <c r="P30" s="42" t="s">
        <v>50</v>
      </c>
      <c r="Q30" s="42" t="s">
        <v>78</v>
      </c>
      <c r="R30" s="78" t="s">
        <v>100</v>
      </c>
      <c r="S30" s="69"/>
      <c r="T30" s="68" t="s">
        <v>146</v>
      </c>
      <c r="U30" s="68" t="str">
        <f>"402,9945"</f>
        <v>402,9945</v>
      </c>
      <c r="V30" s="7" t="s">
        <v>367</v>
      </c>
    </row>
    <row r="31" spans="1:22" ht="12.75">
      <c r="A31" s="25" t="s">
        <v>472</v>
      </c>
      <c r="B31" s="60" t="s">
        <v>101</v>
      </c>
      <c r="C31" s="9" t="s">
        <v>102</v>
      </c>
      <c r="D31" s="9" t="s">
        <v>459</v>
      </c>
      <c r="E31" s="9" t="str">
        <f>"0,5846"</f>
        <v>0,5846</v>
      </c>
      <c r="F31" s="9" t="s">
        <v>13</v>
      </c>
      <c r="G31" s="9" t="s">
        <v>14</v>
      </c>
      <c r="H31" s="77" t="s">
        <v>103</v>
      </c>
      <c r="I31" s="43" t="s">
        <v>103</v>
      </c>
      <c r="J31" s="73"/>
      <c r="K31" s="73"/>
      <c r="L31" s="43" t="s">
        <v>65</v>
      </c>
      <c r="M31" s="43" t="s">
        <v>49</v>
      </c>
      <c r="N31" s="73"/>
      <c r="O31" s="73"/>
      <c r="P31" s="77" t="s">
        <v>61</v>
      </c>
      <c r="Q31" s="43" t="s">
        <v>61</v>
      </c>
      <c r="R31" s="77" t="s">
        <v>62</v>
      </c>
      <c r="S31" s="73"/>
      <c r="T31" s="72" t="s">
        <v>153</v>
      </c>
      <c r="U31" s="72" t="str">
        <f>"374,1120"</f>
        <v>374,1120</v>
      </c>
      <c r="V31" s="9" t="s">
        <v>367</v>
      </c>
    </row>
    <row r="32" spans="1:22" ht="12.75">
      <c r="A32" s="25" t="s">
        <v>473</v>
      </c>
      <c r="B32" s="59" t="s">
        <v>104</v>
      </c>
      <c r="C32" s="8" t="s">
        <v>105</v>
      </c>
      <c r="D32" s="8" t="s">
        <v>401</v>
      </c>
      <c r="E32" s="8" t="str">
        <f>"0,5856"</f>
        <v>0,5856</v>
      </c>
      <c r="F32" s="8" t="s">
        <v>13</v>
      </c>
      <c r="G32" s="8" t="s">
        <v>14</v>
      </c>
      <c r="H32" s="44" t="s">
        <v>106</v>
      </c>
      <c r="I32" s="44" t="s">
        <v>107</v>
      </c>
      <c r="J32" s="44" t="s">
        <v>60</v>
      </c>
      <c r="K32" s="70"/>
      <c r="L32" s="44" t="s">
        <v>32</v>
      </c>
      <c r="M32" s="76" t="s">
        <v>108</v>
      </c>
      <c r="N32" s="76" t="s">
        <v>108</v>
      </c>
      <c r="O32" s="70"/>
      <c r="P32" s="44" t="s">
        <v>39</v>
      </c>
      <c r="Q32" s="44" t="s">
        <v>58</v>
      </c>
      <c r="R32" s="76" t="s">
        <v>50</v>
      </c>
      <c r="S32" s="70"/>
      <c r="T32" s="71" t="s">
        <v>160</v>
      </c>
      <c r="U32" s="71" t="str">
        <f>"327,9360"</f>
        <v>327,9360</v>
      </c>
      <c r="V32" s="8" t="s">
        <v>365</v>
      </c>
    </row>
    <row r="34" spans="2:21" ht="15.75">
      <c r="B34" s="101" t="s">
        <v>109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1:22" ht="12.75">
      <c r="A35" s="25" t="s">
        <v>471</v>
      </c>
      <c r="B35" s="58" t="s">
        <v>110</v>
      </c>
      <c r="C35" s="7" t="s">
        <v>111</v>
      </c>
      <c r="D35" s="7" t="s">
        <v>460</v>
      </c>
      <c r="E35" s="7" t="str">
        <f>"0,5735"</f>
        <v>0,5735</v>
      </c>
      <c r="F35" s="7" t="s">
        <v>13</v>
      </c>
      <c r="G35" s="7" t="s">
        <v>14</v>
      </c>
      <c r="H35" s="42" t="s">
        <v>81</v>
      </c>
      <c r="I35" s="42" t="s">
        <v>112</v>
      </c>
      <c r="J35" s="42" t="s">
        <v>85</v>
      </c>
      <c r="K35" s="69"/>
      <c r="L35" s="42" t="s">
        <v>32</v>
      </c>
      <c r="M35" s="42" t="s">
        <v>113</v>
      </c>
      <c r="N35" s="42" t="s">
        <v>114</v>
      </c>
      <c r="O35" s="69"/>
      <c r="P35" s="42" t="s">
        <v>81</v>
      </c>
      <c r="Q35" s="42" t="s">
        <v>112</v>
      </c>
      <c r="R35" s="42" t="s">
        <v>78</v>
      </c>
      <c r="S35" s="69"/>
      <c r="T35" s="68" t="s">
        <v>149</v>
      </c>
      <c r="U35" s="68" t="str">
        <f>"402,9189"</f>
        <v>402,9189</v>
      </c>
      <c r="V35" s="7" t="s">
        <v>367</v>
      </c>
    </row>
    <row r="36" spans="1:22" ht="12.75">
      <c r="A36" s="25" t="s">
        <v>472</v>
      </c>
      <c r="B36" s="60" t="s">
        <v>115</v>
      </c>
      <c r="C36" s="9" t="s">
        <v>116</v>
      </c>
      <c r="D36" s="9" t="s">
        <v>460</v>
      </c>
      <c r="E36" s="9" t="str">
        <f>"0,5735"</f>
        <v>0,5735</v>
      </c>
      <c r="F36" s="9" t="s">
        <v>13</v>
      </c>
      <c r="G36" s="9" t="s">
        <v>14</v>
      </c>
      <c r="H36" s="43" t="s">
        <v>89</v>
      </c>
      <c r="I36" s="43" t="s">
        <v>80</v>
      </c>
      <c r="J36" s="73"/>
      <c r="K36" s="73"/>
      <c r="L36" s="43" t="s">
        <v>32</v>
      </c>
      <c r="M36" s="43" t="s">
        <v>49</v>
      </c>
      <c r="N36" s="77" t="s">
        <v>44</v>
      </c>
      <c r="O36" s="73"/>
      <c r="P36" s="43" t="s">
        <v>60</v>
      </c>
      <c r="Q36" s="77" t="s">
        <v>81</v>
      </c>
      <c r="R36" s="73"/>
      <c r="S36" s="73"/>
      <c r="T36" s="72" t="s">
        <v>158</v>
      </c>
      <c r="U36" s="72" t="str">
        <f>"346,9977"</f>
        <v>346,9977</v>
      </c>
      <c r="V36" s="9" t="s">
        <v>468</v>
      </c>
    </row>
    <row r="37" spans="2:22" ht="12.75">
      <c r="B37" s="59" t="s">
        <v>117</v>
      </c>
      <c r="C37" s="8" t="s">
        <v>118</v>
      </c>
      <c r="D37" s="8" t="s">
        <v>378</v>
      </c>
      <c r="E37" s="8" t="str">
        <f>"0,5634"</f>
        <v>0,5634</v>
      </c>
      <c r="F37" s="8" t="s">
        <v>13</v>
      </c>
      <c r="G37" s="8" t="s">
        <v>539</v>
      </c>
      <c r="H37" s="76" t="s">
        <v>98</v>
      </c>
      <c r="I37" s="76" t="s">
        <v>120</v>
      </c>
      <c r="J37" s="76" t="s">
        <v>120</v>
      </c>
      <c r="K37" s="70"/>
      <c r="L37" s="70"/>
      <c r="M37" s="70"/>
      <c r="N37" s="70"/>
      <c r="O37" s="70"/>
      <c r="P37" s="70"/>
      <c r="Q37" s="70"/>
      <c r="R37" s="70"/>
      <c r="S37" s="70"/>
      <c r="T37" s="71" t="s">
        <v>405</v>
      </c>
      <c r="U37" s="71" t="s">
        <v>405</v>
      </c>
      <c r="V37" s="8" t="s">
        <v>366</v>
      </c>
    </row>
    <row r="39" spans="2:21" ht="15.75">
      <c r="B39" s="101" t="s">
        <v>122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0" spans="1:22" ht="12.75">
      <c r="A40" s="25" t="s">
        <v>471</v>
      </c>
      <c r="B40" s="57" t="s">
        <v>123</v>
      </c>
      <c r="C40" s="6" t="s">
        <v>124</v>
      </c>
      <c r="D40" s="6" t="s">
        <v>461</v>
      </c>
      <c r="E40" s="6" t="str">
        <f>"0,5545"</f>
        <v>0,5545</v>
      </c>
      <c r="F40" s="6" t="s">
        <v>13</v>
      </c>
      <c r="G40" s="6" t="s">
        <v>14</v>
      </c>
      <c r="H40" s="41" t="s">
        <v>62</v>
      </c>
      <c r="I40" s="41" t="s">
        <v>78</v>
      </c>
      <c r="J40" s="41" t="s">
        <v>97</v>
      </c>
      <c r="K40" s="66"/>
      <c r="L40" s="41" t="s">
        <v>33</v>
      </c>
      <c r="M40" s="41" t="s">
        <v>39</v>
      </c>
      <c r="N40" s="75" t="s">
        <v>45</v>
      </c>
      <c r="O40" s="66"/>
      <c r="P40" s="41" t="s">
        <v>85</v>
      </c>
      <c r="Q40" s="41" t="s">
        <v>125</v>
      </c>
      <c r="R40" s="41" t="s">
        <v>100</v>
      </c>
      <c r="S40" s="66"/>
      <c r="T40" s="67" t="s">
        <v>142</v>
      </c>
      <c r="U40" s="67" t="str">
        <f>"408,9437"</f>
        <v>408,9437</v>
      </c>
      <c r="V40" s="6" t="s">
        <v>469</v>
      </c>
    </row>
    <row r="41" spans="12:13" ht="12.75">
      <c r="L41" s="74"/>
      <c r="M41" s="74"/>
    </row>
    <row r="42" spans="2:21" ht="15.75">
      <c r="B42" s="101" t="s">
        <v>126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</row>
    <row r="43" spans="1:22" ht="12.75">
      <c r="A43" s="25" t="s">
        <v>471</v>
      </c>
      <c r="B43" s="57" t="s">
        <v>127</v>
      </c>
      <c r="C43" s="6" t="s">
        <v>128</v>
      </c>
      <c r="D43" s="6" t="s">
        <v>462</v>
      </c>
      <c r="E43" s="6" t="str">
        <f>"0,5415"</f>
        <v>0,5415</v>
      </c>
      <c r="F43" s="6" t="s">
        <v>13</v>
      </c>
      <c r="G43" s="6" t="s">
        <v>463</v>
      </c>
      <c r="H43" s="41" t="s">
        <v>53</v>
      </c>
      <c r="I43" s="41" t="s">
        <v>130</v>
      </c>
      <c r="J43" s="41" t="s">
        <v>50</v>
      </c>
      <c r="K43" s="66"/>
      <c r="L43" s="41" t="s">
        <v>32</v>
      </c>
      <c r="M43" s="75" t="s">
        <v>108</v>
      </c>
      <c r="N43" s="41" t="s">
        <v>108</v>
      </c>
      <c r="O43" s="66"/>
      <c r="P43" s="41" t="s">
        <v>61</v>
      </c>
      <c r="Q43" s="41" t="s">
        <v>62</v>
      </c>
      <c r="R43" s="75" t="s">
        <v>131</v>
      </c>
      <c r="S43" s="66"/>
      <c r="T43" s="67" t="s">
        <v>159</v>
      </c>
      <c r="U43" s="67" t="str">
        <f>"334,3701"</f>
        <v>334,3701</v>
      </c>
      <c r="V43" s="6" t="s">
        <v>470</v>
      </c>
    </row>
    <row r="45" spans="2:3" ht="18">
      <c r="B45" s="53" t="s">
        <v>132</v>
      </c>
      <c r="C45" s="53"/>
    </row>
    <row r="46" spans="2:3" ht="15.75">
      <c r="B46" s="54" t="s">
        <v>140</v>
      </c>
      <c r="C46" s="54"/>
    </row>
    <row r="47" spans="2:3" ht="13.5">
      <c r="B47" s="62"/>
      <c r="C47" s="55" t="s">
        <v>540</v>
      </c>
    </row>
    <row r="48" spans="2:6" ht="13.5">
      <c r="B48" s="63" t="s">
        <v>135</v>
      </c>
      <c r="C48" s="56" t="s">
        <v>136</v>
      </c>
      <c r="D48" s="56" t="s">
        <v>137</v>
      </c>
      <c r="E48" s="56" t="s">
        <v>138</v>
      </c>
      <c r="F48" s="10" t="s">
        <v>139</v>
      </c>
    </row>
    <row r="49" spans="1:6" ht="12.75">
      <c r="A49" s="25" t="s">
        <v>471</v>
      </c>
      <c r="B49" s="64" t="s">
        <v>123</v>
      </c>
      <c r="C49" s="1" t="s">
        <v>134</v>
      </c>
      <c r="D49" s="25" t="s">
        <v>422</v>
      </c>
      <c r="E49" s="25" t="s">
        <v>142</v>
      </c>
      <c r="F49" s="25" t="s">
        <v>143</v>
      </c>
    </row>
    <row r="50" spans="1:6" ht="12.75">
      <c r="A50" s="25" t="s">
        <v>472</v>
      </c>
      <c r="B50" s="64" t="s">
        <v>74</v>
      </c>
      <c r="C50" s="1" t="s">
        <v>134</v>
      </c>
      <c r="D50" s="25" t="s">
        <v>371</v>
      </c>
      <c r="E50" s="25" t="s">
        <v>144</v>
      </c>
      <c r="F50" s="25" t="s">
        <v>145</v>
      </c>
    </row>
    <row r="51" spans="1:6" ht="12.75">
      <c r="A51" s="25" t="s">
        <v>473</v>
      </c>
      <c r="B51" s="64" t="s">
        <v>94</v>
      </c>
      <c r="C51" s="1" t="s">
        <v>134</v>
      </c>
      <c r="D51" s="25" t="s">
        <v>420</v>
      </c>
      <c r="E51" s="25" t="s">
        <v>146</v>
      </c>
      <c r="F51" s="25" t="s">
        <v>147</v>
      </c>
    </row>
  </sheetData>
  <sheetProtection/>
  <mergeCells count="24">
    <mergeCell ref="B42:U42"/>
    <mergeCell ref="B14:U14"/>
    <mergeCell ref="B18:U18"/>
    <mergeCell ref="B23:U23"/>
    <mergeCell ref="B29:U29"/>
    <mergeCell ref="B34:U34"/>
    <mergeCell ref="B39:U39"/>
    <mergeCell ref="F3:F4"/>
    <mergeCell ref="B5:U5"/>
    <mergeCell ref="B8:U8"/>
    <mergeCell ref="B11:U11"/>
    <mergeCell ref="E3:E4"/>
    <mergeCell ref="T3:T4"/>
    <mergeCell ref="U3:U4"/>
    <mergeCell ref="A3:A4"/>
    <mergeCell ref="B1:V2"/>
    <mergeCell ref="H3:K3"/>
    <mergeCell ref="L3:O3"/>
    <mergeCell ref="P3:S3"/>
    <mergeCell ref="B3:B4"/>
    <mergeCell ref="C3:C4"/>
    <mergeCell ref="D3:D4"/>
    <mergeCell ref="V3:V4"/>
    <mergeCell ref="G3:G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27">
      <selection activeCell="C67" sqref="C67"/>
    </sheetView>
  </sheetViews>
  <sheetFormatPr defaultColWidth="8.75390625" defaultRowHeight="12.75"/>
  <cols>
    <col min="1" max="1" width="7.125" style="26" customWidth="1"/>
    <col min="2" max="2" width="21.00390625" style="11" customWidth="1"/>
    <col min="3" max="3" width="25.875" style="11" customWidth="1"/>
    <col min="4" max="4" width="10.125" style="11" bestFit="1" customWidth="1"/>
    <col min="5" max="5" width="8.25390625" style="11" bestFit="1" customWidth="1"/>
    <col min="6" max="6" width="16.25390625" style="11" customWidth="1"/>
    <col min="7" max="7" width="26.375" style="11" bestFit="1" customWidth="1"/>
    <col min="8" max="10" width="5.625" style="11" bestFit="1" customWidth="1"/>
    <col min="11" max="11" width="4.25390625" style="11" bestFit="1" customWidth="1"/>
    <col min="12" max="12" width="11.125" style="40" customWidth="1"/>
    <col min="13" max="13" width="8.625" style="11" bestFit="1" customWidth="1"/>
    <col min="14" max="14" width="16.125" style="11" customWidth="1"/>
  </cols>
  <sheetData>
    <row r="1" spans="1:14" s="1" customFormat="1" ht="15" customHeight="1">
      <c r="A1" s="25"/>
      <c r="B1" s="80" t="s">
        <v>421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1" customFormat="1" ht="99" customHeight="1" thickBot="1">
      <c r="A2" s="2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 thickBot="1">
      <c r="A3" s="79" t="s">
        <v>352</v>
      </c>
      <c r="B3" s="86" t="s">
        <v>0</v>
      </c>
      <c r="C3" s="87" t="s">
        <v>353</v>
      </c>
      <c r="D3" s="89" t="s">
        <v>354</v>
      </c>
      <c r="E3" s="90" t="s">
        <v>9</v>
      </c>
      <c r="F3" s="87" t="s">
        <v>7</v>
      </c>
      <c r="G3" s="92" t="s">
        <v>355</v>
      </c>
      <c r="H3" s="90" t="s">
        <v>2</v>
      </c>
      <c r="I3" s="90"/>
      <c r="J3" s="90"/>
      <c r="K3" s="90"/>
      <c r="L3" s="94" t="s">
        <v>368</v>
      </c>
      <c r="M3" s="90" t="s">
        <v>6</v>
      </c>
      <c r="N3" s="96" t="s">
        <v>5</v>
      </c>
    </row>
    <row r="4" spans="1:14" s="2" customFormat="1" ht="21" customHeight="1" thickBot="1">
      <c r="A4" s="79"/>
      <c r="B4" s="86"/>
      <c r="C4" s="88"/>
      <c r="D4" s="89"/>
      <c r="E4" s="91"/>
      <c r="F4" s="88"/>
      <c r="G4" s="93"/>
      <c r="H4" s="3">
        <v>1</v>
      </c>
      <c r="I4" s="3">
        <v>2</v>
      </c>
      <c r="J4" s="3">
        <v>3</v>
      </c>
      <c r="K4" s="3" t="s">
        <v>8</v>
      </c>
      <c r="L4" s="95"/>
      <c r="M4" s="91"/>
      <c r="N4" s="97"/>
    </row>
    <row r="5" spans="2:13" ht="15.75">
      <c r="B5" s="98" t="s">
        <v>172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4" ht="12.75">
      <c r="A6" s="26">
        <v>1</v>
      </c>
      <c r="B6" s="13" t="s">
        <v>177</v>
      </c>
      <c r="C6" s="13" t="s">
        <v>178</v>
      </c>
      <c r="D6" s="13" t="s">
        <v>380</v>
      </c>
      <c r="E6" s="13" t="str">
        <f>"1,1093"</f>
        <v>1,1093</v>
      </c>
      <c r="F6" s="13" t="s">
        <v>13</v>
      </c>
      <c r="G6" s="13" t="s">
        <v>14</v>
      </c>
      <c r="H6" s="42" t="s">
        <v>169</v>
      </c>
      <c r="I6" s="42" t="s">
        <v>170</v>
      </c>
      <c r="J6" s="47" t="s">
        <v>270</v>
      </c>
      <c r="K6" s="30"/>
      <c r="L6" s="36">
        <v>62.5</v>
      </c>
      <c r="M6" s="29" t="str">
        <f>"69,3313"</f>
        <v>69,3313</v>
      </c>
      <c r="N6" s="13" t="s">
        <v>406</v>
      </c>
    </row>
    <row r="7" spans="1:14" ht="12.75">
      <c r="A7" s="26">
        <v>2</v>
      </c>
      <c r="B7" s="15" t="s">
        <v>173</v>
      </c>
      <c r="C7" s="15" t="s">
        <v>174</v>
      </c>
      <c r="D7" s="15" t="s">
        <v>357</v>
      </c>
      <c r="E7" s="15" t="str">
        <f>"1,1195"</f>
        <v>1,1195</v>
      </c>
      <c r="F7" s="15" t="s">
        <v>13</v>
      </c>
      <c r="G7" s="15" t="s">
        <v>14</v>
      </c>
      <c r="H7" s="43" t="s">
        <v>169</v>
      </c>
      <c r="I7" s="32"/>
      <c r="J7" s="32"/>
      <c r="K7" s="32"/>
      <c r="L7" s="37">
        <v>57.5</v>
      </c>
      <c r="M7" s="31" t="str">
        <f>"64,3713"</f>
        <v>64,3713</v>
      </c>
      <c r="N7" s="15" t="s">
        <v>366</v>
      </c>
    </row>
    <row r="8" spans="1:14" ht="12.75">
      <c r="A8" s="26">
        <v>3</v>
      </c>
      <c r="B8" s="14" t="s">
        <v>271</v>
      </c>
      <c r="C8" s="14" t="s">
        <v>272</v>
      </c>
      <c r="D8" s="14" t="s">
        <v>381</v>
      </c>
      <c r="E8" s="14" t="str">
        <f>"1,1317"</f>
        <v>1,1317</v>
      </c>
      <c r="F8" s="14" t="s">
        <v>13</v>
      </c>
      <c r="G8" s="14" t="s">
        <v>14</v>
      </c>
      <c r="H8" s="44" t="s">
        <v>18</v>
      </c>
      <c r="I8" s="46" t="s">
        <v>25</v>
      </c>
      <c r="J8" s="46" t="s">
        <v>25</v>
      </c>
      <c r="K8" s="33"/>
      <c r="L8" s="38">
        <v>40</v>
      </c>
      <c r="M8" s="34" t="str">
        <f>"45,2680"</f>
        <v>45,2680</v>
      </c>
      <c r="N8" s="14" t="s">
        <v>273</v>
      </c>
    </row>
    <row r="10" spans="2:13" ht="15.75">
      <c r="B10" s="99" t="s">
        <v>21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4" ht="12.75">
      <c r="A11" s="26">
        <v>1</v>
      </c>
      <c r="B11" s="13" t="s">
        <v>180</v>
      </c>
      <c r="C11" s="13" t="s">
        <v>181</v>
      </c>
      <c r="D11" s="13" t="s">
        <v>375</v>
      </c>
      <c r="E11" s="13" t="str">
        <f>"1,0065"</f>
        <v>1,0065</v>
      </c>
      <c r="F11" s="13" t="s">
        <v>13</v>
      </c>
      <c r="G11" s="13" t="s">
        <v>14</v>
      </c>
      <c r="H11" s="42" t="s">
        <v>170</v>
      </c>
      <c r="I11" s="47" t="s">
        <v>270</v>
      </c>
      <c r="J11" s="47" t="s">
        <v>270</v>
      </c>
      <c r="K11" s="30"/>
      <c r="L11" s="36">
        <v>62.5</v>
      </c>
      <c r="M11" s="29" t="str">
        <f>"62,9063"</f>
        <v>62,9063</v>
      </c>
      <c r="N11" s="13" t="s">
        <v>407</v>
      </c>
    </row>
    <row r="12" spans="1:14" ht="12.75">
      <c r="A12" s="26">
        <v>2</v>
      </c>
      <c r="B12" s="14" t="s">
        <v>182</v>
      </c>
      <c r="C12" s="14" t="s">
        <v>183</v>
      </c>
      <c r="D12" s="14" t="s">
        <v>382</v>
      </c>
      <c r="E12" s="14" t="str">
        <f>"1,0079"</f>
        <v>1,0079</v>
      </c>
      <c r="F12" s="14" t="s">
        <v>13</v>
      </c>
      <c r="G12" s="14" t="s">
        <v>14</v>
      </c>
      <c r="H12" s="44" t="s">
        <v>274</v>
      </c>
      <c r="I12" s="44" t="s">
        <v>169</v>
      </c>
      <c r="J12" s="44" t="s">
        <v>184</v>
      </c>
      <c r="K12" s="33"/>
      <c r="L12" s="38">
        <v>60</v>
      </c>
      <c r="M12" s="34" t="str">
        <f>"60,4740"</f>
        <v>60,4740</v>
      </c>
      <c r="N12" s="14" t="s">
        <v>408</v>
      </c>
    </row>
    <row r="14" spans="2:13" ht="15.75">
      <c r="B14" s="99" t="s">
        <v>10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4" ht="12.75">
      <c r="A15" s="26">
        <v>1</v>
      </c>
      <c r="B15" s="12" t="s">
        <v>275</v>
      </c>
      <c r="C15" s="12" t="s">
        <v>276</v>
      </c>
      <c r="D15" s="12" t="s">
        <v>383</v>
      </c>
      <c r="E15" s="12" t="str">
        <f>"0,9425"</f>
        <v>0,9425</v>
      </c>
      <c r="F15" s="12" t="s">
        <v>13</v>
      </c>
      <c r="G15" s="12" t="s">
        <v>14</v>
      </c>
      <c r="H15" s="45" t="s">
        <v>24</v>
      </c>
      <c r="I15" s="41" t="s">
        <v>24</v>
      </c>
      <c r="J15" s="41" t="s">
        <v>277</v>
      </c>
      <c r="K15" s="28"/>
      <c r="L15" s="35">
        <v>102.5</v>
      </c>
      <c r="M15" s="27" t="str">
        <f>"96,6062"</f>
        <v>96,6062</v>
      </c>
      <c r="N15" s="12" t="s">
        <v>367</v>
      </c>
    </row>
    <row r="17" spans="2:13" ht="15.75">
      <c r="B17" s="99" t="s">
        <v>28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4" ht="12.75">
      <c r="A18" s="26">
        <v>1</v>
      </c>
      <c r="B18" s="12" t="s">
        <v>191</v>
      </c>
      <c r="C18" s="12" t="s">
        <v>192</v>
      </c>
      <c r="D18" s="12" t="s">
        <v>358</v>
      </c>
      <c r="E18" s="12" t="str">
        <f>"0,7841"</f>
        <v>0,7841</v>
      </c>
      <c r="F18" s="12" t="s">
        <v>13</v>
      </c>
      <c r="G18" s="12" t="s">
        <v>88</v>
      </c>
      <c r="H18" s="41" t="s">
        <v>168</v>
      </c>
      <c r="I18" s="28"/>
      <c r="J18" s="28"/>
      <c r="K18" s="28"/>
      <c r="L18" s="35">
        <v>82.5</v>
      </c>
      <c r="M18" s="27" t="str">
        <f>"64,6882"</f>
        <v>64,6882</v>
      </c>
      <c r="N18" s="12" t="s">
        <v>367</v>
      </c>
    </row>
    <row r="20" spans="2:13" ht="15.75">
      <c r="B20" s="99" t="s">
        <v>40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4" ht="12.75">
      <c r="A21" s="26">
        <v>1</v>
      </c>
      <c r="B21" s="13" t="s">
        <v>278</v>
      </c>
      <c r="C21" s="13" t="s">
        <v>279</v>
      </c>
      <c r="D21" s="13" t="s">
        <v>384</v>
      </c>
      <c r="E21" s="13" t="str">
        <f>"0,7086"</f>
        <v>0,7086</v>
      </c>
      <c r="F21" s="13" t="s">
        <v>13</v>
      </c>
      <c r="G21" s="13" t="s">
        <v>14</v>
      </c>
      <c r="H21" s="42" t="s">
        <v>69</v>
      </c>
      <c r="I21" s="42" t="s">
        <v>99</v>
      </c>
      <c r="J21" s="47" t="s">
        <v>54</v>
      </c>
      <c r="K21" s="30"/>
      <c r="L21" s="36">
        <v>135</v>
      </c>
      <c r="M21" s="29" t="str">
        <f>"95,6677"</f>
        <v>95,6677</v>
      </c>
      <c r="N21" s="13" t="s">
        <v>367</v>
      </c>
    </row>
    <row r="22" spans="1:14" ht="12.75">
      <c r="A22" s="26">
        <v>2</v>
      </c>
      <c r="B22" s="15" t="s">
        <v>195</v>
      </c>
      <c r="C22" s="15" t="s">
        <v>196</v>
      </c>
      <c r="D22" s="15" t="s">
        <v>385</v>
      </c>
      <c r="E22" s="15" t="str">
        <f>"0,7034"</f>
        <v>0,7034</v>
      </c>
      <c r="F22" s="15" t="s">
        <v>13</v>
      </c>
      <c r="G22" s="15" t="s">
        <v>88</v>
      </c>
      <c r="H22" s="43" t="s">
        <v>46</v>
      </c>
      <c r="I22" s="32"/>
      <c r="J22" s="32"/>
      <c r="K22" s="32"/>
      <c r="L22" s="37">
        <v>120</v>
      </c>
      <c r="M22" s="31" t="str">
        <f>"84,4080"</f>
        <v>84,4080</v>
      </c>
      <c r="N22" s="15" t="s">
        <v>367</v>
      </c>
    </row>
    <row r="23" spans="1:14" ht="12.75">
      <c r="A23" s="26">
        <v>3</v>
      </c>
      <c r="B23" s="15" t="s">
        <v>281</v>
      </c>
      <c r="C23" s="15" t="s">
        <v>282</v>
      </c>
      <c r="D23" s="15" t="s">
        <v>386</v>
      </c>
      <c r="E23" s="15" t="str">
        <f>"0,7042"</f>
        <v>0,7042</v>
      </c>
      <c r="F23" s="15" t="s">
        <v>13</v>
      </c>
      <c r="G23" s="15" t="s">
        <v>283</v>
      </c>
      <c r="H23" s="43" t="s">
        <v>27</v>
      </c>
      <c r="I23" s="43" t="s">
        <v>176</v>
      </c>
      <c r="J23" s="43" t="s">
        <v>66</v>
      </c>
      <c r="K23" s="32"/>
      <c r="L23" s="37">
        <v>117.5</v>
      </c>
      <c r="M23" s="31" t="str">
        <f>"82,7376"</f>
        <v>82,7376</v>
      </c>
      <c r="N23" s="15" t="s">
        <v>409</v>
      </c>
    </row>
    <row r="24" spans="1:14" ht="12.75">
      <c r="A24" s="26">
        <v>4</v>
      </c>
      <c r="B24" s="14" t="s">
        <v>284</v>
      </c>
      <c r="C24" s="14" t="s">
        <v>285</v>
      </c>
      <c r="D24" s="14" t="s">
        <v>387</v>
      </c>
      <c r="E24" s="14" t="str">
        <f>"0,6955"</f>
        <v>0,6955</v>
      </c>
      <c r="F24" s="14" t="s">
        <v>13</v>
      </c>
      <c r="G24" s="14" t="s">
        <v>43</v>
      </c>
      <c r="H24" s="44" t="s">
        <v>71</v>
      </c>
      <c r="I24" s="44" t="s">
        <v>27</v>
      </c>
      <c r="J24" s="46" t="s">
        <v>66</v>
      </c>
      <c r="K24" s="33"/>
      <c r="L24" s="38">
        <v>110</v>
      </c>
      <c r="M24" s="34" t="str">
        <f>"76,4995"</f>
        <v>76,4995</v>
      </c>
      <c r="N24" s="14" t="s">
        <v>367</v>
      </c>
    </row>
    <row r="26" spans="2:13" ht="15.75">
      <c r="B26" s="99" t="s">
        <v>55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4" ht="12.75">
      <c r="A27" s="26">
        <v>1</v>
      </c>
      <c r="B27" s="13" t="s">
        <v>286</v>
      </c>
      <c r="C27" s="13" t="s">
        <v>287</v>
      </c>
      <c r="D27" s="13" t="s">
        <v>388</v>
      </c>
      <c r="E27" s="13" t="str">
        <f>"0,6545"</f>
        <v>0,6545</v>
      </c>
      <c r="F27" s="13" t="s">
        <v>13</v>
      </c>
      <c r="G27" s="13" t="s">
        <v>218</v>
      </c>
      <c r="H27" s="42" t="s">
        <v>99</v>
      </c>
      <c r="I27" s="42" t="s">
        <v>38</v>
      </c>
      <c r="J27" s="47" t="s">
        <v>32</v>
      </c>
      <c r="K27" s="30"/>
      <c r="L27" s="36">
        <v>145</v>
      </c>
      <c r="M27" s="29" t="str">
        <f>"94,9025"</f>
        <v>94,9025</v>
      </c>
      <c r="N27" s="13" t="s">
        <v>410</v>
      </c>
    </row>
    <row r="28" spans="1:14" ht="12.75">
      <c r="A28" s="26">
        <v>2</v>
      </c>
      <c r="B28" s="15" t="s">
        <v>288</v>
      </c>
      <c r="C28" s="15" t="s">
        <v>289</v>
      </c>
      <c r="D28" s="15" t="s">
        <v>389</v>
      </c>
      <c r="E28" s="15" t="str">
        <f>"0,6513"</f>
        <v>0,6513</v>
      </c>
      <c r="F28" s="15" t="s">
        <v>13</v>
      </c>
      <c r="G28" s="15" t="s">
        <v>43</v>
      </c>
      <c r="H28" s="43" t="s">
        <v>99</v>
      </c>
      <c r="I28" s="43" t="s">
        <v>38</v>
      </c>
      <c r="J28" s="49" t="s">
        <v>32</v>
      </c>
      <c r="K28" s="32"/>
      <c r="L28" s="37">
        <v>145</v>
      </c>
      <c r="M28" s="31" t="str">
        <f>"94,4385"</f>
        <v>94,4385</v>
      </c>
      <c r="N28" s="15" t="s">
        <v>367</v>
      </c>
    </row>
    <row r="29" spans="1:14" ht="12.75">
      <c r="A29" s="26">
        <v>3</v>
      </c>
      <c r="B29" s="15" t="s">
        <v>290</v>
      </c>
      <c r="C29" s="15" t="s">
        <v>291</v>
      </c>
      <c r="D29" s="15" t="s">
        <v>390</v>
      </c>
      <c r="E29" s="15" t="str">
        <f>"0,6471"</f>
        <v>0,6471</v>
      </c>
      <c r="F29" s="15" t="s">
        <v>13</v>
      </c>
      <c r="G29" s="15" t="s">
        <v>14</v>
      </c>
      <c r="H29" s="49" t="s">
        <v>69</v>
      </c>
      <c r="I29" s="43" t="s">
        <v>99</v>
      </c>
      <c r="J29" s="43" t="s">
        <v>54</v>
      </c>
      <c r="K29" s="32"/>
      <c r="L29" s="37">
        <v>140</v>
      </c>
      <c r="M29" s="31" t="str">
        <f>"90,6010"</f>
        <v>90,6010</v>
      </c>
      <c r="N29" s="15" t="s">
        <v>367</v>
      </c>
    </row>
    <row r="30" spans="1:14" ht="12.75">
      <c r="A30" s="26">
        <v>4</v>
      </c>
      <c r="B30" s="15" t="s">
        <v>293</v>
      </c>
      <c r="C30" s="15" t="s">
        <v>294</v>
      </c>
      <c r="D30" s="15" t="s">
        <v>391</v>
      </c>
      <c r="E30" s="15" t="str">
        <f>"0,6497"</f>
        <v>0,6497</v>
      </c>
      <c r="F30" s="15" t="s">
        <v>13</v>
      </c>
      <c r="G30" s="15" t="s">
        <v>14</v>
      </c>
      <c r="H30" s="43" t="s">
        <v>46</v>
      </c>
      <c r="I30" s="43" t="s">
        <v>190</v>
      </c>
      <c r="J30" s="49" t="s">
        <v>69</v>
      </c>
      <c r="K30" s="32"/>
      <c r="L30" s="37">
        <v>127.5</v>
      </c>
      <c r="M30" s="31" t="str">
        <f>"82,8431"</f>
        <v>82,8431</v>
      </c>
      <c r="N30" s="15" t="s">
        <v>411</v>
      </c>
    </row>
    <row r="31" spans="2:14" ht="12.75">
      <c r="B31" s="14" t="s">
        <v>295</v>
      </c>
      <c r="C31" s="14" t="s">
        <v>296</v>
      </c>
      <c r="D31" s="14" t="s">
        <v>168</v>
      </c>
      <c r="E31" s="14" t="str">
        <f>"0,6446"</f>
        <v>0,6446</v>
      </c>
      <c r="F31" s="14" t="s">
        <v>13</v>
      </c>
      <c r="G31" s="14" t="s">
        <v>14</v>
      </c>
      <c r="H31" s="46" t="s">
        <v>99</v>
      </c>
      <c r="I31" s="46" t="s">
        <v>54</v>
      </c>
      <c r="J31" s="46" t="s">
        <v>54</v>
      </c>
      <c r="K31" s="33"/>
      <c r="L31" s="48">
        <v>0</v>
      </c>
      <c r="M31" s="34" t="s">
        <v>405</v>
      </c>
      <c r="N31" s="14" t="s">
        <v>412</v>
      </c>
    </row>
    <row r="33" spans="2:13" ht="15.75">
      <c r="B33" s="99" t="s">
        <v>73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4" ht="12.75">
      <c r="A34" s="26">
        <v>1</v>
      </c>
      <c r="B34" s="13" t="s">
        <v>297</v>
      </c>
      <c r="C34" s="13" t="s">
        <v>298</v>
      </c>
      <c r="D34" s="13" t="s">
        <v>392</v>
      </c>
      <c r="E34" s="13" t="str">
        <f>"0,6242"</f>
        <v>0,6242</v>
      </c>
      <c r="F34" s="13" t="s">
        <v>13</v>
      </c>
      <c r="G34" s="13" t="s">
        <v>283</v>
      </c>
      <c r="H34" s="42" t="s">
        <v>207</v>
      </c>
      <c r="I34" s="42" t="s">
        <v>108</v>
      </c>
      <c r="J34" s="42" t="s">
        <v>49</v>
      </c>
      <c r="K34" s="30"/>
      <c r="L34" s="36">
        <v>160</v>
      </c>
      <c r="M34" s="29" t="str">
        <f>"99,8800"</f>
        <v>99,8800</v>
      </c>
      <c r="N34" s="13" t="s">
        <v>409</v>
      </c>
    </row>
    <row r="35" spans="1:14" ht="12.75">
      <c r="A35" s="26">
        <v>2</v>
      </c>
      <c r="B35" s="15" t="s">
        <v>299</v>
      </c>
      <c r="C35" s="15" t="s">
        <v>300</v>
      </c>
      <c r="D35" s="15" t="s">
        <v>393</v>
      </c>
      <c r="E35" s="15" t="str">
        <f>"0,6259"</f>
        <v>0,6259</v>
      </c>
      <c r="F35" s="15" t="s">
        <v>13</v>
      </c>
      <c r="G35" s="15" t="s">
        <v>283</v>
      </c>
      <c r="H35" s="43" t="s">
        <v>99</v>
      </c>
      <c r="I35" s="43" t="s">
        <v>79</v>
      </c>
      <c r="J35" s="43" t="s">
        <v>301</v>
      </c>
      <c r="K35" s="32"/>
      <c r="L35" s="37">
        <v>147.5</v>
      </c>
      <c r="M35" s="31" t="str">
        <f>"92,3276"</f>
        <v>92,3276</v>
      </c>
      <c r="N35" s="15" t="s">
        <v>367</v>
      </c>
    </row>
    <row r="36" spans="1:14" ht="12.75">
      <c r="A36" s="26">
        <v>3</v>
      </c>
      <c r="B36" s="15" t="s">
        <v>302</v>
      </c>
      <c r="C36" s="15" t="s">
        <v>303</v>
      </c>
      <c r="D36" s="15" t="s">
        <v>394</v>
      </c>
      <c r="E36" s="15" t="str">
        <f>"0,6255"</f>
        <v>0,6255</v>
      </c>
      <c r="F36" s="15" t="s">
        <v>13</v>
      </c>
      <c r="G36" s="15" t="s">
        <v>14</v>
      </c>
      <c r="H36" s="43" t="s">
        <v>99</v>
      </c>
      <c r="I36" s="49" t="s">
        <v>207</v>
      </c>
      <c r="J36" s="49" t="s">
        <v>207</v>
      </c>
      <c r="K36" s="32"/>
      <c r="L36" s="37">
        <v>135</v>
      </c>
      <c r="M36" s="31" t="str">
        <f>"84,4425"</f>
        <v>84,4425</v>
      </c>
      <c r="N36" s="15" t="s">
        <v>367</v>
      </c>
    </row>
    <row r="37" spans="1:14" ht="12.75">
      <c r="A37" s="26">
        <v>4</v>
      </c>
      <c r="B37" s="14" t="s">
        <v>304</v>
      </c>
      <c r="C37" s="14" t="s">
        <v>305</v>
      </c>
      <c r="D37" s="14" t="s">
        <v>395</v>
      </c>
      <c r="E37" s="14" t="str">
        <f>"0,6290"</f>
        <v>0,6290</v>
      </c>
      <c r="F37" s="14" t="s">
        <v>13</v>
      </c>
      <c r="G37" s="14" t="s">
        <v>14</v>
      </c>
      <c r="H37" s="46" t="s">
        <v>48</v>
      </c>
      <c r="I37" s="44" t="s">
        <v>48</v>
      </c>
      <c r="J37" s="46" t="s">
        <v>99</v>
      </c>
      <c r="K37" s="33"/>
      <c r="L37" s="38">
        <v>132.5</v>
      </c>
      <c r="M37" s="34" t="str">
        <f>"83,3425"</f>
        <v>83,3425</v>
      </c>
      <c r="N37" s="14" t="s">
        <v>367</v>
      </c>
    </row>
    <row r="39" spans="2:13" ht="15.75">
      <c r="B39" s="99" t="s">
        <v>93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4" ht="12.75">
      <c r="A40" s="26">
        <v>1</v>
      </c>
      <c r="B40" s="13" t="s">
        <v>220</v>
      </c>
      <c r="C40" s="13" t="s">
        <v>221</v>
      </c>
      <c r="D40" s="13" t="s">
        <v>396</v>
      </c>
      <c r="E40" s="13" t="str">
        <f>"0,5853"</f>
        <v>0,5853</v>
      </c>
      <c r="F40" s="13" t="s">
        <v>13</v>
      </c>
      <c r="G40" s="13" t="s">
        <v>88</v>
      </c>
      <c r="H40" s="42" t="s">
        <v>53</v>
      </c>
      <c r="I40" s="30"/>
      <c r="J40" s="30"/>
      <c r="K40" s="30"/>
      <c r="L40" s="36">
        <v>180</v>
      </c>
      <c r="M40" s="29" t="str">
        <f>"105,3630"</f>
        <v>105,3630</v>
      </c>
      <c r="N40" s="13" t="s">
        <v>367</v>
      </c>
    </row>
    <row r="41" spans="1:14" ht="12.75">
      <c r="A41" s="26">
        <v>2</v>
      </c>
      <c r="B41" s="15" t="s">
        <v>306</v>
      </c>
      <c r="C41" s="15" t="s">
        <v>307</v>
      </c>
      <c r="D41" s="15" t="s">
        <v>397</v>
      </c>
      <c r="E41" s="15" t="str">
        <f>"0,5971"</f>
        <v>0,5971</v>
      </c>
      <c r="F41" s="15" t="s">
        <v>13</v>
      </c>
      <c r="G41" s="15" t="s">
        <v>14</v>
      </c>
      <c r="H41" s="43" t="s">
        <v>49</v>
      </c>
      <c r="I41" s="43" t="s">
        <v>33</v>
      </c>
      <c r="J41" s="43" t="s">
        <v>44</v>
      </c>
      <c r="K41" s="32"/>
      <c r="L41" s="37">
        <v>170</v>
      </c>
      <c r="M41" s="31" t="str">
        <f>"101,5070"</f>
        <v>101,5070</v>
      </c>
      <c r="N41" s="15" t="s">
        <v>367</v>
      </c>
    </row>
    <row r="42" spans="1:14" ht="12.75">
      <c r="A42" s="26">
        <v>3</v>
      </c>
      <c r="B42" s="15" t="s">
        <v>308</v>
      </c>
      <c r="C42" s="15" t="s">
        <v>309</v>
      </c>
      <c r="D42" s="15" t="s">
        <v>398</v>
      </c>
      <c r="E42" s="15" t="str">
        <f>"0,5917"</f>
        <v>0,5917</v>
      </c>
      <c r="F42" s="15" t="s">
        <v>13</v>
      </c>
      <c r="G42" s="15" t="s">
        <v>14</v>
      </c>
      <c r="H42" s="43" t="s">
        <v>65</v>
      </c>
      <c r="I42" s="43" t="s">
        <v>113</v>
      </c>
      <c r="J42" s="49" t="s">
        <v>114</v>
      </c>
      <c r="K42" s="32"/>
      <c r="L42" s="37">
        <v>162.5</v>
      </c>
      <c r="M42" s="31" t="str">
        <f>"96,1431"</f>
        <v>96,1431</v>
      </c>
      <c r="N42" s="15" t="s">
        <v>413</v>
      </c>
    </row>
    <row r="43" spans="1:14" ht="12.75">
      <c r="A43" s="26">
        <v>4</v>
      </c>
      <c r="B43" s="15" t="s">
        <v>310</v>
      </c>
      <c r="C43" s="15" t="s">
        <v>311</v>
      </c>
      <c r="D43" s="15" t="s">
        <v>399</v>
      </c>
      <c r="E43" s="15" t="str">
        <f>"0,5905"</f>
        <v>0,5905</v>
      </c>
      <c r="F43" s="15" t="s">
        <v>13</v>
      </c>
      <c r="G43" s="15" t="s">
        <v>14</v>
      </c>
      <c r="H43" s="43" t="s">
        <v>49</v>
      </c>
      <c r="I43" s="43" t="s">
        <v>113</v>
      </c>
      <c r="J43" s="49" t="s">
        <v>114</v>
      </c>
      <c r="K43" s="32"/>
      <c r="L43" s="37">
        <v>162.5</v>
      </c>
      <c r="M43" s="31" t="str">
        <f>"95,9562"</f>
        <v>95,9562</v>
      </c>
      <c r="N43" s="15" t="s">
        <v>414</v>
      </c>
    </row>
    <row r="44" spans="1:14" ht="12.75">
      <c r="A44" s="26">
        <v>5</v>
      </c>
      <c r="B44" s="15" t="s">
        <v>222</v>
      </c>
      <c r="C44" s="15" t="s">
        <v>223</v>
      </c>
      <c r="D44" s="15" t="s">
        <v>400</v>
      </c>
      <c r="E44" s="15" t="str">
        <f>"0,5828"</f>
        <v>0,5828</v>
      </c>
      <c r="F44" s="15" t="s">
        <v>13</v>
      </c>
      <c r="G44" s="15" t="s">
        <v>43</v>
      </c>
      <c r="H44" s="43" t="s">
        <v>65</v>
      </c>
      <c r="I44" s="32"/>
      <c r="J44" s="32"/>
      <c r="K44" s="32"/>
      <c r="L44" s="37">
        <v>155</v>
      </c>
      <c r="M44" s="31" t="str">
        <f>"90,3340"</f>
        <v>90,3340</v>
      </c>
      <c r="N44" s="15" t="s">
        <v>367</v>
      </c>
    </row>
    <row r="45" spans="1:14" ht="12.75">
      <c r="A45" s="26">
        <v>6</v>
      </c>
      <c r="B45" s="14" t="s">
        <v>104</v>
      </c>
      <c r="C45" s="14" t="s">
        <v>105</v>
      </c>
      <c r="D45" s="14" t="s">
        <v>401</v>
      </c>
      <c r="E45" s="14" t="str">
        <f>"0,5856"</f>
        <v>0,5856</v>
      </c>
      <c r="F45" s="14" t="s">
        <v>13</v>
      </c>
      <c r="G45" s="14" t="s">
        <v>14</v>
      </c>
      <c r="H45" s="44" t="s">
        <v>32</v>
      </c>
      <c r="I45" s="33"/>
      <c r="J45" s="33"/>
      <c r="K45" s="33"/>
      <c r="L45" s="38">
        <v>150</v>
      </c>
      <c r="M45" s="34" t="str">
        <f>"87,8400"</f>
        <v>87,8400</v>
      </c>
      <c r="N45" s="14" t="s">
        <v>365</v>
      </c>
    </row>
    <row r="47" spans="2:13" ht="15.75">
      <c r="B47" s="99" t="s">
        <v>109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1:14" ht="12.75">
      <c r="A48" s="26">
        <v>1</v>
      </c>
      <c r="B48" s="13" t="s">
        <v>312</v>
      </c>
      <c r="C48" s="13" t="s">
        <v>313</v>
      </c>
      <c r="D48" s="13" t="s">
        <v>402</v>
      </c>
      <c r="E48" s="13" t="str">
        <f>"0,5722"</f>
        <v>0,5722</v>
      </c>
      <c r="F48" s="13" t="s">
        <v>13</v>
      </c>
      <c r="G48" s="13" t="s">
        <v>14</v>
      </c>
      <c r="H48" s="42" t="s">
        <v>50</v>
      </c>
      <c r="I48" s="42" t="s">
        <v>59</v>
      </c>
      <c r="J48" s="42" t="s">
        <v>89</v>
      </c>
      <c r="K48" s="30"/>
      <c r="L48" s="36">
        <v>215</v>
      </c>
      <c r="M48" s="29" t="str">
        <f>"123,0230"</f>
        <v>123,0230</v>
      </c>
      <c r="N48" s="13" t="s">
        <v>415</v>
      </c>
    </row>
    <row r="49" spans="1:14" ht="12.75">
      <c r="A49" s="26">
        <v>2</v>
      </c>
      <c r="B49" s="15" t="s">
        <v>224</v>
      </c>
      <c r="C49" s="15" t="s">
        <v>225</v>
      </c>
      <c r="D49" s="15" t="s">
        <v>36</v>
      </c>
      <c r="E49" s="15" t="str">
        <f>"0,5663"</f>
        <v>0,5663</v>
      </c>
      <c r="F49" s="15" t="s">
        <v>13</v>
      </c>
      <c r="G49" s="15" t="s">
        <v>210</v>
      </c>
      <c r="H49" s="43" t="s">
        <v>130</v>
      </c>
      <c r="I49" s="32"/>
      <c r="J49" s="32"/>
      <c r="K49" s="32"/>
      <c r="L49" s="37">
        <v>192.5</v>
      </c>
      <c r="M49" s="31" t="str">
        <f>"109,0127"</f>
        <v>109,0127</v>
      </c>
      <c r="N49" s="15" t="s">
        <v>367</v>
      </c>
    </row>
    <row r="50" spans="1:14" ht="12.75">
      <c r="A50" s="26">
        <v>3</v>
      </c>
      <c r="B50" s="15" t="s">
        <v>314</v>
      </c>
      <c r="C50" s="15" t="s">
        <v>315</v>
      </c>
      <c r="D50" s="15" t="s">
        <v>403</v>
      </c>
      <c r="E50" s="15" t="str">
        <f>"0,5658"</f>
        <v>0,5658</v>
      </c>
      <c r="F50" s="15" t="s">
        <v>13</v>
      </c>
      <c r="G50" s="15" t="s">
        <v>14</v>
      </c>
      <c r="H50" s="43" t="s">
        <v>49</v>
      </c>
      <c r="I50" s="43" t="s">
        <v>44</v>
      </c>
      <c r="J50" s="49" t="s">
        <v>53</v>
      </c>
      <c r="K50" s="32"/>
      <c r="L50" s="37">
        <v>170</v>
      </c>
      <c r="M50" s="31" t="str">
        <f>"96,1860"</f>
        <v>96,1860</v>
      </c>
      <c r="N50" s="15" t="s">
        <v>416</v>
      </c>
    </row>
    <row r="51" spans="1:14" ht="12.75">
      <c r="A51" s="26">
        <v>4</v>
      </c>
      <c r="B51" s="15" t="s">
        <v>316</v>
      </c>
      <c r="C51" s="15" t="s">
        <v>317</v>
      </c>
      <c r="D51" s="15" t="s">
        <v>404</v>
      </c>
      <c r="E51" s="15" t="str">
        <f>"0,5716"</f>
        <v>0,5716</v>
      </c>
      <c r="F51" s="15" t="s">
        <v>13</v>
      </c>
      <c r="G51" s="15" t="s">
        <v>14</v>
      </c>
      <c r="H51" s="43" t="s">
        <v>114</v>
      </c>
      <c r="I51" s="49" t="s">
        <v>44</v>
      </c>
      <c r="J51" s="49" t="s">
        <v>44</v>
      </c>
      <c r="K51" s="32"/>
      <c r="L51" s="37">
        <v>167.5</v>
      </c>
      <c r="M51" s="31" t="str">
        <f>"95,7430"</f>
        <v>95,7430</v>
      </c>
      <c r="N51" s="15" t="s">
        <v>417</v>
      </c>
    </row>
    <row r="52" spans="1:14" ht="12.75">
      <c r="A52" s="26">
        <v>5</v>
      </c>
      <c r="B52" s="15" t="s">
        <v>318</v>
      </c>
      <c r="C52" s="15" t="s">
        <v>319</v>
      </c>
      <c r="D52" s="15" t="s">
        <v>403</v>
      </c>
      <c r="E52" s="15" t="str">
        <f>"0,5658"</f>
        <v>0,5658</v>
      </c>
      <c r="F52" s="15" t="s">
        <v>13</v>
      </c>
      <c r="G52" s="15" t="s">
        <v>263</v>
      </c>
      <c r="H52" s="43" t="s">
        <v>49</v>
      </c>
      <c r="I52" s="43" t="s">
        <v>114</v>
      </c>
      <c r="J52" s="49" t="s">
        <v>34</v>
      </c>
      <c r="K52" s="32"/>
      <c r="L52" s="37">
        <v>167.5</v>
      </c>
      <c r="M52" s="31" t="str">
        <f>"94,7715"</f>
        <v>94,7715</v>
      </c>
      <c r="N52" s="15" t="s">
        <v>367</v>
      </c>
    </row>
    <row r="53" spans="1:14" ht="12.75">
      <c r="A53" s="26">
        <v>6</v>
      </c>
      <c r="B53" s="15" t="s">
        <v>320</v>
      </c>
      <c r="C53" s="15" t="s">
        <v>321</v>
      </c>
      <c r="D53" s="15" t="s">
        <v>363</v>
      </c>
      <c r="E53" s="15" t="str">
        <f>"0,5738"</f>
        <v>0,5738</v>
      </c>
      <c r="F53" s="15" t="s">
        <v>13</v>
      </c>
      <c r="G53" s="15" t="s">
        <v>14</v>
      </c>
      <c r="H53" s="43" t="s">
        <v>49</v>
      </c>
      <c r="I53" s="49" t="s">
        <v>114</v>
      </c>
      <c r="J53" s="49" t="s">
        <v>114</v>
      </c>
      <c r="K53" s="32"/>
      <c r="L53" s="37">
        <v>160</v>
      </c>
      <c r="M53" s="31" t="str">
        <f>"91,8080"</f>
        <v>91,8080</v>
      </c>
      <c r="N53" s="15" t="s">
        <v>367</v>
      </c>
    </row>
    <row r="54" spans="1:14" ht="12.75">
      <c r="A54" s="26">
        <v>7</v>
      </c>
      <c r="B54" s="14" t="s">
        <v>322</v>
      </c>
      <c r="C54" s="14" t="s">
        <v>323</v>
      </c>
      <c r="D54" s="14" t="s">
        <v>403</v>
      </c>
      <c r="E54" s="14" t="str">
        <f>"0,5658"</f>
        <v>0,5658</v>
      </c>
      <c r="F54" s="14" t="s">
        <v>13</v>
      </c>
      <c r="G54" s="14" t="s">
        <v>14</v>
      </c>
      <c r="H54" s="44" t="s">
        <v>54</v>
      </c>
      <c r="I54" s="44" t="s">
        <v>301</v>
      </c>
      <c r="J54" s="44" t="s">
        <v>65</v>
      </c>
      <c r="K54" s="33"/>
      <c r="L54" s="38">
        <v>155</v>
      </c>
      <c r="M54" s="34" t="str">
        <f>"87,6990"</f>
        <v>87,6990</v>
      </c>
      <c r="N54" s="14" t="s">
        <v>367</v>
      </c>
    </row>
    <row r="57" spans="2:3" ht="18">
      <c r="B57" s="16" t="s">
        <v>132</v>
      </c>
      <c r="C57" s="16"/>
    </row>
    <row r="58" spans="2:3" ht="15.75">
      <c r="B58" s="17" t="s">
        <v>133</v>
      </c>
      <c r="C58" s="17"/>
    </row>
    <row r="59" spans="2:3" ht="13.5">
      <c r="B59" s="19"/>
      <c r="C59" s="20" t="s">
        <v>540</v>
      </c>
    </row>
    <row r="60" spans="2:6" ht="13.5">
      <c r="B60" s="21" t="s">
        <v>135</v>
      </c>
      <c r="C60" s="21" t="s">
        <v>136</v>
      </c>
      <c r="D60" s="21" t="s">
        <v>137</v>
      </c>
      <c r="E60" s="21" t="s">
        <v>138</v>
      </c>
      <c r="F60" s="21" t="s">
        <v>139</v>
      </c>
    </row>
    <row r="61" spans="1:6" ht="12.75">
      <c r="A61" s="26">
        <v>1</v>
      </c>
      <c r="B61" s="50" t="s">
        <v>177</v>
      </c>
      <c r="C61" s="23" t="s">
        <v>134</v>
      </c>
      <c r="D61" s="24" t="s">
        <v>418</v>
      </c>
      <c r="E61" s="24" t="s">
        <v>170</v>
      </c>
      <c r="F61" s="24" t="s">
        <v>324</v>
      </c>
    </row>
    <row r="62" spans="1:6" ht="12.75">
      <c r="A62" s="26">
        <v>2</v>
      </c>
      <c r="B62" s="50" t="s">
        <v>173</v>
      </c>
      <c r="C62" s="23" t="s">
        <v>134</v>
      </c>
      <c r="D62" s="24" t="s">
        <v>418</v>
      </c>
      <c r="E62" s="24" t="s">
        <v>169</v>
      </c>
      <c r="F62" s="24" t="s">
        <v>325</v>
      </c>
    </row>
    <row r="63" spans="1:6" ht="12.75">
      <c r="A63" s="26">
        <v>3</v>
      </c>
      <c r="B63" s="50" t="s">
        <v>180</v>
      </c>
      <c r="C63" s="23" t="s">
        <v>134</v>
      </c>
      <c r="D63" s="24" t="s">
        <v>419</v>
      </c>
      <c r="E63" s="24" t="s">
        <v>170</v>
      </c>
      <c r="F63" s="24" t="s">
        <v>326</v>
      </c>
    </row>
    <row r="66" spans="2:3" ht="15.75">
      <c r="B66" s="17" t="s">
        <v>140</v>
      </c>
      <c r="C66" s="17"/>
    </row>
    <row r="67" spans="2:3" ht="13.5">
      <c r="B67" s="19"/>
      <c r="C67" s="20" t="s">
        <v>540</v>
      </c>
    </row>
    <row r="68" spans="2:6" ht="13.5">
      <c r="B68" s="21" t="s">
        <v>135</v>
      </c>
      <c r="C68" s="21" t="s">
        <v>136</v>
      </c>
      <c r="D68" s="21" t="s">
        <v>137</v>
      </c>
      <c r="E68" s="21" t="s">
        <v>138</v>
      </c>
      <c r="F68" s="21" t="s">
        <v>139</v>
      </c>
    </row>
    <row r="69" spans="1:6" ht="12.75">
      <c r="A69" s="26">
        <v>1</v>
      </c>
      <c r="B69" s="50" t="s">
        <v>312</v>
      </c>
      <c r="C69" s="23" t="s">
        <v>134</v>
      </c>
      <c r="D69" s="24" t="s">
        <v>372</v>
      </c>
      <c r="E69" s="24" t="s">
        <v>89</v>
      </c>
      <c r="F69" s="24" t="s">
        <v>327</v>
      </c>
    </row>
    <row r="70" spans="1:6" ht="12.75">
      <c r="A70" s="26">
        <v>2</v>
      </c>
      <c r="B70" s="50" t="s">
        <v>224</v>
      </c>
      <c r="C70" s="23" t="s">
        <v>134</v>
      </c>
      <c r="D70" s="24" t="s">
        <v>372</v>
      </c>
      <c r="E70" s="24" t="s">
        <v>130</v>
      </c>
      <c r="F70" s="24" t="s">
        <v>328</v>
      </c>
    </row>
    <row r="71" spans="1:6" ht="12.75">
      <c r="A71" s="26">
        <v>3</v>
      </c>
      <c r="B71" s="50" t="s">
        <v>220</v>
      </c>
      <c r="C71" s="23" t="s">
        <v>134</v>
      </c>
      <c r="D71" s="24" t="s">
        <v>420</v>
      </c>
      <c r="E71" s="24" t="s">
        <v>53</v>
      </c>
      <c r="F71" s="24" t="s">
        <v>329</v>
      </c>
    </row>
  </sheetData>
  <sheetProtection/>
  <mergeCells count="21">
    <mergeCell ref="B20:M20"/>
    <mergeCell ref="B26:M26"/>
    <mergeCell ref="B33:M33"/>
    <mergeCell ref="B39:M39"/>
    <mergeCell ref="B47:M47"/>
    <mergeCell ref="M3:M4"/>
    <mergeCell ref="N3:N4"/>
    <mergeCell ref="B5:M5"/>
    <mergeCell ref="B10:M10"/>
    <mergeCell ref="B14:M14"/>
    <mergeCell ref="B17:M17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C13" sqref="C13"/>
    </sheetView>
  </sheetViews>
  <sheetFormatPr defaultColWidth="8.75390625" defaultRowHeight="12.75"/>
  <cols>
    <col min="1" max="1" width="9.125" style="26" customWidth="1"/>
    <col min="2" max="2" width="21.375" style="11" customWidth="1"/>
    <col min="3" max="3" width="25.375" style="11" customWidth="1"/>
    <col min="4" max="4" width="10.125" style="11" bestFit="1" customWidth="1"/>
    <col min="5" max="5" width="8.25390625" style="11" bestFit="1" customWidth="1"/>
    <col min="6" max="6" width="11.00390625" style="11" customWidth="1"/>
    <col min="7" max="7" width="28.00390625" style="11" customWidth="1"/>
    <col min="8" max="10" width="5.625" style="11" bestFit="1" customWidth="1"/>
    <col min="11" max="11" width="4.25390625" style="11" bestFit="1" customWidth="1"/>
    <col min="12" max="12" width="11.00390625" style="40" customWidth="1"/>
    <col min="13" max="13" width="8.625" style="11" bestFit="1" customWidth="1"/>
    <col min="14" max="14" width="16.125" style="11" customWidth="1"/>
  </cols>
  <sheetData>
    <row r="1" spans="1:14" s="1" customFormat="1" ht="15" customHeight="1">
      <c r="A1" s="25"/>
      <c r="B1" s="80" t="s">
        <v>541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1" customFormat="1" ht="106.5" customHeight="1" thickBot="1">
      <c r="A2" s="2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 thickBot="1">
      <c r="A3" s="79" t="s">
        <v>352</v>
      </c>
      <c r="B3" s="86" t="s">
        <v>0</v>
      </c>
      <c r="C3" s="87" t="s">
        <v>353</v>
      </c>
      <c r="D3" s="89" t="s">
        <v>354</v>
      </c>
      <c r="E3" s="90" t="s">
        <v>9</v>
      </c>
      <c r="F3" s="87" t="s">
        <v>7</v>
      </c>
      <c r="G3" s="92" t="s">
        <v>355</v>
      </c>
      <c r="H3" s="90" t="s">
        <v>2</v>
      </c>
      <c r="I3" s="90"/>
      <c r="J3" s="90"/>
      <c r="K3" s="90"/>
      <c r="L3" s="94" t="s">
        <v>368</v>
      </c>
      <c r="M3" s="90" t="s">
        <v>6</v>
      </c>
      <c r="N3" s="96" t="s">
        <v>5</v>
      </c>
    </row>
    <row r="4" spans="1:14" s="2" customFormat="1" ht="21" customHeight="1" thickBot="1">
      <c r="A4" s="79"/>
      <c r="B4" s="86"/>
      <c r="C4" s="88"/>
      <c r="D4" s="89"/>
      <c r="E4" s="91"/>
      <c r="F4" s="88"/>
      <c r="G4" s="93"/>
      <c r="H4" s="3">
        <v>1</v>
      </c>
      <c r="I4" s="3">
        <v>2</v>
      </c>
      <c r="J4" s="3">
        <v>3</v>
      </c>
      <c r="K4" s="3" t="s">
        <v>8</v>
      </c>
      <c r="L4" s="95"/>
      <c r="M4" s="91"/>
      <c r="N4" s="97"/>
    </row>
    <row r="5" spans="2:13" ht="15.75">
      <c r="B5" s="98" t="s">
        <v>164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4" ht="12.75">
      <c r="A6" s="26">
        <v>1</v>
      </c>
      <c r="B6" s="12" t="s">
        <v>165</v>
      </c>
      <c r="C6" s="12" t="s">
        <v>166</v>
      </c>
      <c r="D6" s="12" t="s">
        <v>356</v>
      </c>
      <c r="E6" s="12" t="str">
        <f>"1,1884"</f>
        <v>1,1884</v>
      </c>
      <c r="F6" s="12" t="s">
        <v>13</v>
      </c>
      <c r="G6" s="12" t="s">
        <v>14</v>
      </c>
      <c r="H6" s="41" t="s">
        <v>170</v>
      </c>
      <c r="I6" s="28"/>
      <c r="J6" s="28"/>
      <c r="K6" s="28"/>
      <c r="L6" s="35">
        <v>62.5</v>
      </c>
      <c r="M6" s="27" t="str">
        <f>"74,2750"</f>
        <v>74,2750</v>
      </c>
      <c r="N6" s="12" t="s">
        <v>433</v>
      </c>
    </row>
    <row r="8" spans="2:13" ht="15.75">
      <c r="B8" s="99" t="s">
        <v>21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4" ht="12.75">
      <c r="A9" s="26">
        <v>1</v>
      </c>
      <c r="B9" s="12" t="s">
        <v>239</v>
      </c>
      <c r="C9" s="12" t="s">
        <v>240</v>
      </c>
      <c r="D9" s="12" t="s">
        <v>423</v>
      </c>
      <c r="E9" s="12" t="str">
        <f>"0,8568"</f>
        <v>0,8568</v>
      </c>
      <c r="F9" s="12" t="s">
        <v>13</v>
      </c>
      <c r="G9" s="12" t="s">
        <v>14</v>
      </c>
      <c r="H9" s="41" t="s">
        <v>184</v>
      </c>
      <c r="I9" s="41" t="s">
        <v>193</v>
      </c>
      <c r="J9" s="45" t="s">
        <v>20</v>
      </c>
      <c r="K9" s="28"/>
      <c r="L9" s="35">
        <v>77.5</v>
      </c>
      <c r="M9" s="27" t="str">
        <f>"66,3981"</f>
        <v>66,3981</v>
      </c>
      <c r="N9" s="12" t="s">
        <v>434</v>
      </c>
    </row>
    <row r="11" spans="2:13" ht="15.75">
      <c r="B11" s="99" t="s">
        <v>28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4" ht="12.75">
      <c r="A12" s="26">
        <v>1</v>
      </c>
      <c r="B12" s="12" t="s">
        <v>29</v>
      </c>
      <c r="C12" s="12" t="s">
        <v>30</v>
      </c>
      <c r="D12" s="12" t="s">
        <v>424</v>
      </c>
      <c r="E12" s="12" t="str">
        <f>"0,7660"</f>
        <v>0,7660</v>
      </c>
      <c r="F12" s="12" t="s">
        <v>13</v>
      </c>
      <c r="G12" s="12" t="s">
        <v>31</v>
      </c>
      <c r="H12" s="41" t="s">
        <v>37</v>
      </c>
      <c r="I12" s="28"/>
      <c r="J12" s="28"/>
      <c r="K12" s="28"/>
      <c r="L12" s="35">
        <v>112.5</v>
      </c>
      <c r="M12" s="27" t="str">
        <f>"86,1750"</f>
        <v>86,1750</v>
      </c>
      <c r="N12" s="12" t="s">
        <v>435</v>
      </c>
    </row>
    <row r="14" spans="2:13" ht="15.75">
      <c r="B14" s="99" t="s">
        <v>40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4" ht="12.75">
      <c r="A15" s="26">
        <v>1</v>
      </c>
      <c r="B15" s="12" t="s">
        <v>241</v>
      </c>
      <c r="C15" s="12" t="s">
        <v>242</v>
      </c>
      <c r="D15" s="12" t="s">
        <v>425</v>
      </c>
      <c r="E15" s="12" t="str">
        <f>"0,7181"</f>
        <v>0,7181</v>
      </c>
      <c r="F15" s="12" t="s">
        <v>13</v>
      </c>
      <c r="G15" s="12" t="s">
        <v>243</v>
      </c>
      <c r="H15" s="41" t="s">
        <v>46</v>
      </c>
      <c r="I15" s="41" t="s">
        <v>54</v>
      </c>
      <c r="J15" s="45" t="s">
        <v>79</v>
      </c>
      <c r="K15" s="28"/>
      <c r="L15" s="35">
        <v>140</v>
      </c>
      <c r="M15" s="27" t="str">
        <f>"100,5270"</f>
        <v>100,5270</v>
      </c>
      <c r="N15" s="12" t="s">
        <v>367</v>
      </c>
    </row>
    <row r="17" spans="2:13" ht="15.75">
      <c r="B17" s="99" t="s">
        <v>73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4" ht="12.75">
      <c r="A18" s="26">
        <v>1</v>
      </c>
      <c r="B18" s="13" t="s">
        <v>82</v>
      </c>
      <c r="C18" s="13" t="s">
        <v>83</v>
      </c>
      <c r="D18" s="13" t="s">
        <v>24</v>
      </c>
      <c r="E18" s="13" t="str">
        <f>"0,6119"</f>
        <v>0,6119</v>
      </c>
      <c r="F18" s="13" t="s">
        <v>13</v>
      </c>
      <c r="G18" s="13" t="s">
        <v>14</v>
      </c>
      <c r="H18" s="42" t="s">
        <v>53</v>
      </c>
      <c r="I18" s="30"/>
      <c r="J18" s="30"/>
      <c r="K18" s="30"/>
      <c r="L18" s="36">
        <v>180</v>
      </c>
      <c r="M18" s="29" t="str">
        <f>"110,1330"</f>
        <v>110,1330</v>
      </c>
      <c r="N18" s="13" t="s">
        <v>436</v>
      </c>
    </row>
    <row r="19" spans="1:14" ht="12.75">
      <c r="A19" s="26">
        <v>2</v>
      </c>
      <c r="B19" s="15" t="s">
        <v>86</v>
      </c>
      <c r="C19" s="15" t="s">
        <v>87</v>
      </c>
      <c r="D19" s="15" t="s">
        <v>426</v>
      </c>
      <c r="E19" s="15" t="str">
        <f>"0,6213"</f>
        <v>0,6213</v>
      </c>
      <c r="F19" s="15" t="s">
        <v>13</v>
      </c>
      <c r="G19" s="15" t="s">
        <v>88</v>
      </c>
      <c r="H19" s="43" t="s">
        <v>44</v>
      </c>
      <c r="I19" s="32"/>
      <c r="J19" s="32"/>
      <c r="K19" s="32"/>
      <c r="L19" s="37">
        <v>170</v>
      </c>
      <c r="M19" s="31" t="str">
        <f>"105,6295"</f>
        <v>105,6295</v>
      </c>
      <c r="N19" s="15" t="s">
        <v>367</v>
      </c>
    </row>
    <row r="20" spans="1:14" ht="12.75">
      <c r="A20" s="26">
        <v>3</v>
      </c>
      <c r="B20" s="14" t="s">
        <v>244</v>
      </c>
      <c r="C20" s="14" t="s">
        <v>245</v>
      </c>
      <c r="D20" s="14" t="s">
        <v>377</v>
      </c>
      <c r="E20" s="14" t="str">
        <f>"0,6402"</f>
        <v>0,6402</v>
      </c>
      <c r="F20" s="14" t="s">
        <v>13</v>
      </c>
      <c r="G20" s="14" t="s">
        <v>14</v>
      </c>
      <c r="H20" s="44" t="s">
        <v>36</v>
      </c>
      <c r="I20" s="44" t="s">
        <v>27</v>
      </c>
      <c r="J20" s="44" t="s">
        <v>37</v>
      </c>
      <c r="K20" s="33"/>
      <c r="L20" s="38">
        <v>112.5</v>
      </c>
      <c r="M20" s="34" t="str">
        <f>"72,0169"</f>
        <v>72,0169</v>
      </c>
      <c r="N20" s="14" t="s">
        <v>367</v>
      </c>
    </row>
    <row r="22" spans="2:13" ht="15.75">
      <c r="B22" s="99" t="s">
        <v>93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4" ht="12.75">
      <c r="A23" s="26">
        <v>1</v>
      </c>
      <c r="B23" s="13" t="s">
        <v>104</v>
      </c>
      <c r="C23" s="13" t="s">
        <v>105</v>
      </c>
      <c r="D23" s="13" t="s">
        <v>401</v>
      </c>
      <c r="E23" s="13" t="str">
        <f>"0,5856"</f>
        <v>0,5856</v>
      </c>
      <c r="F23" s="13" t="s">
        <v>13</v>
      </c>
      <c r="G23" s="13" t="s">
        <v>14</v>
      </c>
      <c r="H23" s="42" t="s">
        <v>32</v>
      </c>
      <c r="I23" s="30"/>
      <c r="J23" s="30"/>
      <c r="K23" s="30"/>
      <c r="L23" s="36">
        <v>150</v>
      </c>
      <c r="M23" s="29" t="str">
        <f>"87,8400"</f>
        <v>87,8400</v>
      </c>
      <c r="N23" s="13" t="s">
        <v>433</v>
      </c>
    </row>
    <row r="24" spans="1:14" ht="12.75">
      <c r="A24" s="26">
        <v>2</v>
      </c>
      <c r="B24" s="14" t="s">
        <v>247</v>
      </c>
      <c r="C24" s="14" t="s">
        <v>248</v>
      </c>
      <c r="D24" s="14" t="s">
        <v>427</v>
      </c>
      <c r="E24" s="14" t="str">
        <f>"0,6010"</f>
        <v>0,6010</v>
      </c>
      <c r="F24" s="14" t="s">
        <v>13</v>
      </c>
      <c r="G24" s="14" t="s">
        <v>14</v>
      </c>
      <c r="H24" s="44" t="s">
        <v>72</v>
      </c>
      <c r="I24" s="46" t="s">
        <v>27</v>
      </c>
      <c r="J24" s="46" t="s">
        <v>27</v>
      </c>
      <c r="K24" s="33"/>
      <c r="L24" s="38">
        <v>105</v>
      </c>
      <c r="M24" s="34" t="str">
        <f>"63,0998"</f>
        <v>63,0998</v>
      </c>
      <c r="N24" s="14" t="s">
        <v>249</v>
      </c>
    </row>
    <row r="26" spans="2:13" ht="15.75">
      <c r="B26" s="99" t="s">
        <v>109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4" ht="12.75">
      <c r="A27" s="26">
        <v>1</v>
      </c>
      <c r="B27" s="13" t="s">
        <v>250</v>
      </c>
      <c r="C27" s="13" t="s">
        <v>251</v>
      </c>
      <c r="D27" s="13" t="s">
        <v>428</v>
      </c>
      <c r="E27" s="13" t="str">
        <f>"0,5718"</f>
        <v>0,5718</v>
      </c>
      <c r="F27" s="13" t="s">
        <v>13</v>
      </c>
      <c r="G27" s="13" t="s">
        <v>14</v>
      </c>
      <c r="H27" s="42" t="s">
        <v>130</v>
      </c>
      <c r="I27" s="42" t="s">
        <v>50</v>
      </c>
      <c r="J27" s="47" t="s">
        <v>107</v>
      </c>
      <c r="K27" s="30"/>
      <c r="L27" s="36">
        <v>200</v>
      </c>
      <c r="M27" s="29" t="str">
        <f>"114,3600"</f>
        <v>114,3600</v>
      </c>
      <c r="N27" s="13" t="s">
        <v>367</v>
      </c>
    </row>
    <row r="28" spans="1:14" ht="12.75">
      <c r="A28" s="26">
        <v>2</v>
      </c>
      <c r="B28" s="15" t="s">
        <v>117</v>
      </c>
      <c r="C28" s="15" t="s">
        <v>118</v>
      </c>
      <c r="D28" s="15" t="s">
        <v>378</v>
      </c>
      <c r="E28" s="15" t="str">
        <f>"0,5634"</f>
        <v>0,5634</v>
      </c>
      <c r="F28" s="15" t="s">
        <v>13</v>
      </c>
      <c r="G28" s="15" t="s">
        <v>119</v>
      </c>
      <c r="H28" s="43" t="s">
        <v>50</v>
      </c>
      <c r="I28" s="49" t="s">
        <v>219</v>
      </c>
      <c r="J28" s="49" t="s">
        <v>211</v>
      </c>
      <c r="K28" s="32"/>
      <c r="L28" s="37">
        <v>200</v>
      </c>
      <c r="M28" s="31" t="str">
        <f>"112,6700"</f>
        <v>112,6700</v>
      </c>
      <c r="N28" s="15" t="s">
        <v>366</v>
      </c>
    </row>
    <row r="29" spans="1:14" ht="12.75">
      <c r="A29" s="26">
        <v>3</v>
      </c>
      <c r="B29" s="14" t="s">
        <v>253</v>
      </c>
      <c r="C29" s="14" t="s">
        <v>254</v>
      </c>
      <c r="D29" s="14" t="s">
        <v>429</v>
      </c>
      <c r="E29" s="14" t="str">
        <f>"0,5666"</f>
        <v>0,5666</v>
      </c>
      <c r="F29" s="14" t="s">
        <v>13</v>
      </c>
      <c r="G29" s="14" t="s">
        <v>129</v>
      </c>
      <c r="H29" s="44" t="s">
        <v>45</v>
      </c>
      <c r="I29" s="46" t="s">
        <v>130</v>
      </c>
      <c r="J29" s="46" t="s">
        <v>130</v>
      </c>
      <c r="K29" s="33"/>
      <c r="L29" s="38">
        <v>185</v>
      </c>
      <c r="M29" s="34" t="str">
        <f>"104,8302"</f>
        <v>104,8302</v>
      </c>
      <c r="N29" s="14" t="s">
        <v>367</v>
      </c>
    </row>
    <row r="31" spans="2:13" ht="15.75">
      <c r="B31" s="99" t="s">
        <v>122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4" ht="12.75">
      <c r="A32" s="26">
        <v>1</v>
      </c>
      <c r="B32" s="13" t="s">
        <v>255</v>
      </c>
      <c r="C32" s="13" t="s">
        <v>256</v>
      </c>
      <c r="D32" s="13" t="s">
        <v>430</v>
      </c>
      <c r="E32" s="13" t="str">
        <f>"0,5583"</f>
        <v>0,5583</v>
      </c>
      <c r="F32" s="13" t="s">
        <v>13</v>
      </c>
      <c r="G32" s="13" t="s">
        <v>243</v>
      </c>
      <c r="H32" s="42" t="s">
        <v>60</v>
      </c>
      <c r="I32" s="47" t="s">
        <v>80</v>
      </c>
      <c r="J32" s="47" t="s">
        <v>80</v>
      </c>
      <c r="K32" s="30"/>
      <c r="L32" s="36">
        <v>220</v>
      </c>
      <c r="M32" s="29" t="str">
        <f>"122,8260"</f>
        <v>122,8260</v>
      </c>
      <c r="N32" s="13" t="s">
        <v>367</v>
      </c>
    </row>
    <row r="33" spans="1:14" ht="12.75">
      <c r="A33" s="26">
        <v>2</v>
      </c>
      <c r="B33" s="15" t="s">
        <v>257</v>
      </c>
      <c r="C33" s="15" t="s">
        <v>258</v>
      </c>
      <c r="D33" s="15" t="s">
        <v>431</v>
      </c>
      <c r="E33" s="15" t="str">
        <f>"0,5563"</f>
        <v>0,5563</v>
      </c>
      <c r="F33" s="15" t="s">
        <v>13</v>
      </c>
      <c r="G33" s="15" t="s">
        <v>259</v>
      </c>
      <c r="H33" s="43" t="s">
        <v>106</v>
      </c>
      <c r="I33" s="43" t="s">
        <v>260</v>
      </c>
      <c r="J33" s="49" t="s">
        <v>219</v>
      </c>
      <c r="K33" s="32"/>
      <c r="L33" s="37">
        <v>202.5</v>
      </c>
      <c r="M33" s="31" t="str">
        <f>"112,6609"</f>
        <v>112,6609</v>
      </c>
      <c r="N33" s="15" t="s">
        <v>437</v>
      </c>
    </row>
    <row r="34" spans="1:14" ht="12.75">
      <c r="A34" s="26">
        <v>3</v>
      </c>
      <c r="B34" s="15" t="s">
        <v>261</v>
      </c>
      <c r="C34" s="15" t="s">
        <v>262</v>
      </c>
      <c r="D34" s="15" t="s">
        <v>37</v>
      </c>
      <c r="E34" s="15" t="str">
        <f>"0,5591"</f>
        <v>0,5591</v>
      </c>
      <c r="F34" s="15" t="s">
        <v>13</v>
      </c>
      <c r="G34" s="15" t="s">
        <v>263</v>
      </c>
      <c r="H34" s="43" t="s">
        <v>44</v>
      </c>
      <c r="I34" s="43" t="s">
        <v>53</v>
      </c>
      <c r="J34" s="43" t="s">
        <v>264</v>
      </c>
      <c r="K34" s="32"/>
      <c r="L34" s="37">
        <v>187.5</v>
      </c>
      <c r="M34" s="31" t="str">
        <f>"104,8406"</f>
        <v>104,8406</v>
      </c>
      <c r="N34" s="15" t="s">
        <v>438</v>
      </c>
    </row>
    <row r="35" spans="1:14" ht="12.75">
      <c r="A35" s="26">
        <v>4</v>
      </c>
      <c r="B35" s="14" t="s">
        <v>265</v>
      </c>
      <c r="C35" s="14" t="s">
        <v>266</v>
      </c>
      <c r="D35" s="14" t="s">
        <v>432</v>
      </c>
      <c r="E35" s="14" t="str">
        <f>"0,5477"</f>
        <v>0,5477</v>
      </c>
      <c r="F35" s="14" t="s">
        <v>13</v>
      </c>
      <c r="G35" s="14" t="s">
        <v>14</v>
      </c>
      <c r="H35" s="44" t="s">
        <v>33</v>
      </c>
      <c r="I35" s="44" t="s">
        <v>39</v>
      </c>
      <c r="J35" s="46" t="s">
        <v>58</v>
      </c>
      <c r="K35" s="33"/>
      <c r="L35" s="38">
        <v>175</v>
      </c>
      <c r="M35" s="34" t="str">
        <f>"95,8562"</f>
        <v>95,8562</v>
      </c>
      <c r="N35" s="14" t="s">
        <v>439</v>
      </c>
    </row>
    <row r="37" spans="2:3" ht="18">
      <c r="B37" s="16" t="s">
        <v>132</v>
      </c>
      <c r="C37" s="16"/>
    </row>
    <row r="38" spans="2:3" ht="15.75">
      <c r="B38" s="17" t="s">
        <v>140</v>
      </c>
      <c r="C38" s="17"/>
    </row>
    <row r="39" spans="2:3" ht="13.5">
      <c r="B39" s="19"/>
      <c r="C39" s="20" t="s">
        <v>540</v>
      </c>
    </row>
    <row r="40" spans="2:6" ht="13.5">
      <c r="B40" s="21" t="s">
        <v>135</v>
      </c>
      <c r="C40" s="21" t="s">
        <v>136</v>
      </c>
      <c r="D40" s="21" t="s">
        <v>137</v>
      </c>
      <c r="E40" s="21" t="s">
        <v>138</v>
      </c>
      <c r="F40" s="21" t="s">
        <v>139</v>
      </c>
    </row>
    <row r="41" spans="1:6" ht="12.75">
      <c r="A41" s="26">
        <v>1</v>
      </c>
      <c r="B41" s="18" t="s">
        <v>255</v>
      </c>
      <c r="C41" s="23" t="s">
        <v>134</v>
      </c>
      <c r="D41" s="24" t="s">
        <v>422</v>
      </c>
      <c r="E41" s="24" t="s">
        <v>60</v>
      </c>
      <c r="F41" s="24" t="s">
        <v>267</v>
      </c>
    </row>
    <row r="42" spans="1:6" ht="12.75">
      <c r="A42" s="26">
        <v>2</v>
      </c>
      <c r="B42" s="18" t="s">
        <v>250</v>
      </c>
      <c r="C42" s="23" t="s">
        <v>134</v>
      </c>
      <c r="D42" s="24" t="s">
        <v>372</v>
      </c>
      <c r="E42" s="24" t="s">
        <v>50</v>
      </c>
      <c r="F42" s="24" t="s">
        <v>268</v>
      </c>
    </row>
    <row r="43" spans="1:6" ht="12.75">
      <c r="A43" s="26">
        <v>3</v>
      </c>
      <c r="B43" s="18" t="s">
        <v>117</v>
      </c>
      <c r="C43" s="23" t="s">
        <v>134</v>
      </c>
      <c r="D43" s="24" t="s">
        <v>372</v>
      </c>
      <c r="E43" s="24" t="s">
        <v>50</v>
      </c>
      <c r="F43" s="24" t="s">
        <v>269</v>
      </c>
    </row>
  </sheetData>
  <sheetProtection/>
  <mergeCells count="20">
    <mergeCell ref="F3:F4"/>
    <mergeCell ref="B14:M14"/>
    <mergeCell ref="B17:M17"/>
    <mergeCell ref="B22:M22"/>
    <mergeCell ref="B26:M26"/>
    <mergeCell ref="B31:M31"/>
    <mergeCell ref="L3:L4"/>
    <mergeCell ref="M3:M4"/>
    <mergeCell ref="G3:G4"/>
    <mergeCell ref="H3:K3"/>
    <mergeCell ref="A3:A4"/>
    <mergeCell ref="N3:N4"/>
    <mergeCell ref="B5:M5"/>
    <mergeCell ref="B8:M8"/>
    <mergeCell ref="B11:M11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C32" sqref="C32"/>
    </sheetView>
  </sheetViews>
  <sheetFormatPr defaultColWidth="9.125" defaultRowHeight="12.75"/>
  <cols>
    <col min="1" max="1" width="9.125" style="25" customWidth="1"/>
    <col min="2" max="2" width="22.25390625" style="61" customWidth="1"/>
    <col min="3" max="3" width="27.125" style="5" customWidth="1"/>
    <col min="4" max="4" width="10.125" style="5" bestFit="1" customWidth="1"/>
    <col min="5" max="5" width="8.25390625" style="5" bestFit="1" customWidth="1"/>
    <col min="6" max="6" width="12.625" style="5" customWidth="1"/>
    <col min="7" max="7" width="33.125" style="5" bestFit="1" customWidth="1"/>
    <col min="8" max="8" width="5.625" style="1" bestFit="1" customWidth="1"/>
    <col min="9" max="9" width="9.25390625" style="1" bestFit="1" customWidth="1"/>
    <col min="10" max="10" width="8.75390625" style="4" customWidth="1"/>
    <col min="11" max="11" width="9.625" style="1" bestFit="1" customWidth="1"/>
    <col min="12" max="12" width="16.25390625" style="5" customWidth="1"/>
    <col min="13" max="16384" width="9.125" style="1" customWidth="1"/>
  </cols>
  <sheetData>
    <row r="1" spans="2:12" ht="15" customHeight="1">
      <c r="B1" s="80" t="s">
        <v>537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2:12" ht="84.7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2" customFormat="1" ht="12.75" customHeight="1" thickBot="1">
      <c r="A3" s="79" t="s">
        <v>352</v>
      </c>
      <c r="B3" s="86" t="s">
        <v>0</v>
      </c>
      <c r="C3" s="87" t="s">
        <v>353</v>
      </c>
      <c r="D3" s="89" t="s">
        <v>354</v>
      </c>
      <c r="E3" s="90" t="s">
        <v>9</v>
      </c>
      <c r="F3" s="87" t="s">
        <v>7</v>
      </c>
      <c r="G3" s="92" t="s">
        <v>355</v>
      </c>
      <c r="H3" s="90" t="s">
        <v>2</v>
      </c>
      <c r="I3" s="90"/>
      <c r="J3" s="90" t="s">
        <v>488</v>
      </c>
      <c r="K3" s="90" t="s">
        <v>6</v>
      </c>
      <c r="L3" s="96" t="s">
        <v>5</v>
      </c>
    </row>
    <row r="4" spans="1:12" s="2" customFormat="1" ht="21" customHeight="1" thickBot="1">
      <c r="A4" s="79"/>
      <c r="B4" s="86"/>
      <c r="C4" s="88"/>
      <c r="D4" s="89"/>
      <c r="E4" s="91"/>
      <c r="F4" s="88"/>
      <c r="G4" s="93"/>
      <c r="H4" s="3" t="s">
        <v>475</v>
      </c>
      <c r="I4" s="3" t="s">
        <v>476</v>
      </c>
      <c r="J4" s="91"/>
      <c r="K4" s="91"/>
      <c r="L4" s="97"/>
    </row>
    <row r="5" spans="2:11" ht="15.75">
      <c r="B5" s="100" t="s">
        <v>172</v>
      </c>
      <c r="C5" s="98"/>
      <c r="D5" s="98"/>
      <c r="E5" s="98"/>
      <c r="F5" s="98"/>
      <c r="G5" s="98"/>
      <c r="H5" s="98"/>
      <c r="I5" s="98"/>
      <c r="J5" s="98"/>
      <c r="K5" s="98"/>
    </row>
    <row r="6" spans="1:12" ht="12.75">
      <c r="A6" s="25" t="s">
        <v>471</v>
      </c>
      <c r="B6" s="57" t="s">
        <v>177</v>
      </c>
      <c r="C6" s="6" t="s">
        <v>178</v>
      </c>
      <c r="D6" s="6" t="s">
        <v>179</v>
      </c>
      <c r="E6" s="6" t="str">
        <f>"1,1093"</f>
        <v>1,1093</v>
      </c>
      <c r="F6" s="6" t="s">
        <v>13</v>
      </c>
      <c r="G6" s="6" t="s">
        <v>14</v>
      </c>
      <c r="H6" s="67" t="s">
        <v>274</v>
      </c>
      <c r="I6" s="67" t="s">
        <v>527</v>
      </c>
      <c r="J6" s="67" t="s">
        <v>512</v>
      </c>
      <c r="K6" s="67" t="str">
        <f>"1106,5268"</f>
        <v>1106,5268</v>
      </c>
      <c r="L6" s="6" t="s">
        <v>406</v>
      </c>
    </row>
    <row r="8" spans="2:11" ht="15.75">
      <c r="B8" s="101" t="s">
        <v>40</v>
      </c>
      <c r="C8" s="99"/>
      <c r="D8" s="99"/>
      <c r="E8" s="99"/>
      <c r="F8" s="99"/>
      <c r="G8" s="99"/>
      <c r="H8" s="99"/>
      <c r="I8" s="99"/>
      <c r="J8" s="99"/>
      <c r="K8" s="99"/>
    </row>
    <row r="9" spans="1:12" ht="12.75">
      <c r="A9" s="25" t="s">
        <v>471</v>
      </c>
      <c r="B9" s="57" t="s">
        <v>278</v>
      </c>
      <c r="C9" s="6" t="s">
        <v>279</v>
      </c>
      <c r="D9" s="6" t="s">
        <v>280</v>
      </c>
      <c r="E9" s="6" t="str">
        <f>"0,7086"</f>
        <v>0,7086</v>
      </c>
      <c r="F9" s="6" t="s">
        <v>13</v>
      </c>
      <c r="G9" s="6" t="s">
        <v>14</v>
      </c>
      <c r="H9" s="67" t="s">
        <v>490</v>
      </c>
      <c r="I9" s="67" t="s">
        <v>528</v>
      </c>
      <c r="J9" s="67" t="s">
        <v>522</v>
      </c>
      <c r="K9" s="67" t="str">
        <f>"1335,8052"</f>
        <v>1335,8052</v>
      </c>
      <c r="L9" s="6" t="s">
        <v>367</v>
      </c>
    </row>
    <row r="11" spans="2:11" ht="15.75">
      <c r="B11" s="101" t="s">
        <v>55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2" ht="12.75">
      <c r="A12" s="25" t="s">
        <v>471</v>
      </c>
      <c r="B12" s="58" t="s">
        <v>491</v>
      </c>
      <c r="C12" s="7" t="s">
        <v>492</v>
      </c>
      <c r="D12" s="7" t="s">
        <v>292</v>
      </c>
      <c r="E12" s="7" t="str">
        <f>"0,6471"</f>
        <v>0,6471</v>
      </c>
      <c r="F12" s="7" t="s">
        <v>13</v>
      </c>
      <c r="G12" s="7" t="s">
        <v>14</v>
      </c>
      <c r="H12" s="68" t="s">
        <v>168</v>
      </c>
      <c r="I12" s="68" t="s">
        <v>529</v>
      </c>
      <c r="J12" s="68" t="s">
        <v>519</v>
      </c>
      <c r="K12" s="68" t="str">
        <f>"1655,0861"</f>
        <v>1655,0861</v>
      </c>
      <c r="L12" s="7" t="s">
        <v>367</v>
      </c>
    </row>
    <row r="13" spans="1:12" ht="12.75">
      <c r="A13" s="25" t="s">
        <v>472</v>
      </c>
      <c r="B13" s="60" t="s">
        <v>295</v>
      </c>
      <c r="C13" s="9" t="s">
        <v>296</v>
      </c>
      <c r="D13" s="9" t="s">
        <v>201</v>
      </c>
      <c r="E13" s="9" t="str">
        <f>"0,6446"</f>
        <v>0,6446</v>
      </c>
      <c r="F13" s="9" t="s">
        <v>13</v>
      </c>
      <c r="G13" s="9" t="s">
        <v>14</v>
      </c>
      <c r="H13" s="72" t="s">
        <v>168</v>
      </c>
      <c r="I13" s="72" t="s">
        <v>529</v>
      </c>
      <c r="J13" s="72" t="s">
        <v>519</v>
      </c>
      <c r="K13" s="72" t="str">
        <f>"1648,5644"</f>
        <v>1648,5644</v>
      </c>
      <c r="L13" s="9" t="s">
        <v>412</v>
      </c>
    </row>
    <row r="14" spans="1:12" ht="12.75">
      <c r="A14" s="25" t="s">
        <v>473</v>
      </c>
      <c r="B14" s="60" t="s">
        <v>493</v>
      </c>
      <c r="C14" s="9" t="s">
        <v>494</v>
      </c>
      <c r="D14" s="9" t="s">
        <v>495</v>
      </c>
      <c r="E14" s="9" t="str">
        <f>"0,6730"</f>
        <v>0,6730</v>
      </c>
      <c r="F14" s="9" t="s">
        <v>13</v>
      </c>
      <c r="G14" s="9" t="s">
        <v>14</v>
      </c>
      <c r="H14" s="72" t="s">
        <v>193</v>
      </c>
      <c r="I14" s="72" t="s">
        <v>528</v>
      </c>
      <c r="J14" s="72" t="s">
        <v>520</v>
      </c>
      <c r="K14" s="72" t="str">
        <f>"1356,1957"</f>
        <v>1356,1957</v>
      </c>
      <c r="L14" s="9" t="s">
        <v>367</v>
      </c>
    </row>
    <row r="15" spans="1:12" ht="12.75">
      <c r="A15" s="25" t="s">
        <v>474</v>
      </c>
      <c r="B15" s="60" t="s">
        <v>496</v>
      </c>
      <c r="C15" s="9" t="s">
        <v>497</v>
      </c>
      <c r="D15" s="9" t="s">
        <v>498</v>
      </c>
      <c r="E15" s="9" t="str">
        <f>"0,6682"</f>
        <v>0,6682</v>
      </c>
      <c r="F15" s="9" t="s">
        <v>13</v>
      </c>
      <c r="G15" s="9" t="s">
        <v>499</v>
      </c>
      <c r="H15" s="72" t="s">
        <v>19</v>
      </c>
      <c r="I15" s="72" t="s">
        <v>530</v>
      </c>
      <c r="J15" s="72" t="s">
        <v>521</v>
      </c>
      <c r="K15" s="72" t="str">
        <f>"1336,3000"</f>
        <v>1336,3000</v>
      </c>
      <c r="L15" s="9" t="s">
        <v>367</v>
      </c>
    </row>
    <row r="16" spans="1:12" ht="12.75">
      <c r="A16" s="25" t="s">
        <v>535</v>
      </c>
      <c r="B16" s="59" t="s">
        <v>500</v>
      </c>
      <c r="C16" s="8" t="s">
        <v>501</v>
      </c>
      <c r="D16" s="8" t="s">
        <v>502</v>
      </c>
      <c r="E16" s="8" t="str">
        <f>"0,6724"</f>
        <v>0,6724</v>
      </c>
      <c r="F16" s="8" t="s">
        <v>13</v>
      </c>
      <c r="G16" s="8" t="s">
        <v>14</v>
      </c>
      <c r="H16" s="71" t="s">
        <v>193</v>
      </c>
      <c r="I16" s="71" t="s">
        <v>527</v>
      </c>
      <c r="J16" s="71" t="s">
        <v>524</v>
      </c>
      <c r="K16" s="71" t="str">
        <f>"990,1090"</f>
        <v>990,1090</v>
      </c>
      <c r="L16" s="8" t="s">
        <v>367</v>
      </c>
    </row>
    <row r="18" spans="2:11" ht="15.75">
      <c r="B18" s="101" t="s">
        <v>73</v>
      </c>
      <c r="C18" s="99"/>
      <c r="D18" s="99"/>
      <c r="E18" s="99"/>
      <c r="F18" s="99"/>
      <c r="G18" s="99"/>
      <c r="H18" s="99"/>
      <c r="I18" s="99"/>
      <c r="J18" s="99"/>
      <c r="K18" s="99"/>
    </row>
    <row r="19" spans="1:12" ht="12.75">
      <c r="A19" s="25" t="s">
        <v>471</v>
      </c>
      <c r="B19" s="58" t="s">
        <v>82</v>
      </c>
      <c r="C19" s="7" t="s">
        <v>83</v>
      </c>
      <c r="D19" s="7" t="s">
        <v>84</v>
      </c>
      <c r="E19" s="7" t="str">
        <f>"0,6119"</f>
        <v>0,6119</v>
      </c>
      <c r="F19" s="7" t="s">
        <v>13</v>
      </c>
      <c r="G19" s="7" t="s">
        <v>14</v>
      </c>
      <c r="H19" s="68" t="s">
        <v>24</v>
      </c>
      <c r="I19" s="68" t="s">
        <v>531</v>
      </c>
      <c r="J19" s="68" t="s">
        <v>513</v>
      </c>
      <c r="K19" s="68" t="str">
        <f>"2092,5271"</f>
        <v>2092,5271</v>
      </c>
      <c r="L19" s="7" t="s">
        <v>536</v>
      </c>
    </row>
    <row r="20" spans="1:12" ht="12.75">
      <c r="A20" s="25" t="s">
        <v>472</v>
      </c>
      <c r="B20" s="60" t="s">
        <v>503</v>
      </c>
      <c r="C20" s="9" t="s">
        <v>504</v>
      </c>
      <c r="D20" s="9" t="s">
        <v>206</v>
      </c>
      <c r="E20" s="9" t="str">
        <f>"0,6169"</f>
        <v>0,6169</v>
      </c>
      <c r="F20" s="9" t="s">
        <v>13</v>
      </c>
      <c r="G20" s="9" t="s">
        <v>499</v>
      </c>
      <c r="H20" s="72" t="s">
        <v>24</v>
      </c>
      <c r="I20" s="72" t="s">
        <v>486</v>
      </c>
      <c r="J20" s="72" t="s">
        <v>517</v>
      </c>
      <c r="K20" s="72" t="str">
        <f>"1887,5611"</f>
        <v>1887,5611</v>
      </c>
      <c r="L20" s="9" t="s">
        <v>367</v>
      </c>
    </row>
    <row r="21" spans="1:12" ht="12.75">
      <c r="A21" s="25" t="s">
        <v>473</v>
      </c>
      <c r="B21" s="59" t="s">
        <v>244</v>
      </c>
      <c r="C21" s="8" t="s">
        <v>245</v>
      </c>
      <c r="D21" s="8" t="s">
        <v>246</v>
      </c>
      <c r="E21" s="8" t="str">
        <f>"0,6402"</f>
        <v>0,6402</v>
      </c>
      <c r="F21" s="8" t="s">
        <v>13</v>
      </c>
      <c r="G21" s="8" t="s">
        <v>14</v>
      </c>
      <c r="H21" s="71" t="s">
        <v>20</v>
      </c>
      <c r="I21" s="71" t="s">
        <v>532</v>
      </c>
      <c r="J21" s="71" t="s">
        <v>525</v>
      </c>
      <c r="K21" s="71" t="str">
        <f>"816,1913"</f>
        <v>816,1913</v>
      </c>
      <c r="L21" s="8" t="s">
        <v>367</v>
      </c>
    </row>
    <row r="23" spans="2:11" ht="15.75">
      <c r="B23" s="101" t="s">
        <v>93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1:12" ht="12.75">
      <c r="A24" s="25" t="s">
        <v>471</v>
      </c>
      <c r="B24" s="58" t="s">
        <v>505</v>
      </c>
      <c r="C24" s="7" t="s">
        <v>506</v>
      </c>
      <c r="D24" s="7" t="s">
        <v>507</v>
      </c>
      <c r="E24" s="7" t="str">
        <f>"0,6047"</f>
        <v>0,6047</v>
      </c>
      <c r="F24" s="7" t="s">
        <v>13</v>
      </c>
      <c r="G24" s="7" t="s">
        <v>14</v>
      </c>
      <c r="H24" s="68" t="s">
        <v>508</v>
      </c>
      <c r="I24" s="68" t="s">
        <v>527</v>
      </c>
      <c r="J24" s="68" t="s">
        <v>523</v>
      </c>
      <c r="K24" s="68" t="str">
        <f>"1062,7603"</f>
        <v>1062,7603</v>
      </c>
      <c r="L24" s="7" t="s">
        <v>367</v>
      </c>
    </row>
    <row r="25" spans="1:12" ht="12.75">
      <c r="A25" s="25" t="s">
        <v>472</v>
      </c>
      <c r="B25" s="59" t="s">
        <v>509</v>
      </c>
      <c r="C25" s="8" t="s">
        <v>510</v>
      </c>
      <c r="D25" s="8" t="s">
        <v>511</v>
      </c>
      <c r="E25" s="8" t="str">
        <f>"0,5977"</f>
        <v>0,5977</v>
      </c>
      <c r="F25" s="8" t="s">
        <v>13</v>
      </c>
      <c r="G25" s="8" t="s">
        <v>14</v>
      </c>
      <c r="H25" s="71" t="s">
        <v>35</v>
      </c>
      <c r="I25" s="71" t="s">
        <v>533</v>
      </c>
      <c r="J25" s="71" t="s">
        <v>526</v>
      </c>
      <c r="K25" s="71" t="str">
        <f>"567,8150"</f>
        <v>567,8150</v>
      </c>
      <c r="L25" s="8" t="s">
        <v>467</v>
      </c>
    </row>
    <row r="27" spans="2:11" ht="15.75">
      <c r="B27" s="101" t="s">
        <v>109</v>
      </c>
      <c r="C27" s="99"/>
      <c r="D27" s="99"/>
      <c r="E27" s="99"/>
      <c r="F27" s="99"/>
      <c r="G27" s="99"/>
      <c r="H27" s="99"/>
      <c r="I27" s="99"/>
      <c r="J27" s="99"/>
      <c r="K27" s="99"/>
    </row>
    <row r="28" spans="1:12" ht="12.75">
      <c r="A28" s="25" t="s">
        <v>471</v>
      </c>
      <c r="B28" s="57" t="s">
        <v>250</v>
      </c>
      <c r="C28" s="6" t="s">
        <v>251</v>
      </c>
      <c r="D28" s="6" t="s">
        <v>252</v>
      </c>
      <c r="E28" s="6" t="str">
        <f>"0,5718"</f>
        <v>0,5718</v>
      </c>
      <c r="F28" s="6" t="s">
        <v>13</v>
      </c>
      <c r="G28" s="6" t="s">
        <v>14</v>
      </c>
      <c r="H28" s="67" t="s">
        <v>72</v>
      </c>
      <c r="I28" s="67" t="s">
        <v>534</v>
      </c>
      <c r="J28" s="67" t="s">
        <v>515</v>
      </c>
      <c r="K28" s="67" t="str">
        <f>"1981,2870"</f>
        <v>1981,2870</v>
      </c>
      <c r="L28" s="6" t="s">
        <v>367</v>
      </c>
    </row>
    <row r="30" spans="2:3" ht="18">
      <c r="B30" s="53" t="s">
        <v>132</v>
      </c>
      <c r="C30" s="53"/>
    </row>
    <row r="31" spans="2:3" ht="15.75">
      <c r="B31" s="54" t="s">
        <v>140</v>
      </c>
      <c r="C31" s="54"/>
    </row>
    <row r="32" spans="2:3" ht="13.5">
      <c r="B32" s="62"/>
      <c r="C32" s="55" t="s">
        <v>540</v>
      </c>
    </row>
    <row r="33" spans="2:6" ht="13.5">
      <c r="B33" s="63" t="s">
        <v>135</v>
      </c>
      <c r="C33" s="56" t="s">
        <v>136</v>
      </c>
      <c r="D33" s="56" t="s">
        <v>137</v>
      </c>
      <c r="E33" s="56" t="s">
        <v>138</v>
      </c>
      <c r="F33" s="10" t="s">
        <v>139</v>
      </c>
    </row>
    <row r="34" spans="1:6" ht="12.75">
      <c r="A34" s="25" t="s">
        <v>471</v>
      </c>
      <c r="B34" s="64" t="s">
        <v>82</v>
      </c>
      <c r="C34" s="1" t="s">
        <v>134</v>
      </c>
      <c r="D34" s="25" t="s">
        <v>371</v>
      </c>
      <c r="E34" s="25" t="s">
        <v>513</v>
      </c>
      <c r="F34" s="25" t="s">
        <v>514</v>
      </c>
    </row>
    <row r="35" spans="1:6" ht="12.75">
      <c r="A35" s="25" t="s">
        <v>472</v>
      </c>
      <c r="B35" s="64" t="s">
        <v>250</v>
      </c>
      <c r="C35" s="1" t="s">
        <v>134</v>
      </c>
      <c r="D35" s="25" t="s">
        <v>27</v>
      </c>
      <c r="E35" s="25" t="s">
        <v>515</v>
      </c>
      <c r="F35" s="25" t="s">
        <v>516</v>
      </c>
    </row>
    <row r="36" spans="1:6" ht="12.75">
      <c r="A36" s="25" t="s">
        <v>473</v>
      </c>
      <c r="B36" s="64" t="s">
        <v>503</v>
      </c>
      <c r="C36" s="1" t="s">
        <v>134</v>
      </c>
      <c r="D36" s="25" t="s">
        <v>371</v>
      </c>
      <c r="E36" s="25" t="s">
        <v>517</v>
      </c>
      <c r="F36" s="25" t="s">
        <v>518</v>
      </c>
    </row>
    <row r="37" spans="4:5" ht="12.75">
      <c r="D37" s="4"/>
      <c r="E37" s="4"/>
    </row>
  </sheetData>
  <sheetProtection/>
  <mergeCells count="1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7:K27"/>
    <mergeCell ref="A3:A4"/>
    <mergeCell ref="L3:L4"/>
    <mergeCell ref="B5:K5"/>
    <mergeCell ref="B8:K8"/>
    <mergeCell ref="B11:K11"/>
    <mergeCell ref="B18:K18"/>
    <mergeCell ref="B23:K2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20" sqref="C20:C21"/>
    </sheetView>
  </sheetViews>
  <sheetFormatPr defaultColWidth="8.75390625" defaultRowHeight="12.75"/>
  <cols>
    <col min="1" max="1" width="7.625" style="26" customWidth="1"/>
    <col min="2" max="2" width="24.75390625" style="11" bestFit="1" customWidth="1"/>
    <col min="3" max="3" width="26.00390625" style="11" customWidth="1"/>
    <col min="4" max="4" width="10.125" style="11" bestFit="1" customWidth="1"/>
    <col min="5" max="5" width="8.25390625" style="11" bestFit="1" customWidth="1"/>
    <col min="6" max="6" width="16.375" style="11" customWidth="1"/>
    <col min="7" max="7" width="22.75390625" style="11" bestFit="1" customWidth="1"/>
    <col min="8" max="8" width="7.00390625" style="11" customWidth="1"/>
    <col min="9" max="9" width="9.25390625" style="11" bestFit="1" customWidth="1"/>
    <col min="10" max="10" width="8.875" style="11" customWidth="1"/>
    <col min="11" max="11" width="9.625" style="11" bestFit="1" customWidth="1"/>
    <col min="12" max="12" width="18.75390625" style="11" bestFit="1" customWidth="1"/>
  </cols>
  <sheetData>
    <row r="1" spans="1:12" s="1" customFormat="1" ht="15" customHeight="1">
      <c r="A1" s="25"/>
      <c r="B1" s="80" t="s">
        <v>489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1" customFormat="1" ht="97.5" customHeight="1" thickBot="1">
      <c r="A2" s="25"/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2" customFormat="1" ht="12.75" customHeight="1" thickBot="1">
      <c r="A3" s="79" t="s">
        <v>352</v>
      </c>
      <c r="B3" s="86" t="s">
        <v>0</v>
      </c>
      <c r="C3" s="87" t="s">
        <v>353</v>
      </c>
      <c r="D3" s="89" t="s">
        <v>354</v>
      </c>
      <c r="E3" s="90" t="s">
        <v>9</v>
      </c>
      <c r="F3" s="87" t="s">
        <v>7</v>
      </c>
      <c r="G3" s="92" t="s">
        <v>355</v>
      </c>
      <c r="H3" s="90" t="s">
        <v>2</v>
      </c>
      <c r="I3" s="90"/>
      <c r="J3" s="90" t="s">
        <v>488</v>
      </c>
      <c r="K3" s="90" t="s">
        <v>6</v>
      </c>
      <c r="L3" s="96" t="s">
        <v>5</v>
      </c>
    </row>
    <row r="4" spans="1:12" s="2" customFormat="1" ht="21" customHeight="1" thickBot="1">
      <c r="A4" s="79"/>
      <c r="B4" s="86"/>
      <c r="C4" s="88"/>
      <c r="D4" s="89"/>
      <c r="E4" s="91"/>
      <c r="F4" s="88"/>
      <c r="G4" s="93"/>
      <c r="H4" s="3" t="s">
        <v>475</v>
      </c>
      <c r="I4" s="3" t="s">
        <v>476</v>
      </c>
      <c r="J4" s="91"/>
      <c r="K4" s="91"/>
      <c r="L4" s="97"/>
    </row>
    <row r="5" spans="2:11" ht="15.75">
      <c r="B5" s="98" t="s">
        <v>164</v>
      </c>
      <c r="C5" s="98"/>
      <c r="D5" s="98"/>
      <c r="E5" s="98"/>
      <c r="F5" s="98"/>
      <c r="G5" s="98"/>
      <c r="H5" s="98"/>
      <c r="I5" s="98"/>
      <c r="J5" s="98"/>
      <c r="K5" s="98"/>
    </row>
    <row r="6" spans="1:12" ht="12.75">
      <c r="A6" s="26">
        <v>1</v>
      </c>
      <c r="B6" s="12" t="s">
        <v>165</v>
      </c>
      <c r="C6" s="12" t="s">
        <v>166</v>
      </c>
      <c r="D6" s="12" t="s">
        <v>356</v>
      </c>
      <c r="E6" s="12" t="str">
        <f>"1,1884"</f>
        <v>1,1884</v>
      </c>
      <c r="F6" s="12" t="s">
        <v>13</v>
      </c>
      <c r="G6" s="12" t="s">
        <v>14</v>
      </c>
      <c r="H6" s="27" t="s">
        <v>477</v>
      </c>
      <c r="I6" s="27" t="s">
        <v>485</v>
      </c>
      <c r="J6" s="27" t="s">
        <v>482</v>
      </c>
      <c r="K6" s="27" t="str">
        <f>"1842,0200"</f>
        <v>1842,0200</v>
      </c>
      <c r="L6" s="12" t="s">
        <v>365</v>
      </c>
    </row>
    <row r="8" spans="2:11" ht="15.75">
      <c r="B8" s="99" t="s">
        <v>172</v>
      </c>
      <c r="C8" s="99"/>
      <c r="D8" s="99"/>
      <c r="E8" s="99"/>
      <c r="F8" s="99"/>
      <c r="G8" s="99"/>
      <c r="H8" s="99"/>
      <c r="I8" s="99"/>
      <c r="J8" s="99"/>
      <c r="K8" s="99"/>
    </row>
    <row r="9" spans="1:12" ht="12.75">
      <c r="A9" s="26">
        <v>2</v>
      </c>
      <c r="B9" s="12" t="s">
        <v>173</v>
      </c>
      <c r="C9" s="12" t="s">
        <v>174</v>
      </c>
      <c r="D9" s="12" t="s">
        <v>357</v>
      </c>
      <c r="E9" s="12" t="str">
        <f>"1,1195"</f>
        <v>1,1195</v>
      </c>
      <c r="F9" s="12" t="s">
        <v>13</v>
      </c>
      <c r="G9" s="12" t="s">
        <v>14</v>
      </c>
      <c r="H9" s="27" t="s">
        <v>478</v>
      </c>
      <c r="I9" s="27" t="s">
        <v>486</v>
      </c>
      <c r="J9" s="27" t="s">
        <v>483</v>
      </c>
      <c r="K9" s="27" t="str">
        <f>"1046,7325"</f>
        <v>1046,7325</v>
      </c>
      <c r="L9" s="12" t="s">
        <v>366</v>
      </c>
    </row>
    <row r="11" spans="2:11" ht="15.75">
      <c r="B11" s="99" t="s">
        <v>40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2" ht="12.75">
      <c r="A12" s="26">
        <v>3</v>
      </c>
      <c r="B12" s="12" t="s">
        <v>479</v>
      </c>
      <c r="C12" s="12" t="s">
        <v>480</v>
      </c>
      <c r="D12" s="12" t="s">
        <v>484</v>
      </c>
      <c r="E12" s="12" t="str">
        <f>"0,8773"</f>
        <v>0,8773</v>
      </c>
      <c r="F12" s="12" t="s">
        <v>13</v>
      </c>
      <c r="G12" s="12" t="s">
        <v>14</v>
      </c>
      <c r="H12" s="27" t="s">
        <v>16</v>
      </c>
      <c r="I12" s="27" t="s">
        <v>487</v>
      </c>
      <c r="J12" s="27" t="s">
        <v>481</v>
      </c>
      <c r="K12" s="27" t="str">
        <f>"2640,6731"</f>
        <v>2640,6731</v>
      </c>
      <c r="L12" s="12" t="s">
        <v>365</v>
      </c>
    </row>
  </sheetData>
  <sheetProtection/>
  <mergeCells count="15">
    <mergeCell ref="F3:F4"/>
    <mergeCell ref="G3:G4"/>
    <mergeCell ref="H3:I3"/>
    <mergeCell ref="J3:J4"/>
    <mergeCell ref="K3:K4"/>
    <mergeCell ref="L3:L4"/>
    <mergeCell ref="B5:K5"/>
    <mergeCell ref="B8:K8"/>
    <mergeCell ref="B11:K11"/>
    <mergeCell ref="A3:A4"/>
    <mergeCell ref="B1:L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C32" sqref="C32"/>
    </sheetView>
  </sheetViews>
  <sheetFormatPr defaultColWidth="8.75390625" defaultRowHeight="12.75"/>
  <cols>
    <col min="1" max="1" width="7.25390625" style="26" customWidth="1"/>
    <col min="2" max="2" width="21.125" style="11" customWidth="1"/>
    <col min="3" max="3" width="25.875" style="11" customWidth="1"/>
    <col min="4" max="4" width="10.125" style="11" bestFit="1" customWidth="1"/>
    <col min="5" max="5" width="8.25390625" style="11" bestFit="1" customWidth="1"/>
    <col min="6" max="6" width="17.00390625" style="11" customWidth="1"/>
    <col min="7" max="7" width="24.875" style="11" customWidth="1"/>
    <col min="8" max="10" width="5.625" style="11" bestFit="1" customWidth="1"/>
    <col min="11" max="11" width="4.25390625" style="11" bestFit="1" customWidth="1"/>
    <col min="12" max="12" width="11.125" style="40" customWidth="1"/>
    <col min="13" max="13" width="8.625" style="11" bestFit="1" customWidth="1"/>
    <col min="14" max="14" width="18.75390625" style="11" bestFit="1" customWidth="1"/>
  </cols>
  <sheetData>
    <row r="1" spans="1:14" s="1" customFormat="1" ht="15" customHeight="1">
      <c r="A1" s="25"/>
      <c r="B1" s="80" t="s">
        <v>369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1" customFormat="1" ht="95.25" customHeight="1" thickBot="1">
      <c r="A2" s="2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 thickBot="1">
      <c r="A3" s="79" t="s">
        <v>352</v>
      </c>
      <c r="B3" s="86" t="s">
        <v>0</v>
      </c>
      <c r="C3" s="87" t="s">
        <v>353</v>
      </c>
      <c r="D3" s="89" t="s">
        <v>354</v>
      </c>
      <c r="E3" s="90" t="s">
        <v>9</v>
      </c>
      <c r="F3" s="87" t="s">
        <v>7</v>
      </c>
      <c r="G3" s="92" t="s">
        <v>355</v>
      </c>
      <c r="H3" s="102" t="s">
        <v>3</v>
      </c>
      <c r="I3" s="90"/>
      <c r="J3" s="90"/>
      <c r="K3" s="90"/>
      <c r="L3" s="94" t="s">
        <v>368</v>
      </c>
      <c r="M3" s="90" t="s">
        <v>6</v>
      </c>
      <c r="N3" s="96" t="s">
        <v>5</v>
      </c>
    </row>
    <row r="4" spans="1:14" s="2" customFormat="1" ht="21" customHeight="1" thickBot="1">
      <c r="A4" s="79"/>
      <c r="B4" s="86"/>
      <c r="C4" s="88"/>
      <c r="D4" s="89"/>
      <c r="E4" s="91"/>
      <c r="F4" s="88"/>
      <c r="G4" s="93"/>
      <c r="H4" s="22">
        <v>1</v>
      </c>
      <c r="I4" s="3">
        <v>2</v>
      </c>
      <c r="J4" s="3">
        <v>3</v>
      </c>
      <c r="K4" s="3" t="s">
        <v>8</v>
      </c>
      <c r="L4" s="95"/>
      <c r="M4" s="91"/>
      <c r="N4" s="97"/>
    </row>
    <row r="5" spans="2:13" ht="15.75">
      <c r="B5" s="98" t="s">
        <v>164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4" ht="12.75">
      <c r="A6" s="26">
        <v>1</v>
      </c>
      <c r="B6" s="12" t="s">
        <v>165</v>
      </c>
      <c r="C6" s="12" t="s">
        <v>166</v>
      </c>
      <c r="D6" s="12" t="s">
        <v>356</v>
      </c>
      <c r="E6" s="12" t="str">
        <f>"1,1884"</f>
        <v>1,1884</v>
      </c>
      <c r="F6" s="12" t="s">
        <v>13</v>
      </c>
      <c r="G6" s="12" t="s">
        <v>14</v>
      </c>
      <c r="H6" s="41" t="s">
        <v>71</v>
      </c>
      <c r="I6" s="28"/>
      <c r="J6" s="28"/>
      <c r="K6" s="28"/>
      <c r="L6" s="35">
        <v>100</v>
      </c>
      <c r="M6" s="27" t="str">
        <f>"118,8400"</f>
        <v>118,8400</v>
      </c>
      <c r="N6" s="12" t="s">
        <v>365</v>
      </c>
    </row>
    <row r="8" spans="2:13" ht="15.75">
      <c r="B8" s="99" t="s">
        <v>172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4" ht="12.75">
      <c r="A9" s="26">
        <v>1</v>
      </c>
      <c r="B9" s="12" t="s">
        <v>173</v>
      </c>
      <c r="C9" s="12" t="s">
        <v>174</v>
      </c>
      <c r="D9" s="12" t="s">
        <v>357</v>
      </c>
      <c r="E9" s="12" t="str">
        <f>"1,1195"</f>
        <v>1,1195</v>
      </c>
      <c r="F9" s="12" t="s">
        <v>13</v>
      </c>
      <c r="G9" s="12" t="s">
        <v>14</v>
      </c>
      <c r="H9" s="41" t="s">
        <v>27</v>
      </c>
      <c r="I9" s="28"/>
      <c r="J9" s="28"/>
      <c r="K9" s="28"/>
      <c r="L9" s="35">
        <v>110</v>
      </c>
      <c r="M9" s="27" t="str">
        <f>"123,1450"</f>
        <v>123,1450</v>
      </c>
      <c r="N9" s="12" t="s">
        <v>366</v>
      </c>
    </row>
    <row r="11" spans="2:13" ht="15.75">
      <c r="B11" s="99" t="s">
        <v>28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4" ht="12.75">
      <c r="A12" s="26">
        <v>1</v>
      </c>
      <c r="B12" s="12" t="s">
        <v>191</v>
      </c>
      <c r="C12" s="12" t="s">
        <v>192</v>
      </c>
      <c r="D12" s="12" t="s">
        <v>358</v>
      </c>
      <c r="E12" s="12" t="str">
        <f>"0,7841"</f>
        <v>0,7841</v>
      </c>
      <c r="F12" s="12" t="s">
        <v>13</v>
      </c>
      <c r="G12" s="12" t="s">
        <v>88</v>
      </c>
      <c r="H12" s="41" t="s">
        <v>38</v>
      </c>
      <c r="I12" s="28"/>
      <c r="J12" s="28"/>
      <c r="K12" s="28"/>
      <c r="L12" s="35">
        <v>145</v>
      </c>
      <c r="M12" s="27" t="str">
        <f>"113,6945"</f>
        <v>113,6945</v>
      </c>
      <c r="N12" s="12" t="s">
        <v>367</v>
      </c>
    </row>
    <row r="14" spans="2:13" ht="15.75">
      <c r="B14" s="99" t="s">
        <v>55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4" ht="12.75">
      <c r="A15" s="26">
        <v>1</v>
      </c>
      <c r="B15" s="12" t="s">
        <v>339</v>
      </c>
      <c r="C15" s="12" t="s">
        <v>340</v>
      </c>
      <c r="D15" s="12" t="s">
        <v>19</v>
      </c>
      <c r="E15" s="12" t="str">
        <f>"0,6578"</f>
        <v>0,6578</v>
      </c>
      <c r="F15" s="12" t="s">
        <v>13</v>
      </c>
      <c r="G15" s="12" t="s">
        <v>14</v>
      </c>
      <c r="H15" s="41" t="s">
        <v>44</v>
      </c>
      <c r="I15" s="45" t="s">
        <v>58</v>
      </c>
      <c r="J15" s="41" t="s">
        <v>58</v>
      </c>
      <c r="K15" s="28"/>
      <c r="L15" s="35">
        <v>190</v>
      </c>
      <c r="M15" s="27" t="str">
        <f>"124,9820"</f>
        <v>124,9820</v>
      </c>
      <c r="N15" s="12" t="s">
        <v>366</v>
      </c>
    </row>
    <row r="17" spans="2:13" ht="15.75">
      <c r="B17" s="99" t="s">
        <v>73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4" ht="12.75">
      <c r="A18" s="26">
        <v>1</v>
      </c>
      <c r="B18" s="13" t="s">
        <v>208</v>
      </c>
      <c r="C18" s="13" t="s">
        <v>209</v>
      </c>
      <c r="D18" s="13" t="s">
        <v>359</v>
      </c>
      <c r="E18" s="13" t="str">
        <f>"0,6201"</f>
        <v>0,6201</v>
      </c>
      <c r="F18" s="13" t="s">
        <v>13</v>
      </c>
      <c r="G18" s="13" t="s">
        <v>210</v>
      </c>
      <c r="H18" s="42" t="s">
        <v>212</v>
      </c>
      <c r="I18" s="30"/>
      <c r="J18" s="30"/>
      <c r="K18" s="30"/>
      <c r="L18" s="36">
        <v>257.5</v>
      </c>
      <c r="M18" s="29" t="str">
        <f>"159,6758"</f>
        <v>159,6758</v>
      </c>
      <c r="N18" s="13" t="s">
        <v>367</v>
      </c>
    </row>
    <row r="19" spans="1:14" ht="12.75">
      <c r="A19" s="26">
        <v>2</v>
      </c>
      <c r="B19" s="15" t="s">
        <v>204</v>
      </c>
      <c r="C19" s="15" t="s">
        <v>205</v>
      </c>
      <c r="D19" s="15" t="s">
        <v>360</v>
      </c>
      <c r="E19" s="15" t="str">
        <f>"0,6169"</f>
        <v>0,6169</v>
      </c>
      <c r="F19" s="15" t="s">
        <v>13</v>
      </c>
      <c r="G19" s="15" t="s">
        <v>88</v>
      </c>
      <c r="H19" s="43" t="s">
        <v>112</v>
      </c>
      <c r="I19" s="32"/>
      <c r="J19" s="32"/>
      <c r="K19" s="32"/>
      <c r="L19" s="37">
        <v>255</v>
      </c>
      <c r="M19" s="31" t="str">
        <f>"157,2968"</f>
        <v>157,2968</v>
      </c>
      <c r="N19" s="15" t="s">
        <v>367</v>
      </c>
    </row>
    <row r="20" spans="1:14" ht="12.75">
      <c r="A20" s="26">
        <v>3</v>
      </c>
      <c r="B20" s="15" t="s">
        <v>213</v>
      </c>
      <c r="C20" s="15" t="s">
        <v>214</v>
      </c>
      <c r="D20" s="15" t="s">
        <v>24</v>
      </c>
      <c r="E20" s="15" t="str">
        <f>"0,6119"</f>
        <v>0,6119</v>
      </c>
      <c r="F20" s="15" t="s">
        <v>13</v>
      </c>
      <c r="G20" s="15" t="s">
        <v>14</v>
      </c>
      <c r="H20" s="43" t="s">
        <v>58</v>
      </c>
      <c r="I20" s="43" t="s">
        <v>50</v>
      </c>
      <c r="J20" s="43" t="s">
        <v>215</v>
      </c>
      <c r="K20" s="32"/>
      <c r="L20" s="37">
        <v>217.5</v>
      </c>
      <c r="M20" s="31" t="str">
        <f>"133,0774"</f>
        <v>133,0774</v>
      </c>
      <c r="N20" s="15" t="s">
        <v>365</v>
      </c>
    </row>
    <row r="21" spans="1:14" ht="12.75">
      <c r="A21" s="26">
        <v>4</v>
      </c>
      <c r="B21" s="14" t="s">
        <v>341</v>
      </c>
      <c r="C21" s="14" t="s">
        <v>342</v>
      </c>
      <c r="D21" s="14" t="s">
        <v>361</v>
      </c>
      <c r="E21" s="14" t="str">
        <f>"0,6137"</f>
        <v>0,6137</v>
      </c>
      <c r="F21" s="14" t="s">
        <v>13</v>
      </c>
      <c r="G21" s="14" t="s">
        <v>343</v>
      </c>
      <c r="H21" s="46" t="s">
        <v>58</v>
      </c>
      <c r="I21" s="44" t="s">
        <v>58</v>
      </c>
      <c r="J21" s="44" t="s">
        <v>260</v>
      </c>
      <c r="K21" s="33"/>
      <c r="L21" s="38">
        <v>202.5</v>
      </c>
      <c r="M21" s="34" t="str">
        <f>"124,2844"</f>
        <v>124,2844</v>
      </c>
      <c r="N21" s="14" t="s">
        <v>367</v>
      </c>
    </row>
    <row r="23" spans="2:13" ht="15.75">
      <c r="B23" s="99" t="s">
        <v>93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4" ht="12.75">
      <c r="A24" s="26">
        <v>1</v>
      </c>
      <c r="B24" s="12" t="s">
        <v>344</v>
      </c>
      <c r="C24" s="12" t="s">
        <v>345</v>
      </c>
      <c r="D24" s="12" t="s">
        <v>362</v>
      </c>
      <c r="E24" s="12" t="str">
        <f>"0,5816"</f>
        <v>0,5816</v>
      </c>
      <c r="F24" s="12" t="s">
        <v>13</v>
      </c>
      <c r="G24" s="12" t="s">
        <v>14</v>
      </c>
      <c r="H24" s="41" t="s">
        <v>80</v>
      </c>
      <c r="I24" s="41" t="s">
        <v>81</v>
      </c>
      <c r="J24" s="45" t="s">
        <v>61</v>
      </c>
      <c r="K24" s="28"/>
      <c r="L24" s="35">
        <v>240</v>
      </c>
      <c r="M24" s="27" t="str">
        <f>"139,5720"</f>
        <v>139,5720</v>
      </c>
      <c r="N24" s="12" t="s">
        <v>367</v>
      </c>
    </row>
    <row r="25" spans="8:13" ht="12.75">
      <c r="H25" s="24"/>
      <c r="I25" s="24"/>
      <c r="J25" s="24"/>
      <c r="K25" s="24"/>
      <c r="L25" s="39"/>
      <c r="M25" s="24"/>
    </row>
    <row r="26" spans="2:13" ht="15.75">
      <c r="B26" s="99" t="s">
        <v>109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4" ht="12.75">
      <c r="A27" s="26">
        <v>1</v>
      </c>
      <c r="B27" s="13" t="s">
        <v>320</v>
      </c>
      <c r="C27" s="13" t="s">
        <v>321</v>
      </c>
      <c r="D27" s="13" t="s">
        <v>363</v>
      </c>
      <c r="E27" s="13" t="str">
        <f>"0,5738"</f>
        <v>0,5738</v>
      </c>
      <c r="F27" s="13" t="s">
        <v>13</v>
      </c>
      <c r="G27" s="13" t="s">
        <v>14</v>
      </c>
      <c r="H27" s="47" t="s">
        <v>103</v>
      </c>
      <c r="I27" s="42" t="s">
        <v>81</v>
      </c>
      <c r="J27" s="42" t="s">
        <v>61</v>
      </c>
      <c r="K27" s="30"/>
      <c r="L27" s="36">
        <v>250</v>
      </c>
      <c r="M27" s="29" t="str">
        <f>"143,4500"</f>
        <v>143,4500</v>
      </c>
      <c r="N27" s="13" t="s">
        <v>367</v>
      </c>
    </row>
    <row r="28" spans="1:14" ht="12.75">
      <c r="A28" s="26">
        <v>2</v>
      </c>
      <c r="B28" s="14" t="s">
        <v>346</v>
      </c>
      <c r="C28" s="14" t="s">
        <v>347</v>
      </c>
      <c r="D28" s="14" t="s">
        <v>364</v>
      </c>
      <c r="E28" s="14" t="str">
        <f>"0,5727"</f>
        <v>0,5727</v>
      </c>
      <c r="F28" s="14" t="s">
        <v>13</v>
      </c>
      <c r="G28" s="14" t="s">
        <v>14</v>
      </c>
      <c r="H28" s="44" t="s">
        <v>89</v>
      </c>
      <c r="I28" s="44" t="s">
        <v>80</v>
      </c>
      <c r="J28" s="44" t="s">
        <v>348</v>
      </c>
      <c r="K28" s="33"/>
      <c r="L28" s="38">
        <v>235</v>
      </c>
      <c r="M28" s="34" t="str">
        <f>"134,5962"</f>
        <v>134,5962</v>
      </c>
      <c r="N28" s="14" t="s">
        <v>367</v>
      </c>
    </row>
    <row r="30" spans="2:3" ht="18">
      <c r="B30" s="16" t="s">
        <v>132</v>
      </c>
      <c r="C30" s="16"/>
    </row>
    <row r="31" spans="2:3" ht="15.75">
      <c r="B31" s="17" t="s">
        <v>140</v>
      </c>
      <c r="C31" s="17"/>
    </row>
    <row r="32" spans="2:3" ht="13.5">
      <c r="B32" s="19"/>
      <c r="C32" s="20" t="s">
        <v>540</v>
      </c>
    </row>
    <row r="33" spans="2:6" ht="13.5">
      <c r="B33" s="21" t="s">
        <v>135</v>
      </c>
      <c r="C33" s="21" t="s">
        <v>136</v>
      </c>
      <c r="D33" s="21" t="s">
        <v>137</v>
      </c>
      <c r="E33" s="21" t="s">
        <v>138</v>
      </c>
      <c r="F33" s="21" t="s">
        <v>139</v>
      </c>
    </row>
    <row r="34" spans="1:6" ht="12.75">
      <c r="A34" s="26">
        <v>1</v>
      </c>
      <c r="B34" s="18" t="s">
        <v>208</v>
      </c>
      <c r="C34" s="23" t="s">
        <v>134</v>
      </c>
      <c r="D34" s="24" t="s">
        <v>371</v>
      </c>
      <c r="E34" s="24" t="s">
        <v>212</v>
      </c>
      <c r="F34" s="24" t="s">
        <v>349</v>
      </c>
    </row>
    <row r="35" spans="1:6" ht="12.75">
      <c r="A35" s="26">
        <v>2</v>
      </c>
      <c r="B35" s="18" t="s">
        <v>204</v>
      </c>
      <c r="C35" s="23" t="s">
        <v>134</v>
      </c>
      <c r="D35" s="24" t="s">
        <v>24</v>
      </c>
      <c r="E35" s="24" t="s">
        <v>112</v>
      </c>
      <c r="F35" s="24" t="s">
        <v>350</v>
      </c>
    </row>
    <row r="36" spans="1:6" ht="12.75">
      <c r="A36" s="26">
        <v>3</v>
      </c>
      <c r="B36" s="18" t="s">
        <v>320</v>
      </c>
      <c r="C36" s="23" t="s">
        <v>134</v>
      </c>
      <c r="D36" s="24" t="s">
        <v>372</v>
      </c>
      <c r="E36" s="24" t="s">
        <v>61</v>
      </c>
      <c r="F36" s="24" t="s">
        <v>351</v>
      </c>
    </row>
  </sheetData>
  <sheetProtection/>
  <mergeCells count="19">
    <mergeCell ref="F3:F4"/>
    <mergeCell ref="B14:M14"/>
    <mergeCell ref="B17:M17"/>
    <mergeCell ref="B23:M23"/>
    <mergeCell ref="B26:M26"/>
    <mergeCell ref="L3:L4"/>
    <mergeCell ref="M3:M4"/>
    <mergeCell ref="G3:G4"/>
    <mergeCell ref="H3:K3"/>
    <mergeCell ref="A3:A4"/>
    <mergeCell ref="N3:N4"/>
    <mergeCell ref="B5:M5"/>
    <mergeCell ref="B8:M8"/>
    <mergeCell ref="B11:M11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C26" sqref="C26"/>
    </sheetView>
  </sheetViews>
  <sheetFormatPr defaultColWidth="8.75390625" defaultRowHeight="12.75"/>
  <cols>
    <col min="1" max="1" width="9.125" style="26" customWidth="1"/>
    <col min="2" max="2" width="20.75390625" style="11" customWidth="1"/>
    <col min="3" max="3" width="25.375" style="11" customWidth="1"/>
    <col min="4" max="4" width="10.125" style="11" bestFit="1" customWidth="1"/>
    <col min="5" max="5" width="8.25390625" style="11" bestFit="1" customWidth="1"/>
    <col min="6" max="6" width="13.25390625" style="11" customWidth="1"/>
    <col min="7" max="7" width="25.375" style="11" bestFit="1" customWidth="1"/>
    <col min="8" max="10" width="5.625" style="11" bestFit="1" customWidth="1"/>
    <col min="11" max="11" width="4.25390625" style="11" bestFit="1" customWidth="1"/>
    <col min="12" max="12" width="10.375" style="40" customWidth="1"/>
    <col min="13" max="13" width="8.625" style="11" bestFit="1" customWidth="1"/>
    <col min="14" max="14" width="16.375" style="11" bestFit="1" customWidth="1"/>
  </cols>
  <sheetData>
    <row r="1" spans="1:14" s="1" customFormat="1" ht="15" customHeight="1">
      <c r="A1" s="25"/>
      <c r="B1" s="80" t="s">
        <v>374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1" customFormat="1" ht="90" customHeight="1" thickBot="1">
      <c r="A2" s="2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 thickBot="1">
      <c r="A3" s="79" t="s">
        <v>352</v>
      </c>
      <c r="B3" s="86" t="s">
        <v>0</v>
      </c>
      <c r="C3" s="87" t="s">
        <v>353</v>
      </c>
      <c r="D3" s="89" t="s">
        <v>354</v>
      </c>
      <c r="E3" s="90" t="s">
        <v>9</v>
      </c>
      <c r="F3" s="87" t="s">
        <v>7</v>
      </c>
      <c r="G3" s="92" t="s">
        <v>355</v>
      </c>
      <c r="H3" s="102" t="s">
        <v>3</v>
      </c>
      <c r="I3" s="90"/>
      <c r="J3" s="90"/>
      <c r="K3" s="90"/>
      <c r="L3" s="94" t="s">
        <v>368</v>
      </c>
      <c r="M3" s="90" t="s">
        <v>6</v>
      </c>
      <c r="N3" s="96" t="s">
        <v>5</v>
      </c>
    </row>
    <row r="4" spans="1:14" s="2" customFormat="1" ht="21" customHeight="1" thickBot="1">
      <c r="A4" s="79"/>
      <c r="B4" s="86"/>
      <c r="C4" s="88"/>
      <c r="D4" s="89"/>
      <c r="E4" s="91"/>
      <c r="F4" s="88"/>
      <c r="G4" s="93"/>
      <c r="H4" s="22">
        <v>1</v>
      </c>
      <c r="I4" s="3">
        <v>2</v>
      </c>
      <c r="J4" s="3">
        <v>3</v>
      </c>
      <c r="K4" s="3" t="s">
        <v>8</v>
      </c>
      <c r="L4" s="95"/>
      <c r="M4" s="91"/>
      <c r="N4" s="97"/>
    </row>
    <row r="5" spans="2:13" ht="15.75">
      <c r="B5" s="98" t="s">
        <v>21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4" ht="12.75">
      <c r="A6" s="26">
        <v>1</v>
      </c>
      <c r="B6" s="12" t="s">
        <v>22</v>
      </c>
      <c r="C6" s="12" t="s">
        <v>23</v>
      </c>
      <c r="D6" s="12" t="s">
        <v>373</v>
      </c>
      <c r="E6" s="12" t="str">
        <f>"1,0277"</f>
        <v>1,0277</v>
      </c>
      <c r="F6" s="12" t="s">
        <v>13</v>
      </c>
      <c r="G6" s="12" t="s">
        <v>14</v>
      </c>
      <c r="H6" s="41" t="s">
        <v>27</v>
      </c>
      <c r="I6" s="41" t="s">
        <v>176</v>
      </c>
      <c r="J6" s="41" t="s">
        <v>46</v>
      </c>
      <c r="K6" s="28"/>
      <c r="L6" s="35">
        <v>120</v>
      </c>
      <c r="M6" s="27" t="str">
        <f>"123,3240"</f>
        <v>123,3240</v>
      </c>
      <c r="N6" s="12" t="s">
        <v>370</v>
      </c>
    </row>
    <row r="8" spans="2:13" ht="15.75">
      <c r="B8" s="99" t="s">
        <v>21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4" ht="12.75">
      <c r="A9" s="26">
        <v>1</v>
      </c>
      <c r="B9" s="12" t="s">
        <v>330</v>
      </c>
      <c r="C9" s="12" t="s">
        <v>331</v>
      </c>
      <c r="D9" s="12" t="s">
        <v>375</v>
      </c>
      <c r="E9" s="12" t="str">
        <f>"0,8523"</f>
        <v>0,8523</v>
      </c>
      <c r="F9" s="12" t="s">
        <v>13</v>
      </c>
      <c r="G9" s="12" t="s">
        <v>243</v>
      </c>
      <c r="H9" s="41" t="s">
        <v>46</v>
      </c>
      <c r="I9" s="41" t="s">
        <v>69</v>
      </c>
      <c r="J9" s="41" t="s">
        <v>54</v>
      </c>
      <c r="K9" s="28"/>
      <c r="L9" s="35">
        <v>140</v>
      </c>
      <c r="M9" s="27" t="str">
        <f>"119,3290"</f>
        <v>119,3290</v>
      </c>
      <c r="N9" s="12" t="s">
        <v>332</v>
      </c>
    </row>
    <row r="11" spans="2:13" ht="15.75">
      <c r="B11" s="99" t="s">
        <v>55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4" ht="12.75">
      <c r="A12" s="26">
        <v>1</v>
      </c>
      <c r="B12" s="12" t="s">
        <v>333</v>
      </c>
      <c r="C12" s="12" t="s">
        <v>334</v>
      </c>
      <c r="D12" s="12" t="s">
        <v>376</v>
      </c>
      <c r="E12" s="12" t="str">
        <f>"0,6573"</f>
        <v>0,6573</v>
      </c>
      <c r="F12" s="12" t="s">
        <v>13</v>
      </c>
      <c r="G12" s="12" t="s">
        <v>14</v>
      </c>
      <c r="H12" s="41" t="s">
        <v>61</v>
      </c>
      <c r="I12" s="41" t="s">
        <v>62</v>
      </c>
      <c r="J12" s="45" t="s">
        <v>85</v>
      </c>
      <c r="K12" s="28"/>
      <c r="L12" s="35">
        <v>260</v>
      </c>
      <c r="M12" s="27" t="str">
        <f>"170,8980"</f>
        <v>170,8980</v>
      </c>
      <c r="N12" s="12" t="s">
        <v>367</v>
      </c>
    </row>
    <row r="14" spans="2:13" ht="15.75">
      <c r="B14" s="99" t="s">
        <v>73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4" ht="12.75">
      <c r="A15" s="26">
        <v>1</v>
      </c>
      <c r="B15" s="12" t="s">
        <v>244</v>
      </c>
      <c r="C15" s="12" t="s">
        <v>245</v>
      </c>
      <c r="D15" s="12" t="s">
        <v>377</v>
      </c>
      <c r="E15" s="12" t="str">
        <f>"0,6402"</f>
        <v>0,6402</v>
      </c>
      <c r="F15" s="12" t="s">
        <v>13</v>
      </c>
      <c r="G15" s="12" t="s">
        <v>14</v>
      </c>
      <c r="H15" s="41" t="s">
        <v>38</v>
      </c>
      <c r="I15" s="41" t="s">
        <v>65</v>
      </c>
      <c r="J15" s="41" t="s">
        <v>33</v>
      </c>
      <c r="K15" s="28"/>
      <c r="L15" s="35">
        <v>165</v>
      </c>
      <c r="M15" s="27" t="str">
        <f>"105,6248"</f>
        <v>105,6248</v>
      </c>
      <c r="N15" s="12" t="s">
        <v>367</v>
      </c>
    </row>
    <row r="17" spans="2:13" ht="15.75">
      <c r="B17" s="99" t="s">
        <v>109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4" ht="12.75">
      <c r="A18" s="26">
        <v>1</v>
      </c>
      <c r="B18" s="12" t="s">
        <v>117</v>
      </c>
      <c r="C18" s="12" t="s">
        <v>118</v>
      </c>
      <c r="D18" s="12" t="s">
        <v>378</v>
      </c>
      <c r="E18" s="12" t="str">
        <f>"0,5634"</f>
        <v>0,5634</v>
      </c>
      <c r="F18" s="12" t="s">
        <v>13</v>
      </c>
      <c r="G18" s="12" t="s">
        <v>539</v>
      </c>
      <c r="H18" s="41" t="s">
        <v>98</v>
      </c>
      <c r="I18" s="41" t="s">
        <v>121</v>
      </c>
      <c r="J18" s="45" t="s">
        <v>335</v>
      </c>
      <c r="K18" s="28"/>
      <c r="L18" s="35">
        <v>320</v>
      </c>
      <c r="M18" s="27" t="str">
        <f>"180,2720"</f>
        <v>180,2720</v>
      </c>
      <c r="N18" s="12" t="s">
        <v>366</v>
      </c>
    </row>
    <row r="20" spans="2:13" ht="15.75">
      <c r="B20" s="99" t="s">
        <v>122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4" ht="12.75">
      <c r="A21" s="26">
        <v>1</v>
      </c>
      <c r="B21" s="12" t="s">
        <v>261</v>
      </c>
      <c r="C21" s="12" t="s">
        <v>262</v>
      </c>
      <c r="D21" s="12" t="s">
        <v>37</v>
      </c>
      <c r="E21" s="12" t="str">
        <f>"0,5591"</f>
        <v>0,5591</v>
      </c>
      <c r="F21" s="12" t="s">
        <v>13</v>
      </c>
      <c r="G21" s="12" t="s">
        <v>263</v>
      </c>
      <c r="H21" s="41" t="s">
        <v>62</v>
      </c>
      <c r="I21" s="41" t="s">
        <v>125</v>
      </c>
      <c r="J21" s="41" t="s">
        <v>100</v>
      </c>
      <c r="K21" s="28"/>
      <c r="L21" s="35">
        <v>282.5</v>
      </c>
      <c r="M21" s="27" t="str">
        <f>"157,9599"</f>
        <v>157,9599</v>
      </c>
      <c r="N21" s="12" t="s">
        <v>379</v>
      </c>
    </row>
    <row r="24" spans="2:3" ht="18">
      <c r="B24" s="16" t="s">
        <v>132</v>
      </c>
      <c r="C24" s="16"/>
    </row>
    <row r="25" spans="2:3" ht="15.75">
      <c r="B25" s="17" t="s">
        <v>140</v>
      </c>
      <c r="C25" s="17"/>
    </row>
    <row r="26" spans="2:3" ht="13.5">
      <c r="B26" s="19"/>
      <c r="C26" s="20" t="s">
        <v>540</v>
      </c>
    </row>
    <row r="27" spans="2:6" ht="13.5">
      <c r="B27" s="21" t="s">
        <v>135</v>
      </c>
      <c r="C27" s="21" t="s">
        <v>136</v>
      </c>
      <c r="D27" s="21" t="s">
        <v>137</v>
      </c>
      <c r="E27" s="21" t="s">
        <v>138</v>
      </c>
      <c r="F27" s="21" t="s">
        <v>139</v>
      </c>
    </row>
    <row r="28" spans="1:6" ht="12.75">
      <c r="A28" s="26">
        <v>1</v>
      </c>
      <c r="B28" s="18" t="s">
        <v>117</v>
      </c>
      <c r="C28" s="23" t="s">
        <v>134</v>
      </c>
      <c r="D28" s="24" t="s">
        <v>148</v>
      </c>
      <c r="E28" s="24" t="s">
        <v>121</v>
      </c>
      <c r="F28" s="24" t="s">
        <v>336</v>
      </c>
    </row>
    <row r="29" spans="1:6" ht="12.75">
      <c r="A29" s="26">
        <v>2</v>
      </c>
      <c r="B29" s="18" t="s">
        <v>333</v>
      </c>
      <c r="C29" s="23" t="s">
        <v>134</v>
      </c>
      <c r="D29" s="24" t="s">
        <v>151</v>
      </c>
      <c r="E29" s="24" t="s">
        <v>62</v>
      </c>
      <c r="F29" s="24" t="s">
        <v>337</v>
      </c>
    </row>
    <row r="30" spans="1:6" ht="12.75">
      <c r="A30" s="26">
        <v>3</v>
      </c>
      <c r="B30" s="18" t="s">
        <v>261</v>
      </c>
      <c r="C30" s="23" t="s">
        <v>134</v>
      </c>
      <c r="D30" s="24" t="s">
        <v>141</v>
      </c>
      <c r="E30" s="24" t="s">
        <v>100</v>
      </c>
      <c r="F30" s="24" t="s">
        <v>338</v>
      </c>
    </row>
  </sheetData>
  <sheetProtection/>
  <mergeCells count="18">
    <mergeCell ref="B14:M14"/>
    <mergeCell ref="B17:M17"/>
    <mergeCell ref="B20:M20"/>
    <mergeCell ref="L3:L4"/>
    <mergeCell ref="M3:M4"/>
    <mergeCell ref="N3:N4"/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2016-05-14T11:05:56Z</dcterms:modified>
  <cp:category/>
  <cp:version/>
  <cp:contentType/>
  <cp:contentStatus/>
</cp:coreProperties>
</file>