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11" activeTab="11"/>
  </bookViews>
  <sheets>
    <sheet name="Excalibur" sheetId="1" r:id="rId1"/>
    <sheet name="HUB" sheetId="2" r:id="rId2"/>
    <sheet name="Rolling Thunder" sheetId="3" r:id="rId3"/>
    <sheet name="Apollon Axle" sheetId="4" r:id="rId4"/>
    <sheet name="Пауэрспорт ДК" sheetId="5" r:id="rId5"/>
    <sheet name="Пауэрспорт" sheetId="6" r:id="rId6"/>
    <sheet name="Тяга без экипировки парная" sheetId="7" r:id="rId7"/>
    <sheet name="Тяга в экипировке ДК" sheetId="8" r:id="rId8"/>
    <sheet name="Тяга в экипировке" sheetId="9" r:id="rId9"/>
    <sheet name="Тяга без экипировки ДК" sheetId="10" r:id="rId10"/>
    <sheet name="Тяга без экипировки" sheetId="11" r:id="rId11"/>
    <sheet name="Жимовое двоеборье" sheetId="12" r:id="rId12"/>
    <sheet name="Народный жим" sheetId="13" r:id="rId13"/>
    <sheet name="Жим многослой ДК" sheetId="14" r:id="rId14"/>
    <sheet name="Жим многослой" sheetId="15" r:id="rId15"/>
    <sheet name="Жим однослой ДК" sheetId="16" r:id="rId16"/>
    <sheet name="Жим однослой" sheetId="17" r:id="rId17"/>
    <sheet name="Жим без экипировки ДК" sheetId="18" r:id="rId18"/>
    <sheet name="Жим без экипировки" sheetId="19" r:id="rId19"/>
    <sheet name="Присед бинты ДК" sheetId="20" r:id="rId20"/>
    <sheet name="Присед без экипировки" sheetId="21" r:id="rId21"/>
    <sheet name="Двоеборье без экипировки ДК" sheetId="22" r:id="rId22"/>
    <sheet name="Двоеборье без экипировки" sheetId="23" r:id="rId23"/>
    <sheet name="Пауэрлифтинг многослой" sheetId="24" r:id="rId24"/>
    <sheet name="Пауэрлифтинг однослой ДК" sheetId="25" r:id="rId25"/>
    <sheet name="Пауэрлифтинг однослой" sheetId="26" r:id="rId26"/>
    <sheet name="Пауэрлифтинг в бинтах ДК" sheetId="27" r:id="rId27"/>
    <sheet name="Пауэрлифтинг в бинтах" sheetId="28" r:id="rId28"/>
    <sheet name="Пауэрлифтинг без экипировки" sheetId="29" r:id="rId29"/>
    <sheet name="Судейский корпус" sheetId="30" r:id="rId30"/>
    <sheet name="Командный зачет" sheetId="31" r:id="rId31"/>
  </sheets>
  <definedNames/>
  <calcPr fullCalcOnLoad="1" refMode="R1C1"/>
</workbook>
</file>

<file path=xl/sharedStrings.xml><?xml version="1.0" encoding="utf-8"?>
<sst xmlns="http://schemas.openxmlformats.org/spreadsheetml/2006/main" count="3446" uniqueCount="1116">
  <si>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</si>
  <si>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</si>
  <si>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</si>
  <si>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</si>
  <si>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</si>
  <si>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</si>
  <si>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</si>
  <si>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</si>
  <si>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</si>
  <si>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</si>
  <si>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Собств. вес</t>
  </si>
  <si>
    <t>Wilks</t>
  </si>
  <si>
    <t>ВЕСОВАЯ КАТЕГОРИЯ   67.5</t>
  </si>
  <si>
    <t>Кулагина Анжела</t>
  </si>
  <si>
    <t>Open (04.11.1988)/26</t>
  </si>
  <si>
    <t>65,50</t>
  </si>
  <si>
    <t xml:space="preserve">Лично </t>
  </si>
  <si>
    <t>0,0</t>
  </si>
  <si>
    <t>125,0</t>
  </si>
  <si>
    <t>130,0</t>
  </si>
  <si>
    <t>125.00</t>
  </si>
  <si>
    <t>Калиниченко Алла</t>
  </si>
  <si>
    <t>Masters 40-44 (08.04.1971)/44</t>
  </si>
  <si>
    <t>67,50</t>
  </si>
  <si>
    <t xml:space="preserve">Саров </t>
  </si>
  <si>
    <t xml:space="preserve">Саров/Нижегородская область </t>
  </si>
  <si>
    <t>100,0</t>
  </si>
  <si>
    <t>107,5</t>
  </si>
  <si>
    <t>100.00</t>
  </si>
  <si>
    <t xml:space="preserve">Калиниченко Владимир </t>
  </si>
  <si>
    <t>ВЕСОВАЯ КАТЕГОРИЯ   75</t>
  </si>
  <si>
    <t>Озорнов Роман</t>
  </si>
  <si>
    <t>Open (01.07.1982)/32</t>
  </si>
  <si>
    <t>71,40</t>
  </si>
  <si>
    <t xml:space="preserve">Серпухов </t>
  </si>
  <si>
    <t xml:space="preserve">Серпухов/Московская область </t>
  </si>
  <si>
    <t>110,0</t>
  </si>
  <si>
    <t>120,0</t>
  </si>
  <si>
    <t>110.00</t>
  </si>
  <si>
    <t>Белоус Артур</t>
  </si>
  <si>
    <t>Open (23.04.1985)/30</t>
  </si>
  <si>
    <t>74,00</t>
  </si>
  <si>
    <t>195,0</t>
  </si>
  <si>
    <t>207,5</t>
  </si>
  <si>
    <t>0.00</t>
  </si>
  <si>
    <t xml:space="preserve">Адысев Дмитрий </t>
  </si>
  <si>
    <t>ВЕСОВАЯ КАТЕГОРИЯ   82.5</t>
  </si>
  <si>
    <t>Непобедимый Эдгар</t>
  </si>
  <si>
    <t>Open (08.08.1982)/32</t>
  </si>
  <si>
    <t>81,00</t>
  </si>
  <si>
    <t xml:space="preserve">Курск/Курская область </t>
  </si>
  <si>
    <t>137,5</t>
  </si>
  <si>
    <t>137.50</t>
  </si>
  <si>
    <t>Можаев Сергей</t>
  </si>
  <si>
    <t>Open (16.04.1988)/27</t>
  </si>
  <si>
    <t>81,60</t>
  </si>
  <si>
    <t>132,5</t>
  </si>
  <si>
    <t>135,0</t>
  </si>
  <si>
    <t>132.50</t>
  </si>
  <si>
    <t xml:space="preserve">Вартабедьян Юрий </t>
  </si>
  <si>
    <t>ВЕСОВАЯ КАТЕГОРИЯ   90</t>
  </si>
  <si>
    <t>Парамонов Антон</t>
  </si>
  <si>
    <t>Open (19.04.1984)/31</t>
  </si>
  <si>
    <t>89,50</t>
  </si>
  <si>
    <t xml:space="preserve">Команда Клюшева </t>
  </si>
  <si>
    <t xml:space="preserve">Владимир/Владимирская область </t>
  </si>
  <si>
    <t>170,0</t>
  </si>
  <si>
    <t>175,0</t>
  </si>
  <si>
    <t>180,0</t>
  </si>
  <si>
    <t>175.00</t>
  </si>
  <si>
    <t xml:space="preserve">Клюшев Александр </t>
  </si>
  <si>
    <t xml:space="preserve">Метлинов </t>
  </si>
  <si>
    <t>Open (10.01.1978)/37</t>
  </si>
  <si>
    <t>85,90</t>
  </si>
  <si>
    <t>165,0</t>
  </si>
  <si>
    <t>177,5</t>
  </si>
  <si>
    <t>170.00</t>
  </si>
  <si>
    <t>Якушин Владимир</t>
  </si>
  <si>
    <t>Masters 60-64 (30.08.1954)/60</t>
  </si>
  <si>
    <t>89,90</t>
  </si>
  <si>
    <t>90,0</t>
  </si>
  <si>
    <t xml:space="preserve">самостоятельно </t>
  </si>
  <si>
    <t>ВЕСОВАЯ КАТЕГОРИЯ   100</t>
  </si>
  <si>
    <t>Поздяев Иван</t>
  </si>
  <si>
    <t>Juniors 20-23 (25.09.1991)/23</t>
  </si>
  <si>
    <t>92,90</t>
  </si>
  <si>
    <t xml:space="preserve">Арзамас/Нижегородская область </t>
  </si>
  <si>
    <t>190,0</t>
  </si>
  <si>
    <t>177.50</t>
  </si>
  <si>
    <t>Жаченков Александ</t>
  </si>
  <si>
    <t>Open (30.07.1981)/33</t>
  </si>
  <si>
    <t>99,70</t>
  </si>
  <si>
    <t xml:space="preserve">Протвино/Московская область </t>
  </si>
  <si>
    <t>215,0</t>
  </si>
  <si>
    <t>222,5</t>
  </si>
  <si>
    <t>227,5</t>
  </si>
  <si>
    <t>230,0</t>
  </si>
  <si>
    <t>227.50</t>
  </si>
  <si>
    <t>Сизов Алексей</t>
  </si>
  <si>
    <t>Open (11.12.1979)/35</t>
  </si>
  <si>
    <t>96,70</t>
  </si>
  <si>
    <t xml:space="preserve">Домодедово/Московская область </t>
  </si>
  <si>
    <t>205,0</t>
  </si>
  <si>
    <t>215.00</t>
  </si>
  <si>
    <t xml:space="preserve">Бардин Влдимир </t>
  </si>
  <si>
    <t>Крупнин Артур</t>
  </si>
  <si>
    <t>Open (17.06.1991)/24</t>
  </si>
  <si>
    <t>98,70</t>
  </si>
  <si>
    <t>200,0</t>
  </si>
  <si>
    <t>210,0</t>
  </si>
  <si>
    <t>220,0</t>
  </si>
  <si>
    <t>210.00</t>
  </si>
  <si>
    <t xml:space="preserve">Наумлюк Сергей </t>
  </si>
  <si>
    <t>Шишимин Алексей</t>
  </si>
  <si>
    <t>Open (28.03.1989)/26</t>
  </si>
  <si>
    <t>99,90</t>
  </si>
  <si>
    <t xml:space="preserve">Кстово/Нижегородская область </t>
  </si>
  <si>
    <t>205.00</t>
  </si>
  <si>
    <t>Федоров Александр</t>
  </si>
  <si>
    <t>Open (12.06.1968)/47</t>
  </si>
  <si>
    <t>95,50</t>
  </si>
  <si>
    <t>180.00</t>
  </si>
  <si>
    <t xml:space="preserve">Сарычев Кирилл </t>
  </si>
  <si>
    <t>Майоров Олег</t>
  </si>
  <si>
    <t>Open (25.12.1987)/27</t>
  </si>
  <si>
    <t>98,10</t>
  </si>
  <si>
    <t>185,0</t>
  </si>
  <si>
    <t>Муратов Сергей</t>
  </si>
  <si>
    <t>Open (09.08.1982)/32</t>
  </si>
  <si>
    <t>97,50</t>
  </si>
  <si>
    <t xml:space="preserve">Рязань/Рязанская область </t>
  </si>
  <si>
    <t>150,0</t>
  </si>
  <si>
    <t>160,0</t>
  </si>
  <si>
    <t>150.00</t>
  </si>
  <si>
    <t xml:space="preserve">Силушин Павел </t>
  </si>
  <si>
    <t>Masters 45-49 (12.06.1968)/47</t>
  </si>
  <si>
    <t>Петров Александр</t>
  </si>
  <si>
    <t>Masters 50-54 (17.07.1960)/54</t>
  </si>
  <si>
    <t>92,10</t>
  </si>
  <si>
    <t>190.00</t>
  </si>
  <si>
    <t>ВЕСОВАЯ КАТЕГОРИЯ   110</t>
  </si>
  <si>
    <t>Фёдоров Арсений</t>
  </si>
  <si>
    <t>Teenage 15-19 (18.02.1997)/18</t>
  </si>
  <si>
    <t>106,20</t>
  </si>
  <si>
    <t>195.00</t>
  </si>
  <si>
    <t>Гусев Вячеслав</t>
  </si>
  <si>
    <t>Open (08.03.1987)/28</t>
  </si>
  <si>
    <t>103,00</t>
  </si>
  <si>
    <t xml:space="preserve">Шашурин Алексей </t>
  </si>
  <si>
    <t>Авдулов Евгений</t>
  </si>
  <si>
    <t>Open (04.11.1983)/31</t>
  </si>
  <si>
    <t>108,00</t>
  </si>
  <si>
    <t xml:space="preserve">Суздаль/Владимирская область </t>
  </si>
  <si>
    <t>Суставов Юрий</t>
  </si>
  <si>
    <t>Masters 40-44 (02.10.1974)/40</t>
  </si>
  <si>
    <t>103,40</t>
  </si>
  <si>
    <t xml:space="preserve">Касимов/Рязанская область </t>
  </si>
  <si>
    <t>192,5</t>
  </si>
  <si>
    <t>192.50</t>
  </si>
  <si>
    <t>Кошелкин Виктор</t>
  </si>
  <si>
    <t>Masters 45-49 (01.05.1970)/45</t>
  </si>
  <si>
    <t>108,50</t>
  </si>
  <si>
    <t>120.00</t>
  </si>
  <si>
    <t>ВЕСОВАЯ КАТЕГОРИЯ   125</t>
  </si>
  <si>
    <t>Коляскин Кирилл</t>
  </si>
  <si>
    <t>Open (30.09.1978)/36</t>
  </si>
  <si>
    <t>123,60</t>
  </si>
  <si>
    <t>235,0</t>
  </si>
  <si>
    <t>245,0</t>
  </si>
  <si>
    <t>250,0</t>
  </si>
  <si>
    <t>245.00</t>
  </si>
  <si>
    <t xml:space="preserve">самостоятелно </t>
  </si>
  <si>
    <t>Шашурин Алексей</t>
  </si>
  <si>
    <t>Open (26.05.1984)/31</t>
  </si>
  <si>
    <t>123,10</t>
  </si>
  <si>
    <t>240,0</t>
  </si>
  <si>
    <t>240.00</t>
  </si>
  <si>
    <t>Жамбровский Сергей</t>
  </si>
  <si>
    <t>Open (06.02.1987)/28</t>
  </si>
  <si>
    <t>118,80</t>
  </si>
  <si>
    <t>225,0</t>
  </si>
  <si>
    <t>235.00</t>
  </si>
  <si>
    <t>Голубев Егор</t>
  </si>
  <si>
    <t>Masters 40-44 (23.08.1974)/40</t>
  </si>
  <si>
    <t>121,70</t>
  </si>
  <si>
    <t>197,5</t>
  </si>
  <si>
    <t>ВЕСОВАЯ КАТЕГОРИЯ   140</t>
  </si>
  <si>
    <t>Мохнин Сергей</t>
  </si>
  <si>
    <t>Masters 40-44 (27.02.1974)/41</t>
  </si>
  <si>
    <t>128,50</t>
  </si>
  <si>
    <t xml:space="preserve">Гусь-Хрустальный/Владимирская область </t>
  </si>
  <si>
    <t>185.00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</si>
  <si>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</si>
  <si>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</si>
  <si>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</si>
  <si>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</si>
  <si>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</si>
  <si>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</si>
  <si>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</si>
  <si>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Мастера </t>
  </si>
  <si>
    <t xml:space="preserve">Мастера 40 - 44 </t>
  </si>
  <si>
    <t xml:space="preserve">Мужчины </t>
  </si>
  <si>
    <t xml:space="preserve">110 </t>
  </si>
  <si>
    <t xml:space="preserve">100 </t>
  </si>
  <si>
    <t xml:space="preserve">125 </t>
  </si>
  <si>
    <t>139,9440</t>
  </si>
  <si>
    <t>138,6158</t>
  </si>
  <si>
    <t>137,2080</t>
  </si>
  <si>
    <t>135,4305</t>
  </si>
  <si>
    <t>132,6980</t>
  </si>
  <si>
    <t>128,4780</t>
  </si>
  <si>
    <t>124,8040</t>
  </si>
  <si>
    <t xml:space="preserve">90 </t>
  </si>
  <si>
    <t>112,0350</t>
  </si>
  <si>
    <t>111,7080</t>
  </si>
  <si>
    <t>111,2650</t>
  </si>
  <si>
    <t>107,3450</t>
  </si>
  <si>
    <t>102,2890</t>
  </si>
  <si>
    <t xml:space="preserve">82.5 </t>
  </si>
  <si>
    <t>93,1425</t>
  </si>
  <si>
    <t>92,2500</t>
  </si>
  <si>
    <t>89,3580</t>
  </si>
  <si>
    <t xml:space="preserve">75 </t>
  </si>
  <si>
    <t>81,2130</t>
  </si>
  <si>
    <t xml:space="preserve">Мастера 50 - 54 </t>
  </si>
  <si>
    <t>147,2483</t>
  </si>
  <si>
    <t xml:space="preserve">Мастера 45 - 49 </t>
  </si>
  <si>
    <t>122,4320</t>
  </si>
  <si>
    <t>115,6732</t>
  </si>
  <si>
    <t>108,8890</t>
  </si>
  <si>
    <t xml:space="preserve">140 </t>
  </si>
  <si>
    <t>105,3823</t>
  </si>
  <si>
    <t xml:space="preserve">Мастера 60 - 64 </t>
  </si>
  <si>
    <t>88,1544</t>
  </si>
  <si>
    <t>75,1752</t>
  </si>
  <si>
    <t>Цветков Василий</t>
  </si>
  <si>
    <t>Open (05.07.1981)/33</t>
  </si>
  <si>
    <t>80,20</t>
  </si>
  <si>
    <t xml:space="preserve">Дубна/Московская область </t>
  </si>
  <si>
    <t>310,0</t>
  </si>
  <si>
    <t>330,0</t>
  </si>
  <si>
    <t>350,0</t>
  </si>
  <si>
    <t>270,0</t>
  </si>
  <si>
    <t>285,0</t>
  </si>
  <si>
    <t>Милов Денис</t>
  </si>
  <si>
    <t>Open (13.04.1989)/26</t>
  </si>
  <si>
    <t>120,00</t>
  </si>
  <si>
    <t xml:space="preserve">Пенза/Пензенская область </t>
  </si>
  <si>
    <t>320,5</t>
  </si>
  <si>
    <t>335,0</t>
  </si>
  <si>
    <t>Гутова Анна</t>
  </si>
  <si>
    <t>Open (04.04.1988)/27</t>
  </si>
  <si>
    <t>65,90</t>
  </si>
  <si>
    <t xml:space="preserve">Чехов/Московская область </t>
  </si>
  <si>
    <t>65,0</t>
  </si>
  <si>
    <t>70,0</t>
  </si>
  <si>
    <t>75,0</t>
  </si>
  <si>
    <t>ВЕСОВАЯ КАТЕГОРИЯ   48</t>
  </si>
  <si>
    <t>Авельянова Татьяна</t>
  </si>
  <si>
    <t>Teenage 15-19 (01.11.2009)/5</t>
  </si>
  <si>
    <t>46,80</t>
  </si>
  <si>
    <t xml:space="preserve">Самара/Самарская область </t>
  </si>
  <si>
    <t>32,5</t>
  </si>
  <si>
    <t>ВЕСОВАЯ КАТЕГОРИЯ   60</t>
  </si>
  <si>
    <t>Серегин Арсений</t>
  </si>
  <si>
    <t>Teenage 15-19 (17.04.2002)/13</t>
  </si>
  <si>
    <t>59,80</t>
  </si>
  <si>
    <t xml:space="preserve">Витязь </t>
  </si>
  <si>
    <t xml:space="preserve">Подольск/Московская область </t>
  </si>
  <si>
    <t>55,0</t>
  </si>
  <si>
    <t>60,0</t>
  </si>
  <si>
    <t xml:space="preserve">Можаров Александр </t>
  </si>
  <si>
    <t>Царьков Сергей</t>
  </si>
  <si>
    <t>Juniors 20-23 (18.04.1992)/23</t>
  </si>
  <si>
    <t>69,50</t>
  </si>
  <si>
    <t>115,0</t>
  </si>
  <si>
    <t>Фетисов Александр</t>
  </si>
  <si>
    <t>Open (30.04.1987)/28</t>
  </si>
  <si>
    <t xml:space="preserve">Шуя/Ивановская область </t>
  </si>
  <si>
    <t>155,0</t>
  </si>
  <si>
    <t>Захаров Александр</t>
  </si>
  <si>
    <t>Open (04.06.1987)/28</t>
  </si>
  <si>
    <t>73,20</t>
  </si>
  <si>
    <t xml:space="preserve">Иваново/Ивановская область </t>
  </si>
  <si>
    <t>117,5</t>
  </si>
  <si>
    <t>122,5</t>
  </si>
  <si>
    <t xml:space="preserve">Сухов Алексей </t>
  </si>
  <si>
    <t>Ефанов Евгений</t>
  </si>
  <si>
    <t>Teenage 15-19 (29.01.1996)/19</t>
  </si>
  <si>
    <t>78,90</t>
  </si>
  <si>
    <t>105,0</t>
  </si>
  <si>
    <t>Барилко Михаил</t>
  </si>
  <si>
    <t>Open (19.05.1987)/28</t>
  </si>
  <si>
    <t>82,10</t>
  </si>
  <si>
    <t xml:space="preserve">Магадан/Магаданская область </t>
  </si>
  <si>
    <t>127,5</t>
  </si>
  <si>
    <t>Барабанов Герман</t>
  </si>
  <si>
    <t>Masters 75-79 (28.01.1940)/75</t>
  </si>
  <si>
    <t>78,40</t>
  </si>
  <si>
    <t xml:space="preserve">Кимры/Тверская область </t>
  </si>
  <si>
    <t>Juniors 20-23 (16.08.1994)/20</t>
  </si>
  <si>
    <t>89,10</t>
  </si>
  <si>
    <t>142,5</t>
  </si>
  <si>
    <t>152,5</t>
  </si>
  <si>
    <t>Чернышов Игорь</t>
  </si>
  <si>
    <t>Masters 45-49 (14.07.1969)/45</t>
  </si>
  <si>
    <t>88,90</t>
  </si>
  <si>
    <t xml:space="preserve">Емельянов Алексей </t>
  </si>
  <si>
    <t>Бобров Виталий</t>
  </si>
  <si>
    <t xml:space="preserve">Тверская </t>
  </si>
  <si>
    <t xml:space="preserve">Тверь/Тверская область </t>
  </si>
  <si>
    <t>172,5</t>
  </si>
  <si>
    <t>182,5</t>
  </si>
  <si>
    <t>Трухтанов Павел</t>
  </si>
  <si>
    <t>Open (30.10.1976)/38</t>
  </si>
  <si>
    <t>98,90</t>
  </si>
  <si>
    <t>Снетков Александр</t>
  </si>
  <si>
    <t>Open (24.01.1987)/28</t>
  </si>
  <si>
    <t>99,30</t>
  </si>
  <si>
    <t xml:space="preserve">Химки/Московская область </t>
  </si>
  <si>
    <t>167,5</t>
  </si>
  <si>
    <t>Анненков Сергей</t>
  </si>
  <si>
    <t>Open (11.04.1958)/57</t>
  </si>
  <si>
    <t>95,60</t>
  </si>
  <si>
    <t xml:space="preserve">Новосибирск/Новосибирская область </t>
  </si>
  <si>
    <t xml:space="preserve">Пасынков Виталий </t>
  </si>
  <si>
    <t>Masters 55-59 (11.04.1958)/57</t>
  </si>
  <si>
    <t>Кислов Павел</t>
  </si>
  <si>
    <t>Open (26.05.1983)/32</t>
  </si>
  <si>
    <t xml:space="preserve">Славинский Иван </t>
  </si>
  <si>
    <t>Петров Андрей</t>
  </si>
  <si>
    <t>Open (30.09.1981)/33</t>
  </si>
  <si>
    <t>123,30</t>
  </si>
  <si>
    <t xml:space="preserve">Нижний Новгород/Нижегородская область </t>
  </si>
  <si>
    <t>Орешкин Александр</t>
  </si>
  <si>
    <t>Open (21.08.1982)/32</t>
  </si>
  <si>
    <t>120,20</t>
  </si>
  <si>
    <t>202,5</t>
  </si>
  <si>
    <t>117,1575</t>
  </si>
  <si>
    <t>115,0880</t>
  </si>
  <si>
    <t>113,5032</t>
  </si>
  <si>
    <t>111,1060</t>
  </si>
  <si>
    <t>108,5057</t>
  </si>
  <si>
    <t>107,5040</t>
  </si>
  <si>
    <t>105,2768</t>
  </si>
  <si>
    <t>102,1027</t>
  </si>
  <si>
    <t>96,1465</t>
  </si>
  <si>
    <t>85,1758</t>
  </si>
  <si>
    <t>ВЕСОВАЯ КАТЕГОРИЯ   56</t>
  </si>
  <si>
    <t>Пузыренко Екатерина</t>
  </si>
  <si>
    <t>Open (24.11.1976)/38</t>
  </si>
  <si>
    <t>55,90</t>
  </si>
  <si>
    <t xml:space="preserve">Омск/Омская область </t>
  </si>
  <si>
    <t>Катющева Татьяна</t>
  </si>
  <si>
    <t>Open (19.06.1987)/28</t>
  </si>
  <si>
    <t xml:space="preserve">Псков/Псковская область </t>
  </si>
  <si>
    <t xml:space="preserve">Мерзляков Евгений </t>
  </si>
  <si>
    <t>Гунина Ксения</t>
  </si>
  <si>
    <t>Open (09.06.1986)/29</t>
  </si>
  <si>
    <t>59,60</t>
  </si>
  <si>
    <t xml:space="preserve">Московский/Московская область </t>
  </si>
  <si>
    <t>80,0</t>
  </si>
  <si>
    <t>Кондрашева Нина</t>
  </si>
  <si>
    <t>Open (02.01.1960)/55</t>
  </si>
  <si>
    <t>75,00</t>
  </si>
  <si>
    <t xml:space="preserve">Тында/Амурская область </t>
  </si>
  <si>
    <t>157,5</t>
  </si>
  <si>
    <t>Придолин Евгений</t>
  </si>
  <si>
    <t>Open (18.05.1988)/27</t>
  </si>
  <si>
    <t>79,40</t>
  </si>
  <si>
    <t>Илюшин Руслан</t>
  </si>
  <si>
    <t>Open (25.02.1991)/24</t>
  </si>
  <si>
    <t>82,50</t>
  </si>
  <si>
    <t xml:space="preserve">Лидер </t>
  </si>
  <si>
    <t xml:space="preserve">Орехово-Зуево/Московская область </t>
  </si>
  <si>
    <t>Романов Вячеслав</t>
  </si>
  <si>
    <t>Open (04.12.1990)/24</t>
  </si>
  <si>
    <t>81,90</t>
  </si>
  <si>
    <t>Деньжаков Сергей</t>
  </si>
  <si>
    <t>Open (05.05.1989)/26</t>
  </si>
  <si>
    <t>88,30</t>
  </si>
  <si>
    <t>217,5</t>
  </si>
  <si>
    <t>242,5</t>
  </si>
  <si>
    <t>Плетнев Виталий</t>
  </si>
  <si>
    <t>Open (20.08.1979)/35</t>
  </si>
  <si>
    <t>94,70</t>
  </si>
  <si>
    <t>Липин Илья</t>
  </si>
  <si>
    <t>Teenage 15-19 (27.07.1996)/18</t>
  </si>
  <si>
    <t>102,60</t>
  </si>
  <si>
    <t xml:space="preserve">Ушков Илья </t>
  </si>
  <si>
    <t>Палей Андрей</t>
  </si>
  <si>
    <t>Open (11.10.1961)/53</t>
  </si>
  <si>
    <t>107,80</t>
  </si>
  <si>
    <t xml:space="preserve">Магнитогорск/Челябинская область </t>
  </si>
  <si>
    <t>290,0</t>
  </si>
  <si>
    <t>302,5</t>
  </si>
  <si>
    <t>Бубнов Дмитрий</t>
  </si>
  <si>
    <t>Masters 40-44 (14.10.1973)/41</t>
  </si>
  <si>
    <t>122,90</t>
  </si>
  <si>
    <t xml:space="preserve">Красноярск/Красноярский край </t>
  </si>
  <si>
    <t>275,0</t>
  </si>
  <si>
    <t>292,5</t>
  </si>
  <si>
    <t>Сидоров Александр</t>
  </si>
  <si>
    <t>Open (20.07.1980)/34</t>
  </si>
  <si>
    <t>138,70</t>
  </si>
  <si>
    <t xml:space="preserve">Первомайск/Нижегородская область </t>
  </si>
  <si>
    <t>297,5</t>
  </si>
  <si>
    <t>305,0</t>
  </si>
  <si>
    <t>ВЕСОВАЯ КАТЕГОРИЯ   140+</t>
  </si>
  <si>
    <t>Каява Кирилл</t>
  </si>
  <si>
    <t>Open (24.06.1976)/39</t>
  </si>
  <si>
    <t>142,00</t>
  </si>
  <si>
    <t>300,0</t>
  </si>
  <si>
    <t xml:space="preserve">Каширин Алексей </t>
  </si>
  <si>
    <t>171,7670</t>
  </si>
  <si>
    <t>170,6780</t>
  </si>
  <si>
    <t>162,6120</t>
  </si>
  <si>
    <t>151,5045</t>
  </si>
  <si>
    <t>144,0600</t>
  </si>
  <si>
    <t>127,6945</t>
  </si>
  <si>
    <t>127,2810</t>
  </si>
  <si>
    <t>59,00</t>
  </si>
  <si>
    <t>140,0</t>
  </si>
  <si>
    <t>Пуговкина Алла</t>
  </si>
  <si>
    <t>Open (12.12.1975)/39</t>
  </si>
  <si>
    <t>85,30</t>
  </si>
  <si>
    <t>187,5</t>
  </si>
  <si>
    <t xml:space="preserve">Солодюк Д.А. </t>
  </si>
  <si>
    <t>Соколов Павел</t>
  </si>
  <si>
    <t>Open (12.10.1982)/32</t>
  </si>
  <si>
    <t xml:space="preserve">Бежецк/Тверская область </t>
  </si>
  <si>
    <t>265,0</t>
  </si>
  <si>
    <t>272,5</t>
  </si>
  <si>
    <t>Кокорев Илья</t>
  </si>
  <si>
    <t>Open (19.01.1973)/42</t>
  </si>
  <si>
    <t>78,50</t>
  </si>
  <si>
    <t xml:space="preserve">Ярославль/Ярославская область </t>
  </si>
  <si>
    <t>Овчаров Дмитрий</t>
  </si>
  <si>
    <t>Open (04.06.1989)/26</t>
  </si>
  <si>
    <t>90,00</t>
  </si>
  <si>
    <t>280,0</t>
  </si>
  <si>
    <t>Ершов Тарас</t>
  </si>
  <si>
    <t>Open (18.01.1991)/24</t>
  </si>
  <si>
    <t>84,40</t>
  </si>
  <si>
    <t>262,5</t>
  </si>
  <si>
    <t>252,5</t>
  </si>
  <si>
    <t>260,0</t>
  </si>
  <si>
    <t xml:space="preserve">Бобров Виталий </t>
  </si>
  <si>
    <t>Александров Максим</t>
  </si>
  <si>
    <t>Open (10.06.1988)/27</t>
  </si>
  <si>
    <t>99,10</t>
  </si>
  <si>
    <t>Курков Алексей</t>
  </si>
  <si>
    <t>Open (29.03.1976)/39</t>
  </si>
  <si>
    <t>100,00</t>
  </si>
  <si>
    <t xml:space="preserve">Никулин Алексей </t>
  </si>
  <si>
    <t>Каширин Алексей</t>
  </si>
  <si>
    <t>110,00</t>
  </si>
  <si>
    <t>345,0</t>
  </si>
  <si>
    <t>360,0</t>
  </si>
  <si>
    <t>282,5</t>
  </si>
  <si>
    <t>320,0</t>
  </si>
  <si>
    <t>340,0</t>
  </si>
  <si>
    <t>Ломакин Денис</t>
  </si>
  <si>
    <t>Open (25.03.1990)/25</t>
  </si>
  <si>
    <t xml:space="preserve">Ушков И.Д. </t>
  </si>
  <si>
    <t>Ломакин Сергей</t>
  </si>
  <si>
    <t>Open (21.06.1985)/30</t>
  </si>
  <si>
    <t>115,60</t>
  </si>
  <si>
    <t>355,0</t>
  </si>
  <si>
    <t>365,0</t>
  </si>
  <si>
    <t>248,0</t>
  </si>
  <si>
    <t>Вартабедьян Юрий</t>
  </si>
  <si>
    <t>Open (21.11.1991)/23</t>
  </si>
  <si>
    <t>124,10</t>
  </si>
  <si>
    <t>370,0</t>
  </si>
  <si>
    <t>385,0</t>
  </si>
  <si>
    <t>380,0</t>
  </si>
  <si>
    <t>975,0</t>
  </si>
  <si>
    <t>573,7875</t>
  </si>
  <si>
    <t>923,0</t>
  </si>
  <si>
    <t>535,6169</t>
  </si>
  <si>
    <t>815,0</t>
  </si>
  <si>
    <t>520,2960</t>
  </si>
  <si>
    <t>710,0</t>
  </si>
  <si>
    <t>469,3100</t>
  </si>
  <si>
    <t>780,0</t>
  </si>
  <si>
    <t>461,9940</t>
  </si>
  <si>
    <t>667,5</t>
  </si>
  <si>
    <t>447,1583</t>
  </si>
  <si>
    <t>730,0</t>
  </si>
  <si>
    <t>445,8840</t>
  </si>
  <si>
    <t>695,0</t>
  </si>
  <si>
    <t>422,9770</t>
  </si>
  <si>
    <t>Бородий Владислав</t>
  </si>
  <si>
    <t>Open (07.11.1982)/32</t>
  </si>
  <si>
    <t>105,40</t>
  </si>
  <si>
    <t>Быховец Артем</t>
  </si>
  <si>
    <t>Open (19.07.1983)/31</t>
  </si>
  <si>
    <t>Пивоваров Виталий</t>
  </si>
  <si>
    <t>Open (10.10.1989)/25</t>
  </si>
  <si>
    <t>81,20</t>
  </si>
  <si>
    <t>Томилин Максим</t>
  </si>
  <si>
    <t>Juniors 20-23 (22.06.1993)/22</t>
  </si>
  <si>
    <t>105,60</t>
  </si>
  <si>
    <t xml:space="preserve">Липецк/Липецкая область </t>
  </si>
  <si>
    <t>212,5</t>
  </si>
  <si>
    <t>Еремин Юрий</t>
  </si>
  <si>
    <t>Open (23.11.1983)/31</t>
  </si>
  <si>
    <t xml:space="preserve">Вологда/Вологодская область </t>
  </si>
  <si>
    <t>Найденов Виктор</t>
  </si>
  <si>
    <t>Open (25.01.1987)/28</t>
  </si>
  <si>
    <t>127,70</t>
  </si>
  <si>
    <t>410,0</t>
  </si>
  <si>
    <t>430,0</t>
  </si>
  <si>
    <t>Волкова Арина</t>
  </si>
  <si>
    <t>Teenage 15-19 (29.04.2002)/13</t>
  </si>
  <si>
    <t>44,40</t>
  </si>
  <si>
    <t>45,0</t>
  </si>
  <si>
    <t>50,0</t>
  </si>
  <si>
    <t>25,0</t>
  </si>
  <si>
    <t>30,0</t>
  </si>
  <si>
    <t>35,0</t>
  </si>
  <si>
    <t>77,5</t>
  </si>
  <si>
    <t xml:space="preserve">Аршинов Иван </t>
  </si>
  <si>
    <t>Никулин Алексей</t>
  </si>
  <si>
    <t>Open (01.11.1982)/32</t>
  </si>
  <si>
    <t>295,0</t>
  </si>
  <si>
    <t>307,5</t>
  </si>
  <si>
    <t>315,0</t>
  </si>
  <si>
    <t xml:space="preserve">Шейко Борис </t>
  </si>
  <si>
    <t>Никифоров Анатолий</t>
  </si>
  <si>
    <t>Open (13.07.1982)/32</t>
  </si>
  <si>
    <t>94,00</t>
  </si>
  <si>
    <t>Вершинин Федор</t>
  </si>
  <si>
    <t>Juniors 20-23 (03.12.1992)/22</t>
  </si>
  <si>
    <t>105,30</t>
  </si>
  <si>
    <t xml:space="preserve">Владивосток/Приморский край </t>
  </si>
  <si>
    <t>287,5</t>
  </si>
  <si>
    <t xml:space="preserve">Смирнов Дмитрий </t>
  </si>
  <si>
    <t>Open (03.12.1992)/22</t>
  </si>
  <si>
    <t>Курочкин Валерий</t>
  </si>
  <si>
    <t>Open (09.11.1978)/36</t>
  </si>
  <si>
    <t>108,40</t>
  </si>
  <si>
    <t>267,5</t>
  </si>
  <si>
    <t>Емельянов Алексей</t>
  </si>
  <si>
    <t>Open (25.02.1983)/32</t>
  </si>
  <si>
    <t>77,00</t>
  </si>
  <si>
    <t>147,5</t>
  </si>
  <si>
    <t>Зимняков Дмитрий</t>
  </si>
  <si>
    <t>Open (12.05.1989)/26</t>
  </si>
  <si>
    <t>79,30</t>
  </si>
  <si>
    <t>Сидоров Игорь</t>
  </si>
  <si>
    <t>Open (08.01.1987)/28</t>
  </si>
  <si>
    <t>89,00</t>
  </si>
  <si>
    <t>Симаков Сергей</t>
  </si>
  <si>
    <t>Open (21.07.1984)/30</t>
  </si>
  <si>
    <t>255,0</t>
  </si>
  <si>
    <t>Семенов Илья</t>
  </si>
  <si>
    <t>Open (10.11.1982)/32</t>
  </si>
  <si>
    <t>107,50</t>
  </si>
  <si>
    <t>ВЕСОВАЯ КАТЕГОРИЯ   52</t>
  </si>
  <si>
    <t>Тарасова Анна</t>
  </si>
  <si>
    <t>Teenage 15-19 (08.03.2000)/15</t>
  </si>
  <si>
    <t>50,00</t>
  </si>
  <si>
    <t xml:space="preserve">Богородицк/Тульская область </t>
  </si>
  <si>
    <t>42,5</t>
  </si>
  <si>
    <t>47,5</t>
  </si>
  <si>
    <t>82,5</t>
  </si>
  <si>
    <t>87,5</t>
  </si>
  <si>
    <t>Яшин Виктор</t>
  </si>
  <si>
    <t>78,30</t>
  </si>
  <si>
    <t>102,5</t>
  </si>
  <si>
    <t>145,0</t>
  </si>
  <si>
    <t>Сафонов Алексей</t>
  </si>
  <si>
    <t>Juniors 20-23 (09.12.1992)/22</t>
  </si>
  <si>
    <t>105,90</t>
  </si>
  <si>
    <t>Длужневский Дмитрий</t>
  </si>
  <si>
    <t>Open (28.10.1983)/31</t>
  </si>
  <si>
    <t>139,20</t>
  </si>
  <si>
    <t xml:space="preserve">Кубинка/Московская область </t>
  </si>
  <si>
    <t xml:space="preserve">Зобов Леонид </t>
  </si>
  <si>
    <t>Бурнашова Светлана</t>
  </si>
  <si>
    <t>Open (26.10.1977)/37</t>
  </si>
  <si>
    <t>52,00</t>
  </si>
  <si>
    <t xml:space="preserve">Буй/Костромская область </t>
  </si>
  <si>
    <t>Бурнашов Василий</t>
  </si>
  <si>
    <t>Open (28.11.1977)/37</t>
  </si>
  <si>
    <t>Славинский Иван</t>
  </si>
  <si>
    <t>Open (08.12.1983)/31</t>
  </si>
  <si>
    <t>98,60</t>
  </si>
  <si>
    <t>Ушков Илья</t>
  </si>
  <si>
    <t>Open (21.06.1976)/39</t>
  </si>
  <si>
    <t>102,00</t>
  </si>
  <si>
    <t>Мишкин Олег</t>
  </si>
  <si>
    <t>Teenage 15-19 (19.06.1996)/19</t>
  </si>
  <si>
    <t>117,80</t>
  </si>
  <si>
    <t>124,40</t>
  </si>
  <si>
    <t>352,5</t>
  </si>
  <si>
    <t>Стрельцов Максим</t>
  </si>
  <si>
    <t>Open (25.05.1975)/40</t>
  </si>
  <si>
    <t>145,90</t>
  </si>
  <si>
    <t>205,6920</t>
  </si>
  <si>
    <t>190,9215</t>
  </si>
  <si>
    <t xml:space="preserve">140+ </t>
  </si>
  <si>
    <t>177,7600</t>
  </si>
  <si>
    <t>170,6018</t>
  </si>
  <si>
    <t>159,1460</t>
  </si>
  <si>
    <t>Трапезникова Наталья</t>
  </si>
  <si>
    <t>Open (12.01.1986)/29</t>
  </si>
  <si>
    <t xml:space="preserve">Вегетарианская сила </t>
  </si>
  <si>
    <t>Бородий Ирина</t>
  </si>
  <si>
    <t>Juniors 20-23 (10.08.1991)/23</t>
  </si>
  <si>
    <t>79,70</t>
  </si>
  <si>
    <t xml:space="preserve">Бородий Владислав </t>
  </si>
  <si>
    <t>Open (10.08.1991)/23</t>
  </si>
  <si>
    <t>Кравченко Егор</t>
  </si>
  <si>
    <t>Teenage 15-19 (10.06.2000)/15</t>
  </si>
  <si>
    <t>66,20</t>
  </si>
  <si>
    <t>Ивбуль Олег</t>
  </si>
  <si>
    <t>Teenage 15-19 (30.11.1998)/16</t>
  </si>
  <si>
    <t>72,70</t>
  </si>
  <si>
    <t>Первышин Евгений</t>
  </si>
  <si>
    <t>Masters 40-44 (04.12.1973)/41</t>
  </si>
  <si>
    <t>82,00</t>
  </si>
  <si>
    <t>Немчинов Александр</t>
  </si>
  <si>
    <t>Open (10.11.1951)/63</t>
  </si>
  <si>
    <t>89,40</t>
  </si>
  <si>
    <t>232,5</t>
  </si>
  <si>
    <t>Masters 60-64 (10.11.1951)/63</t>
  </si>
  <si>
    <t>Фуфлыгин Алексей</t>
  </si>
  <si>
    <t>Masters 40-44 (03.05.1974)/41</t>
  </si>
  <si>
    <t>Фоломеев Денис</t>
  </si>
  <si>
    <t>Masters 40-44 (14.11.1975)/39</t>
  </si>
  <si>
    <t>105,00</t>
  </si>
  <si>
    <t>Пряхин Станислав</t>
  </si>
  <si>
    <t>Open (18.03.1975)/40</t>
  </si>
  <si>
    <t xml:space="preserve">Салтыкова Н.И. </t>
  </si>
  <si>
    <t>Илясов Антон</t>
  </si>
  <si>
    <t>Open (25.11.1988)/26</t>
  </si>
  <si>
    <t>97,80</t>
  </si>
  <si>
    <t>Архипова Анна</t>
  </si>
  <si>
    <t>Open (15.05.1985)/30</t>
  </si>
  <si>
    <t>237,5</t>
  </si>
  <si>
    <t>Полушкин Андрей</t>
  </si>
  <si>
    <t xml:space="preserve">Апатиты/Мурманская область </t>
  </si>
  <si>
    <t xml:space="preserve">Ильин Александр </t>
  </si>
  <si>
    <t>Рогов Дмитрий</t>
  </si>
  <si>
    <t>Open (17.12.1978)/36</t>
  </si>
  <si>
    <t>103,10</t>
  </si>
  <si>
    <t>277,5</t>
  </si>
  <si>
    <t>Гредягин Александр</t>
  </si>
  <si>
    <t>Open (17.11.1974)/40</t>
  </si>
  <si>
    <t>Masters 40-44 (17.11.1974)/40</t>
  </si>
  <si>
    <t>Руруа Тариел</t>
  </si>
  <si>
    <t>Open (14.04.1979)/36</t>
  </si>
  <si>
    <t>Голубенков Владимир</t>
  </si>
  <si>
    <t>Метлинов Владимир</t>
  </si>
  <si>
    <t>Кубок России IPL, Жим лежа в многослойной экипировке
20 - 21 Июня 2015, г.Суздаль</t>
  </si>
  <si>
    <t>1</t>
  </si>
  <si>
    <t>2</t>
  </si>
  <si>
    <t>3</t>
  </si>
  <si>
    <t>Результат</t>
  </si>
  <si>
    <t>Кубок России IPL, Жим лежа без экипировки
20 - 21 июня 2015, Суздаль</t>
  </si>
  <si>
    <t>Город/область</t>
  </si>
  <si>
    <t>Александро-Невский/Рязанская область</t>
  </si>
  <si>
    <t>Динамо</t>
  </si>
  <si>
    <t xml:space="preserve">Москва/Московская область </t>
  </si>
  <si>
    <t>Алекснадро-Невский/Рязанская область</t>
  </si>
  <si>
    <t xml:space="preserve">Группа здоровья имени А.Никулина </t>
  </si>
  <si>
    <t>Иванов Сергей, Корнилов Денис</t>
  </si>
  <si>
    <t>самостоятельно</t>
  </si>
  <si>
    <t>Команда Клюшева</t>
  </si>
  <si>
    <t>Кубок России IPL, Пауэрлифтинг в многослойной экипировке
20 - 21 июня 2015, Суздаль</t>
  </si>
  <si>
    <t>Группа здоровья имени А.Никулина</t>
  </si>
  <si>
    <t>Кубок России IPL, Жим лежа без экипировки ДК
20 - 21 июня 2015, Суздаль</t>
  </si>
  <si>
    <t>Группа здоровья имени А. Никулина</t>
  </si>
  <si>
    <t>Москва/Московская область</t>
  </si>
  <si>
    <t xml:space="preserve">Команда Длужневского </t>
  </si>
  <si>
    <t xml:space="preserve">Степанов А.Н. </t>
  </si>
  <si>
    <t>Серпухов</t>
  </si>
  <si>
    <t>Кубок России IPL, Жим лежа в однослойной экипировке
20 - 21 июня 2015, Суздаль</t>
  </si>
  <si>
    <t>Соколов Николай</t>
  </si>
  <si>
    <t xml:space="preserve">Москва/Московская область  </t>
  </si>
  <si>
    <t xml:space="preserve">Петрозаводск/Республика Карелия </t>
  </si>
  <si>
    <t>Москва/Москвовская область</t>
  </si>
  <si>
    <t>Лично</t>
  </si>
  <si>
    <t>922,50</t>
  </si>
  <si>
    <t>Кубок России IPL, Пауэрлифтинг в однослойной экипировке
20 - 21 июня 2015, Суздаль</t>
  </si>
  <si>
    <t>Кубок России IPL, Жим лежа в однослойной экипировке ДК
20 - 21 июня 2015, Суздаль</t>
  </si>
  <si>
    <t>Кубок России IPL, Пауэрлифтинг в однослойной экипировке ДК
20 - 21 июня 2015, Суздаль</t>
  </si>
  <si>
    <t>Кубок России IPL, Присед в бинтах ДК
20 - 21 июня 2015, Суздаль</t>
  </si>
  <si>
    <t xml:space="preserve">Богородицк Стронг </t>
  </si>
  <si>
    <t>Кубок России IPL, Присед без экипировки
20 - 21 июня 2015, Суздаль</t>
  </si>
  <si>
    <t>Лидер</t>
  </si>
  <si>
    <t>Кубок России IPL, Пауэрлифтинг без экипировки
20 - 21 июня 2015, Суздаль</t>
  </si>
  <si>
    <t>Кубок России IPL, Жим лежа в многослойной экипировке ДК
20 - 21 июня 2015, Суздаль</t>
  </si>
  <si>
    <t>Кубок России IPL, Пауэрлифтинг в бинтах
20 - 21 июня 2015, Суздаль</t>
  </si>
  <si>
    <t>Кубок России IPL, Пауэрлифтинг в бинтах ДК
20 - 21 июня 2015, Суздаль</t>
  </si>
  <si>
    <t>Кубок России IPL, Становая тяга без экипировки
20 - 21 июня 2015, Суздаль</t>
  </si>
  <si>
    <t>Бурнашов Василий, Длужневский Сергей</t>
  </si>
  <si>
    <t>Длужневский Сергей</t>
  </si>
  <si>
    <t>208.1960</t>
  </si>
  <si>
    <t>208,1960</t>
  </si>
  <si>
    <t>Кубок России IPL, Становая тяга без экипировки ДК
20 - 21 июня 2015, Суздаль</t>
  </si>
  <si>
    <t xml:space="preserve">Смирнов Олег. </t>
  </si>
  <si>
    <t>Санкт-Петербург/Ленинградская область</t>
  </si>
  <si>
    <t>Кубок России IPL, Становая тяга в экипировке
20 - 21 июня 2015, Суздаль</t>
  </si>
  <si>
    <t xml:space="preserve">Группа здоровья имени А. Никулина </t>
  </si>
  <si>
    <t>Кубок России IPL, Становая тяга в экипировке ДК
20 - 21 июня 2015, Суздаль</t>
  </si>
  <si>
    <t>Саров</t>
  </si>
  <si>
    <t>Кубок России IPL, Силовое двоеборье без экипировки
20 - 21 июня 2015, Суздаль</t>
  </si>
  <si>
    <t>Кубок России IPL, Силовое двоеборье без экипировки ДК
20 - 21 июня 2015, Суздаль</t>
  </si>
  <si>
    <t>Кубок России СПР, Пауэрспорт с допинг контролем
20 - 21 июня 2015, Суздаль</t>
  </si>
  <si>
    <t>Gloss</t>
  </si>
  <si>
    <t>Жим стоя</t>
  </si>
  <si>
    <t>Подъем на бицепс</t>
  </si>
  <si>
    <t>Поплевкин Леонид</t>
  </si>
  <si>
    <t>Open (21.06.1988)/27</t>
  </si>
  <si>
    <t>73,90</t>
  </si>
  <si>
    <t>Сестрорецк/Ленинградская область</t>
  </si>
  <si>
    <t>67,5</t>
  </si>
  <si>
    <t xml:space="preserve">Поплевкин Александр </t>
  </si>
  <si>
    <t>Суховерков Дмитрий</t>
  </si>
  <si>
    <t xml:space="preserve">Санкт-Петербург/Ленинградская область </t>
  </si>
  <si>
    <t>57,5</t>
  </si>
  <si>
    <t>Masters 40-49 (04.12.1973)/41</t>
  </si>
  <si>
    <t>Ягжов Андрей</t>
  </si>
  <si>
    <t>Open (25.03.1977)/38</t>
  </si>
  <si>
    <t>87,00</t>
  </si>
  <si>
    <t xml:space="preserve">Дзержинск/Нижегородская область </t>
  </si>
  <si>
    <t>85,0</t>
  </si>
  <si>
    <t>Поляков Андрей</t>
  </si>
  <si>
    <t>Open (09.06.1974)/41</t>
  </si>
  <si>
    <t>86,00</t>
  </si>
  <si>
    <t>Masters 40-49 (09.06.1974)/41</t>
  </si>
  <si>
    <t>86,20</t>
  </si>
  <si>
    <t>72,5</t>
  </si>
  <si>
    <t xml:space="preserve">Первушин Евгений </t>
  </si>
  <si>
    <t>Masters 40-49 (17.11.1974)/40</t>
  </si>
  <si>
    <t>Кубок России СПР, Пауэрспорт
20 - 21 июня 2015, Суздаль</t>
  </si>
  <si>
    <t>112.50</t>
  </si>
  <si>
    <t>Кирюшкин Вадим</t>
  </si>
  <si>
    <t>131,60</t>
  </si>
  <si>
    <t xml:space="preserve">Педан Игорь </t>
  </si>
  <si>
    <t>Кубок России СПР, Народный жим (1/2 вес)
20 - 21 июня 2015, Суздаль</t>
  </si>
  <si>
    <t>Тоннаж</t>
  </si>
  <si>
    <t>Вес</t>
  </si>
  <si>
    <t>Повторы</t>
  </si>
  <si>
    <t>Березина Евгения</t>
  </si>
  <si>
    <t>Open (31.12.1988)/26</t>
  </si>
  <si>
    <t xml:space="preserve">Рыбинск/Ярославская область </t>
  </si>
  <si>
    <t>32</t>
  </si>
  <si>
    <t xml:space="preserve">Ерохов Андрей </t>
  </si>
  <si>
    <t>Кубок России СПР, Народный жим (1 вес)
20 - 21 июня 2015, Суздаль</t>
  </si>
  <si>
    <t>21</t>
  </si>
  <si>
    <t>Силушин Павел</t>
  </si>
  <si>
    <t>Open (17.09.1989)/25</t>
  </si>
  <si>
    <t>83,80</t>
  </si>
  <si>
    <t xml:space="preserve">Силушин Александр </t>
  </si>
  <si>
    <t>Ляпунов Денис</t>
  </si>
  <si>
    <t>Open (19.06.1986)/29</t>
  </si>
  <si>
    <t>83,90</t>
  </si>
  <si>
    <t>Ерохов Андрей</t>
  </si>
  <si>
    <t>Masters 40-49 (07.08.1974)/40</t>
  </si>
  <si>
    <t>86,10</t>
  </si>
  <si>
    <t>Masters 60+ (30.08.1954)/60</t>
  </si>
  <si>
    <t xml:space="preserve">Александро-Невский/Рязанская область </t>
  </si>
  <si>
    <t>Буравлев Александр</t>
  </si>
  <si>
    <t>Juniors 20-23 (01.11.1992)/22</t>
  </si>
  <si>
    <t>97,90</t>
  </si>
  <si>
    <t>26</t>
  </si>
  <si>
    <t xml:space="preserve">Есаков Алексей </t>
  </si>
  <si>
    <t>Свеженцев Андрей</t>
  </si>
  <si>
    <t>Open (08.10.1979)/35</t>
  </si>
  <si>
    <t>34</t>
  </si>
  <si>
    <t>Мазурантов Вадим</t>
  </si>
  <si>
    <t>Open (23.04.1980)/35</t>
  </si>
  <si>
    <t>93,60</t>
  </si>
  <si>
    <t>95,0</t>
  </si>
  <si>
    <t>30</t>
  </si>
  <si>
    <t xml:space="preserve">Атанов Роман </t>
  </si>
  <si>
    <t>Смирнов Олег</t>
  </si>
  <si>
    <t>Open (22.01.1986)/29</t>
  </si>
  <si>
    <t>94,50</t>
  </si>
  <si>
    <t>22</t>
  </si>
  <si>
    <t>Бардин Владимир</t>
  </si>
  <si>
    <t>100,40</t>
  </si>
  <si>
    <t>37</t>
  </si>
  <si>
    <t>Open (02.10.1974)/40</t>
  </si>
  <si>
    <t>Галахов Александр</t>
  </si>
  <si>
    <t>Open (21.05.1971)/44</t>
  </si>
  <si>
    <t>106,90</t>
  </si>
  <si>
    <t xml:space="preserve">Орск/Оренбургская область </t>
  </si>
  <si>
    <t>31</t>
  </si>
  <si>
    <t>18</t>
  </si>
  <si>
    <t>Masters 40-49 (21.05.1971)/44</t>
  </si>
  <si>
    <t>Masters 40-49 (01.05.1970)/45</t>
  </si>
  <si>
    <t>6</t>
  </si>
  <si>
    <t>Шмаков Сергей</t>
  </si>
  <si>
    <t>Masters 50-59 (12.03.1965)/50</t>
  </si>
  <si>
    <t>102,50</t>
  </si>
  <si>
    <t>Романов Владимир</t>
  </si>
  <si>
    <t>Masters 40-49 (22.03.1968)/47</t>
  </si>
  <si>
    <t>15</t>
  </si>
  <si>
    <t>Masters 40-49 (27.02.1974)/41</t>
  </si>
  <si>
    <t>13</t>
  </si>
  <si>
    <t xml:space="preserve">Gloss </t>
  </si>
  <si>
    <t>3485,0</t>
  </si>
  <si>
    <t>3542,8510</t>
  </si>
  <si>
    <t>3792,5</t>
  </si>
  <si>
    <t>3464,0695</t>
  </si>
  <si>
    <t>3570,0</t>
  </si>
  <si>
    <t>3225,1380</t>
  </si>
  <si>
    <t>3400,0</t>
  </si>
  <si>
    <t>3128,6800</t>
  </si>
  <si>
    <t>3332,5</t>
  </si>
  <si>
    <t>2973,9231</t>
  </si>
  <si>
    <t>2805,0</t>
  </si>
  <si>
    <t>2849,3190</t>
  </si>
  <si>
    <t>2850,0</t>
  </si>
  <si>
    <t>2692,1100</t>
  </si>
  <si>
    <t>2090,0</t>
  </si>
  <si>
    <t>1962,5100</t>
  </si>
  <si>
    <t>1522,5</t>
  </si>
  <si>
    <t>1783,7610</t>
  </si>
  <si>
    <t>1980,0</t>
  </si>
  <si>
    <t>1762,2000</t>
  </si>
  <si>
    <t xml:space="preserve">Мастера 40 - 49 </t>
  </si>
  <si>
    <t>3101,8018</t>
  </si>
  <si>
    <t>2537,5</t>
  </si>
  <si>
    <t>2530,3950</t>
  </si>
  <si>
    <t xml:space="preserve">Мастера 50 - 59 </t>
  </si>
  <si>
    <t>2152,5</t>
  </si>
  <si>
    <t>2203,6865</t>
  </si>
  <si>
    <t>1950,0</t>
  </si>
  <si>
    <t>1801,8545</t>
  </si>
  <si>
    <t>1690,0</t>
  </si>
  <si>
    <t>1455,9857</t>
  </si>
  <si>
    <t xml:space="preserve">Мастера 60+ </t>
  </si>
  <si>
    <t>1080,0</t>
  </si>
  <si>
    <t>1402,9157</t>
  </si>
  <si>
    <t>Всероссийский мастерский турнир по армлифтингу WAA, Apollon Axle
20 - 21 июня 2015, Суздаль</t>
  </si>
  <si>
    <t>Apollon Axle</t>
  </si>
  <si>
    <t>4</t>
  </si>
  <si>
    <t>5</t>
  </si>
  <si>
    <t>7</t>
  </si>
  <si>
    <t>8</t>
  </si>
  <si>
    <t>ВЕСОВАЯ КАТЕГОРИЯ   80</t>
  </si>
  <si>
    <t>Добров Савва</t>
  </si>
  <si>
    <t>Open (25.03.1999)/16</t>
  </si>
  <si>
    <t>79,20</t>
  </si>
  <si>
    <t xml:space="preserve">Боец </t>
  </si>
  <si>
    <t xml:space="preserve">Грушин Владимир </t>
  </si>
  <si>
    <t>Грушин Владимир</t>
  </si>
  <si>
    <t>Open (04.12.1985)/29</t>
  </si>
  <si>
    <t>175.0</t>
  </si>
  <si>
    <t>Можаров Александр</t>
  </si>
  <si>
    <t>Master 40+ (21.01.1973)/42</t>
  </si>
  <si>
    <t>88,80</t>
  </si>
  <si>
    <t>Master 40+ (09.06.1974)/41</t>
  </si>
  <si>
    <t>Master 40+ (17.11.1974)/40</t>
  </si>
  <si>
    <t>Бурыблин Александр</t>
  </si>
  <si>
    <t>Open (09.11.1981)/33</t>
  </si>
  <si>
    <t>102,10</t>
  </si>
  <si>
    <t xml:space="preserve">Навашино/Нижегородская область </t>
  </si>
  <si>
    <t>Борисов Игорь</t>
  </si>
  <si>
    <t>Open (10.04.1963)/52</t>
  </si>
  <si>
    <t>106,80</t>
  </si>
  <si>
    <t>Master 40+ (10.04.1963)/52</t>
  </si>
  <si>
    <t>Мережко Алексей</t>
  </si>
  <si>
    <t>Евсиков Владимир</t>
  </si>
  <si>
    <t>Master 40+ (27.07.1952)/62</t>
  </si>
  <si>
    <t>102,70</t>
  </si>
  <si>
    <t>Гжель/Московская область</t>
  </si>
  <si>
    <t>Кириллов Александр</t>
  </si>
  <si>
    <t>Open (04.03.1973)/42</t>
  </si>
  <si>
    <t>120,90</t>
  </si>
  <si>
    <t xml:space="preserve">Новомосковск/Тульская область </t>
  </si>
  <si>
    <t>Master 40+ (04.03.1973)/42</t>
  </si>
  <si>
    <t>ВЕСОВАЯ КАТЕГОРИЯ   125+</t>
  </si>
  <si>
    <t>Леонов Тимофей</t>
  </si>
  <si>
    <t>Open (23.05.1989)/26</t>
  </si>
  <si>
    <t>125,40</t>
  </si>
  <si>
    <t>90</t>
  </si>
  <si>
    <t>125</t>
  </si>
  <si>
    <t>110</t>
  </si>
  <si>
    <t>170,00</t>
  </si>
  <si>
    <t>155,00</t>
  </si>
  <si>
    <t>150,00</t>
  </si>
  <si>
    <t>Всероссийский мастерский турнир по армлифтингу WAA, Rolling Thunder
20 - 21 июня 2015, Суздаль</t>
  </si>
  <si>
    <t>Rolling Thunder</t>
  </si>
  <si>
    <t>Залевский Александр</t>
  </si>
  <si>
    <t>Junior (26.02.1997)/18</t>
  </si>
  <si>
    <t>76,30</t>
  </si>
  <si>
    <t xml:space="preserve">Югорск/Ханты-Мансийский АО </t>
  </si>
  <si>
    <t>53,0</t>
  </si>
  <si>
    <t>58,0</t>
  </si>
  <si>
    <t>63,0</t>
  </si>
  <si>
    <t>68,0</t>
  </si>
  <si>
    <t>73,0</t>
  </si>
  <si>
    <t>75,5</t>
  </si>
  <si>
    <t>75.50</t>
  </si>
  <si>
    <t>78,0</t>
  </si>
  <si>
    <t>80,5</t>
  </si>
  <si>
    <t>80.50</t>
  </si>
  <si>
    <t>73.00</t>
  </si>
  <si>
    <t>83,0</t>
  </si>
  <si>
    <t>83.00</t>
  </si>
  <si>
    <t>101,70</t>
  </si>
  <si>
    <t>53.00</t>
  </si>
  <si>
    <t>58.00</t>
  </si>
  <si>
    <t>Всероссийский мастерский турнир по армлифтингу WAA, HUB
20 - 21 июня 2015, Суздаль</t>
  </si>
  <si>
    <t>HUB</t>
  </si>
  <si>
    <t>АБСОЛЮТНАЯ КАТЕГОРИЯ - ЖЕНЩИНЫ</t>
  </si>
  <si>
    <t>17,5</t>
  </si>
  <si>
    <t>20,0</t>
  </si>
  <si>
    <t>21,25</t>
  </si>
  <si>
    <t>22,5</t>
  </si>
  <si>
    <t>23,75</t>
  </si>
  <si>
    <t>Евтихова Юлия</t>
  </si>
  <si>
    <t>Open (01.11.1992)/22</t>
  </si>
  <si>
    <t>59,10</t>
  </si>
  <si>
    <t xml:space="preserve">Брянск/Брянская область </t>
  </si>
  <si>
    <t>12,5</t>
  </si>
  <si>
    <t>15,0</t>
  </si>
  <si>
    <t>16,25</t>
  </si>
  <si>
    <t>18,75</t>
  </si>
  <si>
    <t>Бояров Александр</t>
  </si>
  <si>
    <t>АБСОЛЮТНАЯ КАТЕГОРИЯ - МУЖЧИНЫ</t>
  </si>
  <si>
    <t>Open (21.07.1986)/28</t>
  </si>
  <si>
    <t>92,50</t>
  </si>
  <si>
    <t>27,5</t>
  </si>
  <si>
    <t>31,25</t>
  </si>
  <si>
    <t>Виткевич Николай</t>
  </si>
  <si>
    <t>Всероссийский мастерский турнир по армлифтингу WAA, Excalibur
20 - 21 июня 2015, Суздаль</t>
  </si>
  <si>
    <t>Excalibur</t>
  </si>
  <si>
    <t>Смирнов Иван</t>
  </si>
  <si>
    <t>Open (21.05.1987)/28</t>
  </si>
  <si>
    <t>Ярославль/Ярославская область</t>
  </si>
  <si>
    <t>94.7515</t>
  </si>
  <si>
    <t>0,6113</t>
  </si>
  <si>
    <t>Возрастная группа
Год рождения/Возраст</t>
  </si>
  <si>
    <t>Коэф</t>
  </si>
  <si>
    <t>400,0</t>
  </si>
  <si>
    <t>420,0</t>
  </si>
  <si>
    <t>440,0</t>
  </si>
  <si>
    <t>Open (04.12.1973)/41</t>
  </si>
  <si>
    <t>Богородицк Стронг</t>
  </si>
  <si>
    <t>Богородицк/Тульская область</t>
  </si>
  <si>
    <t>440,00</t>
  </si>
  <si>
    <t>Мужчины - абсолютный зачет</t>
  </si>
  <si>
    <t>370,00</t>
  </si>
  <si>
    <t>Кубок России IPL, Парная тяга без экипировки
20 - 21 июня 2015, Суздаль</t>
  </si>
  <si>
    <t>Жим/первое упражнение</t>
  </si>
  <si>
    <t>Жим/второе упражнение</t>
  </si>
  <si>
    <t>Сумма баллов</t>
  </si>
  <si>
    <t>ВЕСОВАЯ КАТЕГОРИЯ   70</t>
  </si>
  <si>
    <t>Мужчины - любители с прохождением допинг контроля</t>
  </si>
  <si>
    <t>Женщины - любители</t>
  </si>
  <si>
    <t>Мужчины - любители</t>
  </si>
  <si>
    <t>Калугин Игорь</t>
  </si>
  <si>
    <t>Open (21.10.1983)/31</t>
  </si>
  <si>
    <t>Троицк/Московская область</t>
  </si>
  <si>
    <t>Голубев Ярослав</t>
  </si>
  <si>
    <t>Зайцев Олег</t>
  </si>
  <si>
    <t>Open (05.01.1976)/38</t>
  </si>
  <si>
    <t>Переславль Залеский/Московская область</t>
  </si>
  <si>
    <t>Мужчины - профессионалы</t>
  </si>
  <si>
    <t>Кубок России по жимовому двоеборью
20-21 июня 2015, Суздаль</t>
  </si>
  <si>
    <t>0,5919</t>
  </si>
  <si>
    <t>Сучкова Анна</t>
  </si>
  <si>
    <t>Open (17.10.1979)/35</t>
  </si>
  <si>
    <t>64,60</t>
  </si>
  <si>
    <t>Касимов/Рязанская область</t>
  </si>
  <si>
    <t>Прохина Полина</t>
  </si>
  <si>
    <t>Masters 40-45 (31.07.1970)/44</t>
  </si>
  <si>
    <t>94,90</t>
  </si>
  <si>
    <t>0.8470</t>
  </si>
  <si>
    <t>Бакеев Адиль</t>
  </si>
  <si>
    <t>ВЕСОВАЯ КАТЕГОРИЯ  70</t>
  </si>
  <si>
    <t>Рохманов Михаил</t>
  </si>
  <si>
    <t>Open (29.05.1986)/29</t>
  </si>
  <si>
    <t>69,70</t>
  </si>
  <si>
    <t>0.7519</t>
  </si>
  <si>
    <t>Ржев/Тверская область</t>
  </si>
  <si>
    <t>Журавлев Максим</t>
  </si>
  <si>
    <t>Juniors 18-23 (24.08.1992)/22</t>
  </si>
  <si>
    <t>80,00</t>
  </si>
  <si>
    <t>0.6827</t>
  </si>
  <si>
    <t>Владимир/Владимирская область</t>
  </si>
  <si>
    <t>Малыхин Евгений</t>
  </si>
  <si>
    <t>Juniors 18-23 (07.03.1997)/18</t>
  </si>
  <si>
    <t>84,70</t>
  </si>
  <si>
    <t>0.6597</t>
  </si>
  <si>
    <t xml:space="preserve">0.6384 </t>
  </si>
  <si>
    <t>0.6388</t>
  </si>
  <si>
    <t>Александро - Невский/Рязанская область</t>
  </si>
  <si>
    <t>Нестеренко Андрей</t>
  </si>
  <si>
    <t>Open (18.02.1992)/23</t>
  </si>
  <si>
    <t>97,00</t>
  </si>
  <si>
    <t xml:space="preserve">0.6163 </t>
  </si>
  <si>
    <t>Покров/Владимирская область</t>
  </si>
  <si>
    <t>0.6150</t>
  </si>
  <si>
    <t>0.6009</t>
  </si>
  <si>
    <t>0.5912</t>
  </si>
  <si>
    <t>Masters 45-50 (01.05.1970)/45</t>
  </si>
  <si>
    <t>0.5910</t>
  </si>
  <si>
    <t>Рязань/Рязанская область</t>
  </si>
  <si>
    <t>ВЕСОВАЯ КАТЕГОРИЯ   120</t>
  </si>
  <si>
    <t>Литвинов Дмитрий</t>
  </si>
  <si>
    <t>185.0</t>
  </si>
  <si>
    <t>Open (17.01.1989)/26</t>
  </si>
  <si>
    <t>119,70</t>
  </si>
  <si>
    <t>0.5753</t>
  </si>
  <si>
    <t>ВЕСОВАЯ КАТЕГОРИЯ   130</t>
  </si>
  <si>
    <t>Илларионов Максим</t>
  </si>
  <si>
    <t>Open (29.12.1989)/25</t>
  </si>
  <si>
    <t>123,40</t>
  </si>
  <si>
    <t>0.5714</t>
  </si>
  <si>
    <t>Барягин Леонид</t>
  </si>
  <si>
    <t>Open (23.08.1963)/53</t>
  </si>
  <si>
    <t>122,60</t>
  </si>
  <si>
    <t>0.5722</t>
  </si>
  <si>
    <t>Команда КЖД</t>
  </si>
  <si>
    <t>Женщины - профессионалы</t>
  </si>
  <si>
    <t>1.0432</t>
  </si>
  <si>
    <t>Иванов Сергей и Корнилов Денис</t>
  </si>
  <si>
    <t>Гулян Арарат</t>
  </si>
  <si>
    <t>Open (07.08.1989)/25</t>
  </si>
  <si>
    <t>69,80</t>
  </si>
  <si>
    <t>0.7510</t>
  </si>
  <si>
    <t>Спортсмены с ограниченными возможностями</t>
  </si>
  <si>
    <t>ВЕСОВАЯ КАТЕГОРИЯ  80</t>
  </si>
  <si>
    <t>Баранов Евгений</t>
  </si>
  <si>
    <t>Open (08.10.1982)/32</t>
  </si>
  <si>
    <t>74,50</t>
  </si>
  <si>
    <t>0.7159</t>
  </si>
  <si>
    <t>Вязники/Владимирская область</t>
  </si>
  <si>
    <t>Ольберг Анатолий</t>
  </si>
  <si>
    <t>Мужчины - облегченная экипировка</t>
  </si>
  <si>
    <t>Новоселов Александр</t>
  </si>
  <si>
    <t>Open (05.12.1987)/27</t>
  </si>
  <si>
    <t>79,00</t>
  </si>
  <si>
    <t>0.6882</t>
  </si>
  <si>
    <t>Лосино Петровский/Московская область</t>
  </si>
  <si>
    <t>Леонов Павел</t>
  </si>
  <si>
    <t>Open (20.10.1980)/35</t>
  </si>
  <si>
    <t>109,50</t>
  </si>
  <si>
    <t>0.5893</t>
  </si>
  <si>
    <t>ВЕСОВАЯ КАТЕГОРИЯ  110</t>
  </si>
  <si>
    <t>Мужчины - жим лежа/отдельное упражнение</t>
  </si>
  <si>
    <t>Цуканов Максим</t>
  </si>
  <si>
    <t>Open (09.12.1980)/34</t>
  </si>
  <si>
    <t>132,20</t>
  </si>
  <si>
    <t>0.5639</t>
  </si>
  <si>
    <t>Алибегов Мурад</t>
  </si>
  <si>
    <t>Open (13.02.1977)/38</t>
  </si>
  <si>
    <t>127,50</t>
  </si>
  <si>
    <t>0.5676</t>
  </si>
  <si>
    <t>Мужчины - богатырский жим</t>
  </si>
  <si>
    <t>ВЕСОВАЯ КАТЕГОРИЯ  100</t>
  </si>
  <si>
    <t>Есаков Алексей</t>
  </si>
  <si>
    <t>Open (13.11.1977)/37</t>
  </si>
  <si>
    <t>0.6086</t>
  </si>
  <si>
    <t>Сарычев Кирилл</t>
  </si>
  <si>
    <t>171,00</t>
  </si>
  <si>
    <t>0.5426</t>
  </si>
  <si>
    <t>Пугачев/Саратовская область</t>
  </si>
  <si>
    <t>ВЕСОВАЯ КАТЕГОРИЯ СВЫШЕ 90</t>
  </si>
  <si>
    <t>ВЕСОВАЯ КАТЕГОРИЯ СВЫШЕ 130</t>
  </si>
  <si>
    <t>Мужчины - военно - богатырский жим</t>
  </si>
  <si>
    <t>ВЕСОВАЯ КАТЕГОРИЯ  130</t>
  </si>
  <si>
    <t>Мужчины - военный жим</t>
  </si>
  <si>
    <t>0.6139</t>
  </si>
  <si>
    <t>Juniors 18-23 (01.11.1992)/22</t>
  </si>
  <si>
    <t>0.6118</t>
  </si>
  <si>
    <t>Мужчины - военный жим/отдельное упражнение</t>
  </si>
  <si>
    <t>Краснов Илья</t>
  </si>
  <si>
    <t>Open (29.09.1975)/39</t>
  </si>
  <si>
    <t>109,00</t>
  </si>
  <si>
    <t>0.5902</t>
  </si>
  <si>
    <t>Жуковский/Московская область</t>
  </si>
  <si>
    <t>Главный судья соревнований: Длужневский Сергей/Вологда МК</t>
  </si>
  <si>
    <t>Главный секретарь: Новиков Степан/Вологда МК</t>
  </si>
  <si>
    <t>Аппеляционное жюри: Длужневская Эльвира/Вологда МК, Длужневский Сергей/Вологда МК, Новиков Степан/Вологда МК</t>
  </si>
  <si>
    <t>Главный секретарь: Длужневский Сергей/Вологда МК</t>
  </si>
  <si>
    <t>Центральный судья на помосте: Длужневская Эльвира/Вологда НК, Смирнов Олег/Санкт Петербург РК</t>
  </si>
  <si>
    <t>Состав судейской коллегии на Кубке России по пауэрлифтингу, его отдельным движениям, народному жиму и пауэрспорту по версии IPL/ International Powerlifting League и "Союз пауэрлифтеров России"
Суздаль, 20-21 июня 2015 года</t>
  </si>
  <si>
    <t>Помощник главного секретаря: Ермолаева Дарья/Санкт Петербург</t>
  </si>
  <si>
    <t>Центральный судья на помосте: Новиков Степан/Вологда МК, Туманов Александр/Серпухов НК, Смирнов Олег/Санкт Петербург НК</t>
  </si>
  <si>
    <t>Трапезникова Наталья/Санкт Петербург РК, Гунина Ксения/Москва РК, Трухтанов Павел/Самара РК, Длужневская Эльвира/Вологда МК.</t>
  </si>
  <si>
    <t>Состав судейской коллегии на Всероссийском мастерском турнире по армлифтингу
Суздаль, 20-21 июня 2015 года</t>
  </si>
  <si>
    <t>Состав судейской коллегии на Всероссийском мастерском турнире по жимовому двоеборью
Суздаль, 20-21 июня 2015 года</t>
  </si>
  <si>
    <t>Боковые судьи на помосте: Смирнов Олег/Санкт Петербург НК, Колохин Павел/Владимир РК, Длужневская Эльвира/Вологда МК,</t>
  </si>
  <si>
    <t>Трапезникова Наталья/Санкт Петербург РК, Трухтанов Павел/Самара РК.</t>
  </si>
  <si>
    <t xml:space="preserve">Боковые судьи на помосте: Смирнов Олег/Санкт Петербург НК, Клюшев Александр/Владимир РК, Колохин Павел/Владимир РК, Семенов Илья/Москва НК, </t>
  </si>
  <si>
    <t>Команда Длужневского</t>
  </si>
  <si>
    <t>Тверская команда</t>
  </si>
  <si>
    <t>Командный зачет Кубка России по пауэрлифтингу, его отдельным движениям, народному жиму и пауэрспорту, а также Всероссийского мастерского турнира по жимовому двоеборью и армлифтингу
Суздаль, 20-21 мая 2015 года</t>
  </si>
  <si>
    <t>Полуэктов Сергей</t>
  </si>
  <si>
    <t>Open (25.01.1977)/38</t>
  </si>
  <si>
    <t>Ковров/Владимирская область</t>
  </si>
  <si>
    <t>152.5</t>
  </si>
  <si>
    <t>Витязь</t>
  </si>
  <si>
    <t>Боец</t>
  </si>
  <si>
    <t>КЖД</t>
  </si>
  <si>
    <t>Вегетарианская Сила</t>
  </si>
  <si>
    <t>Open (01.01.1989)/26</t>
  </si>
  <si>
    <t>Open (09.10.1973)/41</t>
  </si>
  <si>
    <t>70</t>
  </si>
  <si>
    <t>40</t>
  </si>
  <si>
    <t xml:space="preserve"> DQ</t>
  </si>
  <si>
    <t>Соплавский Сергей</t>
  </si>
  <si>
    <t>Teenage 15-19 (30.11.1995)/19</t>
  </si>
  <si>
    <t>62,5</t>
  </si>
  <si>
    <t>139,6725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</si>
</sst>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62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1"/>
      <name val="Arial Cyr"/>
      <family val="0"/>
    </font>
    <font>
      <b/>
      <strike/>
      <sz val="10"/>
      <color indexed="10"/>
      <name val="Arial Cyr"/>
      <family val="0"/>
    </font>
    <font>
      <b/>
      <strike/>
      <sz val="10"/>
      <color indexed="21"/>
      <name val="Arial Cyr"/>
      <family val="0"/>
    </font>
    <font>
      <strike/>
      <sz val="10"/>
      <color indexed="10"/>
      <name val="Arial Cyr"/>
      <family val="0"/>
    </font>
    <font>
      <sz val="10"/>
      <color indexed="63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 Cyr"/>
      <family val="0"/>
    </font>
    <font>
      <b/>
      <strike/>
      <sz val="10"/>
      <color rgb="FFFF0000"/>
      <name val="Arial Cyr"/>
      <family val="0"/>
    </font>
    <font>
      <b/>
      <strike/>
      <sz val="10"/>
      <color rgb="FF00B050"/>
      <name val="Arial Cyr"/>
      <family val="0"/>
    </font>
    <font>
      <strike/>
      <sz val="10"/>
      <color rgb="FFFF0000"/>
      <name val="Arial Cyr"/>
      <family val="0"/>
    </font>
    <font>
      <sz val="10"/>
      <color rgb="FF3B3B3B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49" fontId="8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8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6" fillId="0" borderId="14" xfId="0" applyNumberFormat="1" applyFont="1" applyBorder="1" applyAlignment="1">
      <alignment/>
    </xf>
    <xf numFmtId="49" fontId="57" fillId="0" borderId="14" xfId="0" applyNumberFormat="1" applyFont="1" applyBorder="1" applyAlignment="1">
      <alignment/>
    </xf>
    <xf numFmtId="49" fontId="57" fillId="0" borderId="11" xfId="0" applyNumberFormat="1" applyFont="1" applyBorder="1" applyAlignment="1">
      <alignment/>
    </xf>
    <xf numFmtId="49" fontId="56" fillId="0" borderId="11" xfId="0" applyNumberFormat="1" applyFont="1" applyBorder="1" applyAlignment="1">
      <alignment/>
    </xf>
    <xf numFmtId="49" fontId="57" fillId="0" borderId="12" xfId="0" applyNumberFormat="1" applyFont="1" applyBorder="1" applyAlignment="1">
      <alignment/>
    </xf>
    <xf numFmtId="49" fontId="56" fillId="0" borderId="12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58" fillId="0" borderId="14" xfId="0" applyNumberFormat="1" applyFont="1" applyBorder="1" applyAlignment="1">
      <alignment/>
    </xf>
    <xf numFmtId="49" fontId="56" fillId="0" borderId="0" xfId="0" applyNumberFormat="1" applyFont="1" applyAlignment="1">
      <alignment/>
    </xf>
    <xf numFmtId="49" fontId="58" fillId="0" borderId="11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56" fillId="0" borderId="13" xfId="0" applyNumberFormat="1" applyFont="1" applyBorder="1" applyAlignment="1">
      <alignment/>
    </xf>
    <xf numFmtId="49" fontId="57" fillId="0" borderId="13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49" fontId="1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57" fillId="0" borderId="11" xfId="0" applyNumberFormat="1" applyFont="1" applyFill="1" applyBorder="1" applyAlignment="1">
      <alignment horizontal="center"/>
    </xf>
    <xf numFmtId="49" fontId="57" fillId="0" borderId="12" xfId="0" applyNumberFormat="1" applyFont="1" applyFill="1" applyBorder="1" applyAlignment="1">
      <alignment horizontal="center"/>
    </xf>
    <xf numFmtId="49" fontId="57" fillId="0" borderId="13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49" fontId="58" fillId="0" borderId="11" xfId="0" applyNumberFormat="1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49" fontId="56" fillId="0" borderId="14" xfId="0" applyNumberFormat="1" applyFont="1" applyFill="1" applyBorder="1" applyAlignment="1">
      <alignment horizontal="center"/>
    </xf>
    <xf numFmtId="49" fontId="57" fillId="0" borderId="14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56" fillId="0" borderId="14" xfId="0" applyNumberFormat="1" applyFont="1" applyFill="1" applyBorder="1" applyAlignment="1">
      <alignment/>
    </xf>
    <xf numFmtId="49" fontId="57" fillId="0" borderId="14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9" fontId="0" fillId="0" borderId="15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9" fontId="8" fillId="0" borderId="12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56" fillId="33" borderId="11" xfId="0" applyNumberFormat="1" applyFont="1" applyFill="1" applyBorder="1" applyAlignment="1">
      <alignment/>
    </xf>
    <xf numFmtId="49" fontId="56" fillId="33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14" xfId="0" applyBorder="1" applyAlignment="1">
      <alignment horizontal="left"/>
    </xf>
    <xf numFmtId="174" fontId="0" fillId="0" borderId="14" xfId="0" applyNumberFormat="1" applyBorder="1" applyAlignment="1">
      <alignment horizontal="left"/>
    </xf>
    <xf numFmtId="0" fontId="59" fillId="0" borderId="14" xfId="0" applyFont="1" applyBorder="1" applyAlignment="1">
      <alignment/>
    </xf>
    <xf numFmtId="0" fontId="60" fillId="0" borderId="14" xfId="0" applyFont="1" applyBorder="1" applyAlignment="1">
      <alignment/>
    </xf>
    <xf numFmtId="172" fontId="59" fillId="0" borderId="1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14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8" xfId="0" applyNumberFormat="1" applyBorder="1" applyAlignment="1">
      <alignment horizontal="left"/>
    </xf>
    <xf numFmtId="49" fontId="0" fillId="0" borderId="14" xfId="0" applyNumberFormat="1" applyBorder="1" applyAlignment="1">
      <alignment horizontal="right"/>
    </xf>
    <xf numFmtId="0" fontId="61" fillId="0" borderId="0" xfId="0" applyFont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L23" sqref="L20:M23"/>
    </sheetView>
  </sheetViews>
  <sheetFormatPr defaultColWidth="8.75390625" defaultRowHeight="12.75"/>
  <cols>
    <col min="1" max="1" width="4.375" style="0" customWidth="1"/>
    <col min="2" max="2" width="22.25390625" style="0" customWidth="1"/>
    <col min="3" max="3" width="26.00390625" style="0" customWidth="1"/>
    <col min="4" max="4" width="14.875" style="0" customWidth="1"/>
    <col min="5" max="5" width="17.25390625" style="0" customWidth="1"/>
    <col min="6" max="6" width="32.25390625" style="0" customWidth="1"/>
    <col min="7" max="14" width="8.75390625" style="0" customWidth="1"/>
    <col min="15" max="15" width="12.375" style="0" customWidth="1"/>
    <col min="16" max="16" width="20.625" style="0" customWidth="1"/>
  </cols>
  <sheetData>
    <row r="1" spans="1:16" ht="12.75">
      <c r="A1" s="33"/>
      <c r="B1" s="147" t="s">
        <v>934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</row>
    <row r="2" spans="1:16" ht="52.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6" ht="13.5">
      <c r="A3" s="2"/>
      <c r="B3" s="153" t="s">
        <v>0</v>
      </c>
      <c r="C3" s="155" t="s">
        <v>9</v>
      </c>
      <c r="D3" s="142" t="s">
        <v>10</v>
      </c>
      <c r="E3" s="142" t="s">
        <v>7</v>
      </c>
      <c r="F3" s="142" t="s">
        <v>663</v>
      </c>
      <c r="G3" s="142" t="s">
        <v>935</v>
      </c>
      <c r="H3" s="142"/>
      <c r="I3" s="142"/>
      <c r="J3" s="142"/>
      <c r="K3" s="142"/>
      <c r="L3" s="142"/>
      <c r="M3" s="142"/>
      <c r="N3" s="142"/>
      <c r="O3" s="142" t="s">
        <v>661</v>
      </c>
      <c r="P3" s="144" t="s">
        <v>5</v>
      </c>
    </row>
    <row r="4" spans="1:16" ht="15" thickBot="1">
      <c r="A4" s="2"/>
      <c r="B4" s="154"/>
      <c r="C4" s="143"/>
      <c r="D4" s="143"/>
      <c r="E4" s="143"/>
      <c r="F4" s="143"/>
      <c r="G4" s="32">
        <v>1</v>
      </c>
      <c r="H4" s="32">
        <v>2</v>
      </c>
      <c r="I4" s="32">
        <v>3</v>
      </c>
      <c r="J4" s="32" t="s">
        <v>843</v>
      </c>
      <c r="K4" s="32" t="s">
        <v>844</v>
      </c>
      <c r="L4" s="32" t="s">
        <v>797</v>
      </c>
      <c r="M4" s="32" t="s">
        <v>845</v>
      </c>
      <c r="N4" s="32" t="s">
        <v>846</v>
      </c>
      <c r="O4" s="143"/>
      <c r="P4" s="145"/>
    </row>
    <row r="5" spans="1:16" ht="15.75">
      <c r="A5" s="34"/>
      <c r="B5" s="146" t="s">
        <v>928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7"/>
    </row>
    <row r="6" spans="1:16" ht="12.75">
      <c r="A6" s="34">
        <v>1</v>
      </c>
      <c r="B6" s="18" t="s">
        <v>853</v>
      </c>
      <c r="C6" s="18" t="s">
        <v>854</v>
      </c>
      <c r="D6" s="102" t="s">
        <v>626</v>
      </c>
      <c r="E6" s="18" t="s">
        <v>851</v>
      </c>
      <c r="F6" s="18" t="s">
        <v>247</v>
      </c>
      <c r="G6" s="40" t="s">
        <v>270</v>
      </c>
      <c r="H6" s="40" t="s">
        <v>255</v>
      </c>
      <c r="I6" s="40" t="s">
        <v>361</v>
      </c>
      <c r="J6" s="40" t="s">
        <v>80</v>
      </c>
      <c r="K6" s="40" t="s">
        <v>26</v>
      </c>
      <c r="L6" s="40"/>
      <c r="M6" s="39"/>
      <c r="N6" s="96"/>
      <c r="O6" s="87">
        <v>100</v>
      </c>
      <c r="P6" s="28" t="s">
        <v>81</v>
      </c>
    </row>
    <row r="7" spans="1:16" ht="12.75">
      <c r="A7" s="34">
        <v>2</v>
      </c>
      <c r="B7" s="28" t="s">
        <v>927</v>
      </c>
      <c r="C7" s="28" t="s">
        <v>929</v>
      </c>
      <c r="D7" s="103" t="s">
        <v>930</v>
      </c>
      <c r="E7" s="28" t="s">
        <v>685</v>
      </c>
      <c r="F7" s="28" t="s">
        <v>922</v>
      </c>
      <c r="G7" s="40" t="s">
        <v>270</v>
      </c>
      <c r="H7" s="40" t="s">
        <v>255</v>
      </c>
      <c r="I7" s="40" t="s">
        <v>361</v>
      </c>
      <c r="J7" s="40" t="s">
        <v>80</v>
      </c>
      <c r="K7" s="38" t="s">
        <v>26</v>
      </c>
      <c r="L7" s="94"/>
      <c r="M7" s="94"/>
      <c r="N7" s="94"/>
      <c r="O7" s="84">
        <v>90</v>
      </c>
      <c r="P7" s="18" t="s">
        <v>933</v>
      </c>
    </row>
    <row r="8" spans="1:16" ht="12.75">
      <c r="A8" s="34">
        <v>3</v>
      </c>
      <c r="B8" s="18" t="s">
        <v>865</v>
      </c>
      <c r="C8" s="12" t="s">
        <v>866</v>
      </c>
      <c r="D8" s="11" t="s">
        <v>867</v>
      </c>
      <c r="E8" s="12" t="s">
        <v>16</v>
      </c>
      <c r="F8" s="12" t="s">
        <v>864</v>
      </c>
      <c r="G8" s="40" t="s">
        <v>270</v>
      </c>
      <c r="H8" s="40" t="s">
        <v>255</v>
      </c>
      <c r="I8" s="40" t="s">
        <v>361</v>
      </c>
      <c r="J8" s="40" t="s">
        <v>80</v>
      </c>
      <c r="K8" s="38" t="s">
        <v>26</v>
      </c>
      <c r="L8" s="101"/>
      <c r="M8" s="101"/>
      <c r="N8" s="101"/>
      <c r="O8" s="84">
        <v>90</v>
      </c>
      <c r="P8" s="31" t="s">
        <v>81</v>
      </c>
    </row>
    <row r="9" spans="1:16" ht="12.75">
      <c r="A9" s="34">
        <v>4</v>
      </c>
      <c r="B9" s="18" t="s">
        <v>874</v>
      </c>
      <c r="C9" s="18" t="s">
        <v>875</v>
      </c>
      <c r="D9" s="102" t="s">
        <v>876</v>
      </c>
      <c r="E9" s="18" t="s">
        <v>685</v>
      </c>
      <c r="F9" s="12" t="s">
        <v>877</v>
      </c>
      <c r="G9" s="37" t="s">
        <v>270</v>
      </c>
      <c r="H9" s="37" t="s">
        <v>255</v>
      </c>
      <c r="I9" s="37" t="s">
        <v>361</v>
      </c>
      <c r="J9" s="37" t="s">
        <v>80</v>
      </c>
      <c r="K9" s="38" t="s">
        <v>26</v>
      </c>
      <c r="L9" s="37"/>
      <c r="M9" s="94"/>
      <c r="N9" s="94"/>
      <c r="O9" s="84">
        <v>90</v>
      </c>
      <c r="P9" s="18" t="s">
        <v>81</v>
      </c>
    </row>
  </sheetData>
  <sheetProtection/>
  <mergeCells count="11">
    <mergeCell ref="G3:J3"/>
    <mergeCell ref="K3:N3"/>
    <mergeCell ref="O3:O4"/>
    <mergeCell ref="P3:P4"/>
    <mergeCell ref="B5:O5"/>
    <mergeCell ref="B1:P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3">
      <selection activeCell="C16" sqref="C16"/>
    </sheetView>
  </sheetViews>
  <sheetFormatPr defaultColWidth="8.75390625" defaultRowHeight="12.75"/>
  <cols>
    <col min="1" max="1" width="4.25390625" style="34" customWidth="1"/>
    <col min="2" max="2" width="22.375" style="17" customWidth="1"/>
    <col min="3" max="3" width="27.125" style="17" bestFit="1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37.625" style="17" customWidth="1"/>
    <col min="8" max="10" width="5.625" style="27" bestFit="1" customWidth="1"/>
    <col min="11" max="11" width="4.625" style="27" bestFit="1" customWidth="1"/>
    <col min="12" max="12" width="12.875" style="36" customWidth="1"/>
    <col min="13" max="13" width="8.625" style="17" bestFit="1" customWidth="1"/>
    <col min="14" max="14" width="22.75390625" style="17" customWidth="1"/>
  </cols>
  <sheetData>
    <row r="1" spans="1:14" s="1" customFormat="1" ht="15" customHeight="1">
      <c r="A1" s="33"/>
      <c r="B1" s="147" t="s">
        <v>703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4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3</v>
      </c>
      <c r="I3" s="142"/>
      <c r="J3" s="142"/>
      <c r="K3" s="142"/>
      <c r="L3" s="142" t="s">
        <v>661</v>
      </c>
      <c r="M3" s="142" t="s">
        <v>6</v>
      </c>
      <c r="N3" s="144" t="s">
        <v>5</v>
      </c>
    </row>
    <row r="4" spans="2:14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143"/>
      <c r="M4" s="143"/>
      <c r="N4" s="145"/>
    </row>
    <row r="5" spans="2:13" ht="15.75">
      <c r="B5" s="156" t="s">
        <v>12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34">
        <v>1</v>
      </c>
      <c r="B6" s="18" t="s">
        <v>607</v>
      </c>
      <c r="C6" s="18" t="s">
        <v>608</v>
      </c>
      <c r="D6" s="18" t="s">
        <v>23</v>
      </c>
      <c r="E6" s="18" t="str">
        <f>"1,0206"</f>
        <v>1,0206</v>
      </c>
      <c r="F6" s="18" t="s">
        <v>609</v>
      </c>
      <c r="G6" s="18" t="s">
        <v>705</v>
      </c>
      <c r="H6" s="37" t="s">
        <v>37</v>
      </c>
      <c r="I6" s="37" t="s">
        <v>19</v>
      </c>
      <c r="J6" s="38" t="s">
        <v>422</v>
      </c>
      <c r="K6" s="43"/>
      <c r="L6" s="84">
        <v>130</v>
      </c>
      <c r="M6" s="18" t="str">
        <f>"132,6780"</f>
        <v>132,6780</v>
      </c>
      <c r="N6" s="18" t="s">
        <v>704</v>
      </c>
    </row>
    <row r="8" spans="2:13" ht="15.75">
      <c r="B8" s="146" t="s">
        <v>46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4" ht="12.75">
      <c r="A9" s="34">
        <v>1</v>
      </c>
      <c r="B9" s="28" t="s">
        <v>610</v>
      </c>
      <c r="C9" s="28" t="s">
        <v>611</v>
      </c>
      <c r="D9" s="28" t="s">
        <v>612</v>
      </c>
      <c r="E9" s="28" t="str">
        <f>"0,9169"</f>
        <v>0,9169</v>
      </c>
      <c r="F9" s="18" t="s">
        <v>677</v>
      </c>
      <c r="G9" s="28" t="s">
        <v>355</v>
      </c>
      <c r="H9" s="40" t="s">
        <v>80</v>
      </c>
      <c r="I9" s="40" t="s">
        <v>36</v>
      </c>
      <c r="J9" s="39" t="s">
        <v>37</v>
      </c>
      <c r="K9" s="44"/>
      <c r="L9" s="87">
        <v>110</v>
      </c>
      <c r="M9" s="28" t="str">
        <f>"100,8590"</f>
        <v>100,8590</v>
      </c>
      <c r="N9" s="28" t="s">
        <v>613</v>
      </c>
    </row>
    <row r="10" spans="1:14" ht="12.75">
      <c r="A10" s="34">
        <v>1</v>
      </c>
      <c r="B10" s="18" t="s">
        <v>610</v>
      </c>
      <c r="C10" s="18" t="s">
        <v>614</v>
      </c>
      <c r="D10" s="18" t="s">
        <v>612</v>
      </c>
      <c r="E10" s="18" t="str">
        <f>"0,9169"</f>
        <v>0,9169</v>
      </c>
      <c r="F10" s="18" t="s">
        <v>677</v>
      </c>
      <c r="G10" s="18" t="s">
        <v>355</v>
      </c>
      <c r="H10" s="37" t="s">
        <v>80</v>
      </c>
      <c r="I10" s="37" t="s">
        <v>36</v>
      </c>
      <c r="J10" s="38" t="s">
        <v>37</v>
      </c>
      <c r="K10" s="43"/>
      <c r="L10" s="84">
        <v>110</v>
      </c>
      <c r="M10" s="18" t="str">
        <f>"100,8590"</f>
        <v>100,8590</v>
      </c>
      <c r="N10" s="18" t="s">
        <v>613</v>
      </c>
    </row>
    <row r="12" spans="2:13" ht="15.75">
      <c r="B12" s="146" t="s">
        <v>12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</row>
    <row r="13" spans="1:14" ht="12.75">
      <c r="A13" s="34">
        <v>1</v>
      </c>
      <c r="B13" s="18" t="s">
        <v>615</v>
      </c>
      <c r="C13" s="18" t="s">
        <v>616</v>
      </c>
      <c r="D13" s="18" t="s">
        <v>617</v>
      </c>
      <c r="E13" s="18" t="str">
        <f>"0,7832"</f>
        <v>0,7832</v>
      </c>
      <c r="F13" s="18" t="s">
        <v>16</v>
      </c>
      <c r="G13" s="18" t="s">
        <v>278</v>
      </c>
      <c r="H13" s="37" t="s">
        <v>19</v>
      </c>
      <c r="I13" s="37" t="s">
        <v>422</v>
      </c>
      <c r="J13" s="37" t="s">
        <v>131</v>
      </c>
      <c r="K13" s="46"/>
      <c r="L13" s="84">
        <v>150</v>
      </c>
      <c r="M13" s="18" t="str">
        <f>"117,4800"</f>
        <v>117,4800</v>
      </c>
      <c r="N13" s="18" t="s">
        <v>286</v>
      </c>
    </row>
    <row r="15" spans="2:13" ht="15.75">
      <c r="B15" s="146" t="s">
        <v>30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</row>
    <row r="16" spans="1:14" ht="12.75">
      <c r="A16" s="34">
        <v>1</v>
      </c>
      <c r="B16" s="18" t="s">
        <v>618</v>
      </c>
      <c r="C16" s="18" t="s">
        <v>619</v>
      </c>
      <c r="D16" s="18" t="s">
        <v>620</v>
      </c>
      <c r="E16" s="18" t="str">
        <f>"0,7285"</f>
        <v>0,7285</v>
      </c>
      <c r="F16" s="18" t="s">
        <v>16</v>
      </c>
      <c r="G16" s="18" t="s">
        <v>278</v>
      </c>
      <c r="H16" s="37" t="s">
        <v>132</v>
      </c>
      <c r="I16" s="37" t="s">
        <v>66</v>
      </c>
      <c r="J16" s="37" t="s">
        <v>312</v>
      </c>
      <c r="K16" s="43"/>
      <c r="L16" s="84">
        <v>182.5</v>
      </c>
      <c r="M16" s="18" t="str">
        <f>"132,9513"</f>
        <v>132,9513</v>
      </c>
      <c r="N16" s="18" t="s">
        <v>286</v>
      </c>
    </row>
    <row r="18" spans="2:13" ht="15.75">
      <c r="B18" s="146" t="s">
        <v>46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4" ht="12.75">
      <c r="A19" s="34">
        <v>1</v>
      </c>
      <c r="B19" s="28" t="s">
        <v>47</v>
      </c>
      <c r="C19" s="28" t="s">
        <v>48</v>
      </c>
      <c r="D19" s="28" t="s">
        <v>49</v>
      </c>
      <c r="E19" s="28" t="str">
        <f>"0,6774"</f>
        <v>0,6774</v>
      </c>
      <c r="F19" s="28" t="s">
        <v>16</v>
      </c>
      <c r="G19" s="28" t="s">
        <v>50</v>
      </c>
      <c r="H19" s="40" t="s">
        <v>108</v>
      </c>
      <c r="I19" s="40" t="s">
        <v>109</v>
      </c>
      <c r="J19" s="39" t="s">
        <v>110</v>
      </c>
      <c r="K19" s="44"/>
      <c r="L19" s="87">
        <v>210</v>
      </c>
      <c r="M19" s="28" t="str">
        <f>"142,2540"</f>
        <v>142,2540</v>
      </c>
      <c r="N19" s="28" t="s">
        <v>624</v>
      </c>
    </row>
    <row r="20" spans="1:14" ht="12.75">
      <c r="A20" s="34">
        <v>1</v>
      </c>
      <c r="B20" s="18" t="s">
        <v>621</v>
      </c>
      <c r="C20" s="18" t="s">
        <v>622</v>
      </c>
      <c r="D20" s="18" t="s">
        <v>623</v>
      </c>
      <c r="E20" s="18" t="str">
        <f>"0,6724"</f>
        <v>0,6724</v>
      </c>
      <c r="F20" s="18" t="s">
        <v>691</v>
      </c>
      <c r="G20" s="18" t="s">
        <v>564</v>
      </c>
      <c r="H20" s="37" t="s">
        <v>110</v>
      </c>
      <c r="I20" s="46"/>
      <c r="J20" s="43"/>
      <c r="K20" s="43"/>
      <c r="L20" s="84">
        <v>220</v>
      </c>
      <c r="M20" s="18" t="str">
        <f>"148,6676"</f>
        <v>148,6676</v>
      </c>
      <c r="N20" s="18" t="s">
        <v>81</v>
      </c>
    </row>
    <row r="22" spans="2:13" ht="15.75">
      <c r="B22" s="146" t="s">
        <v>60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</row>
    <row r="23" spans="1:14" ht="12.75">
      <c r="A23" s="34">
        <v>1</v>
      </c>
      <c r="B23" s="28" t="s">
        <v>624</v>
      </c>
      <c r="C23" s="28" t="s">
        <v>625</v>
      </c>
      <c r="D23" s="28" t="s">
        <v>626</v>
      </c>
      <c r="E23" s="28" t="str">
        <f>"0,6406"</f>
        <v>0,6406</v>
      </c>
      <c r="F23" s="28" t="s">
        <v>16</v>
      </c>
      <c r="G23" s="28" t="s">
        <v>50</v>
      </c>
      <c r="H23" s="39" t="s">
        <v>627</v>
      </c>
      <c r="I23" s="40" t="s">
        <v>627</v>
      </c>
      <c r="J23" s="39" t="s">
        <v>169</v>
      </c>
      <c r="K23" s="44"/>
      <c r="L23" s="87">
        <v>232.5</v>
      </c>
      <c r="M23" s="28" t="str">
        <f>"148,9395"</f>
        <v>148,9395</v>
      </c>
      <c r="N23" s="28" t="s">
        <v>81</v>
      </c>
    </row>
    <row r="24" spans="1:14" ht="12.75">
      <c r="A24" s="34">
        <v>1</v>
      </c>
      <c r="B24" s="18" t="s">
        <v>624</v>
      </c>
      <c r="C24" s="18" t="s">
        <v>628</v>
      </c>
      <c r="D24" s="18" t="s">
        <v>626</v>
      </c>
      <c r="E24" s="18" t="str">
        <f>"0,6406"</f>
        <v>0,6406</v>
      </c>
      <c r="F24" s="18" t="s">
        <v>16</v>
      </c>
      <c r="G24" s="28" t="s">
        <v>50</v>
      </c>
      <c r="H24" s="38" t="s">
        <v>627</v>
      </c>
      <c r="I24" s="37" t="s">
        <v>627</v>
      </c>
      <c r="J24" s="38" t="s">
        <v>169</v>
      </c>
      <c r="K24" s="43"/>
      <c r="L24" s="84">
        <v>232.5</v>
      </c>
      <c r="M24" s="18" t="str">
        <f>"218,9411"</f>
        <v>218,9411</v>
      </c>
      <c r="N24" s="18" t="s">
        <v>81</v>
      </c>
    </row>
    <row r="26" spans="2:13" ht="15.75">
      <c r="B26" s="146" t="s">
        <v>82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4" ht="12.75">
      <c r="A27" s="34">
        <v>1</v>
      </c>
      <c r="B27" s="18" t="s">
        <v>629</v>
      </c>
      <c r="C27" s="18" t="s">
        <v>630</v>
      </c>
      <c r="D27" s="18" t="s">
        <v>385</v>
      </c>
      <c r="E27" s="18" t="str">
        <f>"0,6229"</f>
        <v>0,6229</v>
      </c>
      <c r="F27" s="18" t="s">
        <v>24</v>
      </c>
      <c r="G27" s="18" t="s">
        <v>25</v>
      </c>
      <c r="H27" s="37" t="s">
        <v>102</v>
      </c>
      <c r="I27" s="38" t="s">
        <v>109</v>
      </c>
      <c r="J27" s="38" t="s">
        <v>109</v>
      </c>
      <c r="K27" s="43"/>
      <c r="L27" s="84">
        <v>205</v>
      </c>
      <c r="M27" s="18" t="str">
        <f>"128,3330"</f>
        <v>128,3330</v>
      </c>
      <c r="N27" s="18" t="s">
        <v>29</v>
      </c>
    </row>
    <row r="29" spans="2:13" ht="15.75">
      <c r="B29" s="146" t="s">
        <v>140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  <row r="30" spans="1:14" ht="12.75">
      <c r="A30" s="34">
        <v>1</v>
      </c>
      <c r="B30" s="28" t="s">
        <v>653</v>
      </c>
      <c r="C30" s="28" t="s">
        <v>354</v>
      </c>
      <c r="D30" s="28" t="s">
        <v>388</v>
      </c>
      <c r="E30" s="28" t="str">
        <f>"0,6026"</f>
        <v>0,6026</v>
      </c>
      <c r="F30" s="28" t="s">
        <v>16</v>
      </c>
      <c r="G30" s="28" t="s">
        <v>683</v>
      </c>
      <c r="H30" s="40" t="s">
        <v>93</v>
      </c>
      <c r="I30" s="40" t="s">
        <v>94</v>
      </c>
      <c r="J30" s="44"/>
      <c r="K30" s="44"/>
      <c r="L30" s="87">
        <v>222.5</v>
      </c>
      <c r="M30" s="28" t="str">
        <f>"134,0785"</f>
        <v>134,0785</v>
      </c>
      <c r="N30" s="28" t="s">
        <v>413</v>
      </c>
    </row>
    <row r="31" spans="1:14" ht="12.75">
      <c r="A31" s="34">
        <v>1</v>
      </c>
      <c r="B31" s="18" t="s">
        <v>631</v>
      </c>
      <c r="C31" s="18" t="s">
        <v>632</v>
      </c>
      <c r="D31" s="18" t="s">
        <v>633</v>
      </c>
      <c r="E31" s="18" t="str">
        <f>"0,5976"</f>
        <v>0,5976</v>
      </c>
      <c r="F31" s="18" t="s">
        <v>24</v>
      </c>
      <c r="G31" s="18" t="s">
        <v>25</v>
      </c>
      <c r="H31" s="37" t="s">
        <v>109</v>
      </c>
      <c r="I31" s="37" t="s">
        <v>110</v>
      </c>
      <c r="J31" s="38" t="s">
        <v>180</v>
      </c>
      <c r="K31" s="43"/>
      <c r="L31" s="84">
        <v>220</v>
      </c>
      <c r="M31" s="18" t="str">
        <f>"131,4720"</f>
        <v>131,4720</v>
      </c>
      <c r="N31" s="18" t="s">
        <v>29</v>
      </c>
    </row>
  </sheetData>
  <sheetProtection/>
  <mergeCells count="19">
    <mergeCell ref="B15:M15"/>
    <mergeCell ref="B18:M18"/>
    <mergeCell ref="B22:M22"/>
    <mergeCell ref="B26:M26"/>
    <mergeCell ref="B29:M29"/>
    <mergeCell ref="L3:L4"/>
    <mergeCell ref="M3:M4"/>
    <mergeCell ref="G3:G4"/>
    <mergeCell ref="H3:K3"/>
    <mergeCell ref="N3:N4"/>
    <mergeCell ref="B5:M5"/>
    <mergeCell ref="B8:M8"/>
    <mergeCell ref="B12:M12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G13" sqref="G13"/>
    </sheetView>
  </sheetViews>
  <sheetFormatPr defaultColWidth="8.75390625" defaultRowHeight="12.75"/>
  <cols>
    <col min="1" max="1" width="4.00390625" style="34" customWidth="1"/>
    <col min="2" max="2" width="27.625" style="17" customWidth="1"/>
    <col min="3" max="3" width="27.125" style="17" bestFit="1" customWidth="1"/>
    <col min="4" max="4" width="13.375" style="17" bestFit="1" customWidth="1"/>
    <col min="5" max="5" width="8.375" style="17" bestFit="1" customWidth="1"/>
    <col min="6" max="6" width="34.00390625" style="17" customWidth="1"/>
    <col min="7" max="7" width="33.625" style="17" bestFit="1" customWidth="1"/>
    <col min="8" max="11" width="5.625" style="27" bestFit="1" customWidth="1"/>
    <col min="12" max="12" width="10.875" style="36" customWidth="1"/>
    <col min="13" max="13" width="8.625" style="17" bestFit="1" customWidth="1"/>
    <col min="14" max="14" width="29.875" style="17" customWidth="1"/>
  </cols>
  <sheetData>
    <row r="1" spans="1:14" s="1" customFormat="1" ht="15" customHeight="1">
      <c r="A1" s="33"/>
      <c r="B1" s="147" t="s">
        <v>698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4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3</v>
      </c>
      <c r="I3" s="142"/>
      <c r="J3" s="142"/>
      <c r="K3" s="142"/>
      <c r="L3" s="142" t="s">
        <v>661</v>
      </c>
      <c r="M3" s="142" t="s">
        <v>6</v>
      </c>
      <c r="N3" s="144" t="s">
        <v>5</v>
      </c>
    </row>
    <row r="4" spans="2:14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143"/>
      <c r="M4" s="143"/>
      <c r="N4" s="145"/>
    </row>
    <row r="5" spans="2:13" ht="15.75">
      <c r="B5" s="156" t="s">
        <v>560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34">
        <v>1</v>
      </c>
      <c r="B6" s="18" t="s">
        <v>581</v>
      </c>
      <c r="C6" s="18" t="s">
        <v>582</v>
      </c>
      <c r="D6" s="18" t="s">
        <v>583</v>
      </c>
      <c r="E6" s="18" t="str">
        <f>"1,2466"</f>
        <v>1,2466</v>
      </c>
      <c r="F6" s="18" t="s">
        <v>677</v>
      </c>
      <c r="G6" s="18" t="s">
        <v>584</v>
      </c>
      <c r="H6" s="37" t="s">
        <v>132</v>
      </c>
      <c r="I6" s="37" t="s">
        <v>320</v>
      </c>
      <c r="J6" s="38" t="s">
        <v>67</v>
      </c>
      <c r="K6" s="43"/>
      <c r="L6" s="84">
        <v>167.5</v>
      </c>
      <c r="M6" s="18" t="str">
        <f>"208,8055"</f>
        <v>208,8055</v>
      </c>
      <c r="N6" s="18" t="s">
        <v>699</v>
      </c>
    </row>
    <row r="8" spans="2:13" ht="15.75">
      <c r="B8" s="146" t="s">
        <v>46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4" ht="12.75">
      <c r="A9" s="34">
        <v>1</v>
      </c>
      <c r="B9" s="28" t="s">
        <v>524</v>
      </c>
      <c r="C9" s="28" t="s">
        <v>525</v>
      </c>
      <c r="D9" s="28" t="s">
        <v>55</v>
      </c>
      <c r="E9" s="28" t="str">
        <f>"0,6744"</f>
        <v>0,6744</v>
      </c>
      <c r="F9" s="28" t="s">
        <v>675</v>
      </c>
      <c r="G9" s="18" t="s">
        <v>666</v>
      </c>
      <c r="H9" s="51" t="s">
        <v>407</v>
      </c>
      <c r="I9" s="40" t="s">
        <v>407</v>
      </c>
      <c r="J9" s="39" t="s">
        <v>460</v>
      </c>
      <c r="K9" s="44"/>
      <c r="L9" s="87">
        <v>305</v>
      </c>
      <c r="M9" s="28" t="str">
        <f>"205,6920"</f>
        <v>205,6920</v>
      </c>
      <c r="N9" s="28" t="s">
        <v>529</v>
      </c>
    </row>
    <row r="10" spans="1:14" ht="12.75">
      <c r="A10" s="34">
        <v>2</v>
      </c>
      <c r="B10" s="18" t="s">
        <v>585</v>
      </c>
      <c r="C10" s="18" t="s">
        <v>586</v>
      </c>
      <c r="D10" s="18" t="s">
        <v>372</v>
      </c>
      <c r="E10" s="18" t="str">
        <f>"0,6699"</f>
        <v>0,6699</v>
      </c>
      <c r="F10" s="18" t="s">
        <v>677</v>
      </c>
      <c r="G10" s="18" t="s">
        <v>584</v>
      </c>
      <c r="H10" s="37" t="s">
        <v>243</v>
      </c>
      <c r="I10" s="38" t="s">
        <v>394</v>
      </c>
      <c r="J10" s="43"/>
      <c r="K10" s="43"/>
      <c r="L10" s="84">
        <v>285</v>
      </c>
      <c r="M10" s="18" t="str">
        <f>"190,9215"</f>
        <v>190,9215</v>
      </c>
      <c r="N10" s="18" t="s">
        <v>700</v>
      </c>
    </row>
    <row r="12" spans="2:13" ht="15.75">
      <c r="B12" s="146" t="s">
        <v>82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</row>
    <row r="13" spans="1:14" ht="12.75">
      <c r="A13" s="34">
        <v>1</v>
      </c>
      <c r="B13" s="18" t="s">
        <v>587</v>
      </c>
      <c r="C13" s="18" t="s">
        <v>588</v>
      </c>
      <c r="D13" s="18" t="s">
        <v>589</v>
      </c>
      <c r="E13" s="18" t="str">
        <f>"0,6121"</f>
        <v>0,6121</v>
      </c>
      <c r="F13" s="18" t="s">
        <v>675</v>
      </c>
      <c r="G13" s="18" t="s">
        <v>666</v>
      </c>
      <c r="H13" s="37" t="s">
        <v>175</v>
      </c>
      <c r="I13" s="37" t="s">
        <v>446</v>
      </c>
      <c r="J13" s="38" t="s">
        <v>242</v>
      </c>
      <c r="K13" s="43"/>
      <c r="L13" s="84">
        <v>260</v>
      </c>
      <c r="M13" s="18" t="str">
        <f>"159,1460"</f>
        <v>159,1460</v>
      </c>
      <c r="N13" s="18" t="s">
        <v>524</v>
      </c>
    </row>
    <row r="15" spans="2:13" ht="15.75">
      <c r="B15" s="146" t="s">
        <v>140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</row>
    <row r="16" spans="1:14" ht="12.75">
      <c r="A16" s="34">
        <v>1</v>
      </c>
      <c r="B16" s="18" t="s">
        <v>590</v>
      </c>
      <c r="C16" s="18" t="s">
        <v>591</v>
      </c>
      <c r="D16" s="18" t="s">
        <v>592</v>
      </c>
      <c r="E16" s="18" t="str">
        <f>"0,6039"</f>
        <v>0,6039</v>
      </c>
      <c r="F16" s="18" t="s">
        <v>373</v>
      </c>
      <c r="G16" s="18" t="s">
        <v>374</v>
      </c>
      <c r="H16" s="37" t="s">
        <v>459</v>
      </c>
      <c r="I16" s="38" t="s">
        <v>401</v>
      </c>
      <c r="J16" s="38" t="s">
        <v>401</v>
      </c>
      <c r="K16" s="43"/>
      <c r="L16" s="84">
        <v>282.5</v>
      </c>
      <c r="M16" s="18" t="str">
        <f>"170,6018"</f>
        <v>170,6018</v>
      </c>
      <c r="N16" s="18" t="s">
        <v>670</v>
      </c>
    </row>
    <row r="18" spans="2:13" ht="15.75">
      <c r="B18" s="146" t="s">
        <v>163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4" ht="12.75">
      <c r="A19" s="34">
        <v>1</v>
      </c>
      <c r="B19" s="28" t="s">
        <v>593</v>
      </c>
      <c r="C19" s="28" t="s">
        <v>594</v>
      </c>
      <c r="D19" s="28" t="s">
        <v>595</v>
      </c>
      <c r="E19" s="28" t="str">
        <f>"0,5775"</f>
        <v>0,5775</v>
      </c>
      <c r="F19" s="28" t="s">
        <v>373</v>
      </c>
      <c r="G19" s="28" t="s">
        <v>374</v>
      </c>
      <c r="H19" s="40" t="s">
        <v>66</v>
      </c>
      <c r="I19" s="40" t="s">
        <v>68</v>
      </c>
      <c r="J19" s="40" t="s">
        <v>426</v>
      </c>
      <c r="K19" s="44"/>
      <c r="L19" s="87">
        <v>187.5</v>
      </c>
      <c r="M19" s="28" t="str">
        <f>"108,2812"</f>
        <v>108,2812</v>
      </c>
      <c r="N19" s="28" t="s">
        <v>590</v>
      </c>
    </row>
    <row r="20" spans="1:14" ht="12.75">
      <c r="A20" s="34">
        <v>1</v>
      </c>
      <c r="B20" s="18" t="s">
        <v>172</v>
      </c>
      <c r="C20" s="18" t="s">
        <v>173</v>
      </c>
      <c r="D20" s="18" t="s">
        <v>596</v>
      </c>
      <c r="E20" s="18" t="str">
        <f>"0,5704"</f>
        <v>0,5704</v>
      </c>
      <c r="F20" s="18" t="s">
        <v>64</v>
      </c>
      <c r="G20" s="18" t="s">
        <v>65</v>
      </c>
      <c r="H20" s="37" t="s">
        <v>461</v>
      </c>
      <c r="I20" s="37" t="s">
        <v>597</v>
      </c>
      <c r="J20" s="37" t="s">
        <v>469</v>
      </c>
      <c r="K20" s="43"/>
      <c r="L20" s="84">
        <v>365</v>
      </c>
      <c r="M20" s="18" t="s">
        <v>701</v>
      </c>
      <c r="N20" s="18" t="s">
        <v>81</v>
      </c>
    </row>
    <row r="22" spans="2:13" ht="15.75">
      <c r="B22" s="146" t="s">
        <v>408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</row>
    <row r="23" spans="1:14" ht="12.75">
      <c r="A23" s="34">
        <v>1</v>
      </c>
      <c r="B23" s="18" t="s">
        <v>598</v>
      </c>
      <c r="C23" s="18" t="s">
        <v>599</v>
      </c>
      <c r="D23" s="18" t="s">
        <v>600</v>
      </c>
      <c r="E23" s="18" t="str">
        <f>"0,5555"</f>
        <v>0,5555</v>
      </c>
      <c r="F23" s="18" t="s">
        <v>64</v>
      </c>
      <c r="G23" s="18" t="s">
        <v>65</v>
      </c>
      <c r="H23" s="37" t="s">
        <v>440</v>
      </c>
      <c r="I23" s="37" t="s">
        <v>407</v>
      </c>
      <c r="J23" s="37" t="s">
        <v>460</v>
      </c>
      <c r="K23" s="37" t="s">
        <v>240</v>
      </c>
      <c r="L23" s="84">
        <v>320</v>
      </c>
      <c r="M23" s="18" t="str">
        <f>"177,7600"</f>
        <v>177,7600</v>
      </c>
      <c r="N23" s="18" t="s">
        <v>70</v>
      </c>
    </row>
    <row r="25" ht="15.75">
      <c r="F25" s="20"/>
    </row>
    <row r="27" spans="2:3" ht="18">
      <c r="B27" s="21" t="s">
        <v>192</v>
      </c>
      <c r="C27" s="21"/>
    </row>
    <row r="29" spans="2:3" ht="15.75">
      <c r="B29" s="22" t="s">
        <v>201</v>
      </c>
      <c r="C29" s="22"/>
    </row>
    <row r="30" spans="1:14" s="93" customFormat="1" ht="13.5">
      <c r="A30" s="90"/>
      <c r="B30" s="85" t="s">
        <v>193</v>
      </c>
      <c r="C30" s="85"/>
      <c r="D30" s="91"/>
      <c r="E30" s="91"/>
      <c r="F30" s="91"/>
      <c r="G30" s="91"/>
      <c r="H30" s="92"/>
      <c r="I30" s="92"/>
      <c r="J30" s="92"/>
      <c r="K30" s="92"/>
      <c r="L30" s="92"/>
      <c r="M30" s="91"/>
      <c r="N30" s="91"/>
    </row>
    <row r="31" spans="2:6" ht="13.5">
      <c r="B31" s="26" t="s">
        <v>194</v>
      </c>
      <c r="C31" s="26" t="s">
        <v>195</v>
      </c>
      <c r="D31" s="26" t="s">
        <v>196</v>
      </c>
      <c r="E31" s="26" t="s">
        <v>197</v>
      </c>
      <c r="F31" s="26" t="s">
        <v>198</v>
      </c>
    </row>
    <row r="32" spans="1:6" ht="12.75">
      <c r="A32" s="34">
        <v>1</v>
      </c>
      <c r="B32" s="23" t="s">
        <v>172</v>
      </c>
      <c r="C32" s="86" t="s">
        <v>193</v>
      </c>
      <c r="D32" s="86" t="s">
        <v>204</v>
      </c>
      <c r="E32" s="36" t="s">
        <v>469</v>
      </c>
      <c r="F32" s="36" t="s">
        <v>702</v>
      </c>
    </row>
    <row r="33" spans="1:6" ht="12.75">
      <c r="A33" s="34">
        <v>2</v>
      </c>
      <c r="B33" s="23" t="s">
        <v>524</v>
      </c>
      <c r="C33" s="86" t="s">
        <v>193</v>
      </c>
      <c r="D33" s="86" t="s">
        <v>218</v>
      </c>
      <c r="E33" s="36" t="s">
        <v>407</v>
      </c>
      <c r="F33" s="36" t="s">
        <v>601</v>
      </c>
    </row>
    <row r="34" spans="1:6" ht="12.75">
      <c r="A34" s="34">
        <v>3</v>
      </c>
      <c r="B34" s="23" t="s">
        <v>585</v>
      </c>
      <c r="C34" s="86" t="s">
        <v>193</v>
      </c>
      <c r="D34" s="86" t="s">
        <v>218</v>
      </c>
      <c r="E34" s="36" t="s">
        <v>243</v>
      </c>
      <c r="F34" s="36" t="s">
        <v>602</v>
      </c>
    </row>
    <row r="35" spans="2:6" ht="12.75">
      <c r="B35" s="23" t="s">
        <v>598</v>
      </c>
      <c r="C35" s="86" t="s">
        <v>193</v>
      </c>
      <c r="D35" s="86" t="s">
        <v>603</v>
      </c>
      <c r="E35" s="36" t="s">
        <v>460</v>
      </c>
      <c r="F35" s="36" t="s">
        <v>604</v>
      </c>
    </row>
    <row r="36" spans="2:6" ht="12.75">
      <c r="B36" s="23" t="s">
        <v>590</v>
      </c>
      <c r="C36" s="86" t="s">
        <v>193</v>
      </c>
      <c r="D36" s="86" t="s">
        <v>202</v>
      </c>
      <c r="E36" s="36" t="s">
        <v>459</v>
      </c>
      <c r="F36" s="36" t="s">
        <v>605</v>
      </c>
    </row>
    <row r="37" spans="2:6" ht="12.75">
      <c r="B37" s="23" t="s">
        <v>587</v>
      </c>
      <c r="C37" s="86" t="s">
        <v>193</v>
      </c>
      <c r="D37" s="86" t="s">
        <v>203</v>
      </c>
      <c r="E37" s="36" t="s">
        <v>446</v>
      </c>
      <c r="F37" s="36" t="s">
        <v>606</v>
      </c>
    </row>
  </sheetData>
  <sheetProtection/>
  <mergeCells count="17">
    <mergeCell ref="B15:M15"/>
    <mergeCell ref="B18:M18"/>
    <mergeCell ref="B22:M22"/>
    <mergeCell ref="L3:L4"/>
    <mergeCell ref="M3:M4"/>
    <mergeCell ref="N3:N4"/>
    <mergeCell ref="B5:M5"/>
    <mergeCell ref="B8:M8"/>
    <mergeCell ref="B12:M12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4">
      <selection activeCell="B14" sqref="B14"/>
    </sheetView>
  </sheetViews>
  <sheetFormatPr defaultColWidth="8.75390625" defaultRowHeight="12.75"/>
  <cols>
    <col min="1" max="1" width="3.25390625" style="0" customWidth="1"/>
    <col min="2" max="2" width="25.375" style="0" customWidth="1"/>
    <col min="3" max="3" width="26.625" style="0" customWidth="1"/>
    <col min="4" max="5" width="8.75390625" style="0" customWidth="1"/>
    <col min="6" max="6" width="32.375" style="0" customWidth="1"/>
    <col min="7" max="7" width="38.125" style="0" customWidth="1"/>
    <col min="8" max="10" width="8.75390625" style="0" customWidth="1"/>
    <col min="11" max="11" width="11.25390625" style="0" customWidth="1"/>
    <col min="12" max="12" width="8.75390625" style="0" customWidth="1"/>
    <col min="13" max="13" width="11.75390625" style="0" customWidth="1"/>
    <col min="14" max="15" width="8.75390625" style="0" customWidth="1"/>
    <col min="16" max="16" width="15.375" style="0" customWidth="1"/>
    <col min="17" max="17" width="16.625" style="0" customWidth="1"/>
  </cols>
  <sheetData>
    <row r="1" spans="1:17" ht="12.75">
      <c r="A1" s="33"/>
      <c r="B1" s="147" t="s">
        <v>968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9"/>
    </row>
    <row r="2" spans="1:17" ht="62.2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2"/>
    </row>
    <row r="3" spans="1:17" ht="13.5">
      <c r="A3" s="2"/>
      <c r="B3" s="153" t="s">
        <v>0</v>
      </c>
      <c r="C3" s="155" t="s">
        <v>941</v>
      </c>
      <c r="D3" s="142" t="s">
        <v>746</v>
      </c>
      <c r="E3" s="166" t="s">
        <v>942</v>
      </c>
      <c r="F3" s="166" t="s">
        <v>7</v>
      </c>
      <c r="G3" s="166" t="s">
        <v>663</v>
      </c>
      <c r="H3" s="168" t="s">
        <v>953</v>
      </c>
      <c r="I3" s="169"/>
      <c r="J3" s="169"/>
      <c r="K3" s="163"/>
      <c r="L3" s="168" t="s">
        <v>954</v>
      </c>
      <c r="M3" s="169"/>
      <c r="N3" s="169"/>
      <c r="O3" s="163"/>
      <c r="P3" s="166" t="s">
        <v>955</v>
      </c>
      <c r="Q3" s="144" t="s">
        <v>5</v>
      </c>
    </row>
    <row r="4" spans="1:17" ht="15" thickBot="1">
      <c r="A4" s="2"/>
      <c r="B4" s="154"/>
      <c r="C4" s="143"/>
      <c r="D4" s="143"/>
      <c r="E4" s="167"/>
      <c r="F4" s="167"/>
      <c r="G4" s="167"/>
      <c r="H4" s="3">
        <v>1</v>
      </c>
      <c r="I4" s="3">
        <v>2</v>
      </c>
      <c r="J4" s="3">
        <v>3</v>
      </c>
      <c r="K4" s="3" t="s">
        <v>661</v>
      </c>
      <c r="L4" s="3" t="s">
        <v>746</v>
      </c>
      <c r="M4" s="3" t="s">
        <v>661</v>
      </c>
      <c r="N4" s="170" t="s">
        <v>745</v>
      </c>
      <c r="O4" s="171"/>
      <c r="P4" s="167"/>
      <c r="Q4" s="145"/>
    </row>
    <row r="5" spans="2:20" ht="15.75">
      <c r="B5" s="146" t="s">
        <v>957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15.75">
      <c r="B6" s="159" t="s">
        <v>956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20" ht="14.25" customHeight="1">
      <c r="A7" s="111">
        <v>1</v>
      </c>
      <c r="B7" s="18" t="s">
        <v>272</v>
      </c>
      <c r="C7" s="18" t="s">
        <v>273</v>
      </c>
      <c r="D7" s="18" t="s">
        <v>274</v>
      </c>
      <c r="E7" s="18" t="str">
        <f>"0,7535"</f>
        <v>0,7535</v>
      </c>
      <c r="F7" s="18" t="s">
        <v>16</v>
      </c>
      <c r="G7" s="18" t="s">
        <v>65</v>
      </c>
      <c r="H7" s="136" t="s">
        <v>275</v>
      </c>
      <c r="I7" s="137" t="s">
        <v>37</v>
      </c>
      <c r="J7" s="137" t="s">
        <v>18</v>
      </c>
      <c r="K7" s="137" t="s">
        <v>18</v>
      </c>
      <c r="L7" s="102" t="s">
        <v>1109</v>
      </c>
      <c r="M7" s="138" t="s">
        <v>784</v>
      </c>
      <c r="N7" s="164">
        <v>1540</v>
      </c>
      <c r="O7" s="165"/>
      <c r="P7" s="140" t="s">
        <v>1110</v>
      </c>
      <c r="Q7" s="139" t="s">
        <v>670</v>
      </c>
      <c r="R7" s="135"/>
      <c r="S7" s="135"/>
      <c r="T7" s="135"/>
    </row>
    <row r="8" spans="2:20" ht="15.75">
      <c r="B8" s="159" t="s">
        <v>60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</row>
    <row r="9" spans="1:17" ht="12.75">
      <c r="A9" s="179">
        <v>1</v>
      </c>
      <c r="B9" s="18" t="s">
        <v>1099</v>
      </c>
      <c r="C9" s="18" t="s">
        <v>1100</v>
      </c>
      <c r="D9" s="18" t="s">
        <v>380</v>
      </c>
      <c r="E9" s="18" t="str">
        <f>"0,6447"</f>
        <v>0,6447</v>
      </c>
      <c r="F9" s="18" t="s">
        <v>16</v>
      </c>
      <c r="G9" s="18" t="s">
        <v>1101</v>
      </c>
      <c r="H9" s="120">
        <v>140</v>
      </c>
      <c r="I9" s="113">
        <v>147.5</v>
      </c>
      <c r="J9" s="134" t="s">
        <v>1102</v>
      </c>
      <c r="K9" s="113">
        <v>152.5</v>
      </c>
      <c r="L9" s="120">
        <v>90</v>
      </c>
      <c r="M9" s="113">
        <v>20</v>
      </c>
      <c r="N9" s="164">
        <v>1800</v>
      </c>
      <c r="O9" s="165"/>
      <c r="P9" s="123">
        <v>40</v>
      </c>
      <c r="Q9" s="113" t="s">
        <v>670</v>
      </c>
    </row>
    <row r="10" spans="2:20" ht="15.75">
      <c r="B10" s="159" t="s">
        <v>140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</row>
    <row r="11" spans="1:17" ht="12.75">
      <c r="A11" s="111">
        <v>1</v>
      </c>
      <c r="B11" s="18" t="s">
        <v>327</v>
      </c>
      <c r="C11" s="18" t="s">
        <v>328</v>
      </c>
      <c r="D11" s="18" t="s">
        <v>151</v>
      </c>
      <c r="E11" s="18" t="s">
        <v>969</v>
      </c>
      <c r="F11" s="18" t="s">
        <v>673</v>
      </c>
      <c r="G11" s="18" t="s">
        <v>666</v>
      </c>
      <c r="H11" s="120">
        <v>167.5</v>
      </c>
      <c r="I11" s="113">
        <v>170</v>
      </c>
      <c r="J11" s="113"/>
      <c r="K11" s="113">
        <v>170</v>
      </c>
      <c r="L11" s="120">
        <v>110</v>
      </c>
      <c r="M11" s="113">
        <v>16</v>
      </c>
      <c r="N11" s="164">
        <v>1760</v>
      </c>
      <c r="O11" s="165"/>
      <c r="P11" s="123">
        <v>40</v>
      </c>
      <c r="Q11" s="113" t="s">
        <v>587</v>
      </c>
    </row>
    <row r="12" spans="2:20" ht="15.75">
      <c r="B12" s="146" t="s">
        <v>958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2:20" ht="15.75">
      <c r="B13" s="159" t="s">
        <v>956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</row>
    <row r="14" spans="1:17" ht="12.75">
      <c r="A14" s="111">
        <v>1</v>
      </c>
      <c r="B14" s="18" t="s">
        <v>970</v>
      </c>
      <c r="C14" s="18" t="s">
        <v>971</v>
      </c>
      <c r="D14" s="18" t="s">
        <v>972</v>
      </c>
      <c r="E14" s="124">
        <v>1.0539</v>
      </c>
      <c r="F14" s="18" t="s">
        <v>685</v>
      </c>
      <c r="G14" s="18" t="s">
        <v>973</v>
      </c>
      <c r="H14" s="120">
        <v>50</v>
      </c>
      <c r="I14" s="120">
        <v>52.5</v>
      </c>
      <c r="J14" s="128">
        <v>55</v>
      </c>
      <c r="K14" s="120">
        <v>52.5</v>
      </c>
      <c r="L14" s="120">
        <v>35</v>
      </c>
      <c r="M14" s="113">
        <v>21</v>
      </c>
      <c r="N14" s="164">
        <v>735</v>
      </c>
      <c r="O14" s="165"/>
      <c r="P14" s="123">
        <v>40</v>
      </c>
      <c r="Q14" s="113" t="s">
        <v>670</v>
      </c>
    </row>
    <row r="15" spans="2:20" ht="15.75">
      <c r="B15" s="159" t="s">
        <v>1068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</row>
    <row r="16" spans="1:17" ht="12.75">
      <c r="A16" s="111">
        <v>1</v>
      </c>
      <c r="B16" s="18" t="s">
        <v>974</v>
      </c>
      <c r="C16" s="18" t="s">
        <v>975</v>
      </c>
      <c r="D16" s="18" t="s">
        <v>976</v>
      </c>
      <c r="E16" s="124" t="s">
        <v>977</v>
      </c>
      <c r="F16" s="18" t="s">
        <v>685</v>
      </c>
      <c r="G16" s="18" t="s">
        <v>973</v>
      </c>
      <c r="H16" s="120">
        <v>75</v>
      </c>
      <c r="I16" s="120">
        <v>80</v>
      </c>
      <c r="J16" s="120">
        <v>82.5</v>
      </c>
      <c r="K16" s="120">
        <v>82.5</v>
      </c>
      <c r="L16" s="120">
        <v>50</v>
      </c>
      <c r="M16" s="113">
        <v>22</v>
      </c>
      <c r="N16" s="164">
        <v>1100</v>
      </c>
      <c r="O16" s="165"/>
      <c r="P16" s="123">
        <v>40</v>
      </c>
      <c r="Q16" s="113" t="s">
        <v>978</v>
      </c>
    </row>
    <row r="17" spans="1:20" ht="15.75">
      <c r="A17" s="111"/>
      <c r="B17" s="146" t="s">
        <v>959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spans="2:20" ht="15.75">
      <c r="B18" s="159" t="s">
        <v>979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</row>
    <row r="19" spans="1:17" ht="12.75">
      <c r="A19" s="111">
        <v>1</v>
      </c>
      <c r="B19" s="18" t="s">
        <v>980</v>
      </c>
      <c r="C19" s="18" t="s">
        <v>981</v>
      </c>
      <c r="D19" s="18" t="s">
        <v>982</v>
      </c>
      <c r="E19" s="124" t="s">
        <v>983</v>
      </c>
      <c r="F19" s="18" t="s">
        <v>685</v>
      </c>
      <c r="G19" s="18" t="s">
        <v>984</v>
      </c>
      <c r="H19" s="120">
        <v>120</v>
      </c>
      <c r="I19" s="120">
        <v>135</v>
      </c>
      <c r="J19" s="120">
        <v>140</v>
      </c>
      <c r="K19" s="120">
        <v>140</v>
      </c>
      <c r="L19" s="120">
        <v>70</v>
      </c>
      <c r="M19" s="113">
        <v>35</v>
      </c>
      <c r="N19" s="164">
        <v>2450</v>
      </c>
      <c r="O19" s="165"/>
      <c r="P19" s="123">
        <v>40</v>
      </c>
      <c r="Q19" s="113" t="s">
        <v>670</v>
      </c>
    </row>
    <row r="20" spans="2:20" ht="15.75">
      <c r="B20" s="159" t="s">
        <v>847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</row>
    <row r="21" spans="1:17" ht="12.75">
      <c r="A21" s="111">
        <v>1</v>
      </c>
      <c r="B21" s="129" t="s">
        <v>985</v>
      </c>
      <c r="C21" s="18" t="s">
        <v>986</v>
      </c>
      <c r="D21" s="130" t="s">
        <v>987</v>
      </c>
      <c r="E21" s="124" t="s">
        <v>988</v>
      </c>
      <c r="F21" s="18" t="s">
        <v>685</v>
      </c>
      <c r="G21" s="18" t="s">
        <v>989</v>
      </c>
      <c r="H21" s="120">
        <v>150</v>
      </c>
      <c r="I21" s="120">
        <v>160</v>
      </c>
      <c r="J21" s="128">
        <v>170</v>
      </c>
      <c r="K21" s="120">
        <v>160</v>
      </c>
      <c r="L21" s="120">
        <v>80</v>
      </c>
      <c r="M21" s="113">
        <v>37</v>
      </c>
      <c r="N21" s="164">
        <v>2960</v>
      </c>
      <c r="O21" s="165"/>
      <c r="P21" s="123">
        <v>40</v>
      </c>
      <c r="Q21" s="113" t="s">
        <v>670</v>
      </c>
    </row>
    <row r="22" spans="2:20" ht="15.75">
      <c r="B22" s="159" t="s">
        <v>60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</row>
    <row r="23" spans="1:17" ht="12.75">
      <c r="A23" s="111"/>
      <c r="B23" s="18" t="s">
        <v>990</v>
      </c>
      <c r="C23" s="18" t="s">
        <v>991</v>
      </c>
      <c r="D23" s="18" t="s">
        <v>992</v>
      </c>
      <c r="E23" s="124" t="s">
        <v>993</v>
      </c>
      <c r="F23" s="18" t="s">
        <v>685</v>
      </c>
      <c r="G23" s="18" t="s">
        <v>973</v>
      </c>
      <c r="H23" s="128">
        <v>145</v>
      </c>
      <c r="I23" s="128">
        <v>145</v>
      </c>
      <c r="J23" s="128">
        <v>145</v>
      </c>
      <c r="K23" s="120">
        <v>0</v>
      </c>
      <c r="L23" s="120"/>
      <c r="M23" s="113"/>
      <c r="N23" s="164"/>
      <c r="O23" s="165"/>
      <c r="P23" s="123"/>
      <c r="Q23" s="113" t="s">
        <v>670</v>
      </c>
    </row>
    <row r="24" spans="1:17" ht="12.75">
      <c r="A24" s="111">
        <v>1</v>
      </c>
      <c r="B24" s="18" t="s">
        <v>960</v>
      </c>
      <c r="C24" s="18" t="s">
        <v>961</v>
      </c>
      <c r="D24" s="18" t="s">
        <v>439</v>
      </c>
      <c r="E24" s="124" t="s">
        <v>994</v>
      </c>
      <c r="F24" s="18" t="s">
        <v>685</v>
      </c>
      <c r="G24" s="18" t="s">
        <v>962</v>
      </c>
      <c r="H24" s="120">
        <v>180</v>
      </c>
      <c r="I24" s="128">
        <v>192.5</v>
      </c>
      <c r="J24" s="128">
        <v>192.5</v>
      </c>
      <c r="K24" s="120">
        <v>180</v>
      </c>
      <c r="L24" s="120">
        <v>90</v>
      </c>
      <c r="M24" s="113">
        <v>27</v>
      </c>
      <c r="N24" s="164">
        <v>2430</v>
      </c>
      <c r="O24" s="165"/>
      <c r="P24" s="123">
        <v>40</v>
      </c>
      <c r="Q24" s="113" t="s">
        <v>670</v>
      </c>
    </row>
    <row r="25" spans="1:17" ht="12.75">
      <c r="A25" s="111">
        <v>1</v>
      </c>
      <c r="B25" s="18" t="s">
        <v>77</v>
      </c>
      <c r="C25" s="18" t="s">
        <v>765</v>
      </c>
      <c r="D25" s="18" t="s">
        <v>79</v>
      </c>
      <c r="E25" s="124" t="s">
        <v>995</v>
      </c>
      <c r="F25" s="18" t="s">
        <v>685</v>
      </c>
      <c r="G25" s="18" t="s">
        <v>996</v>
      </c>
      <c r="H25" s="120">
        <v>90</v>
      </c>
      <c r="I25" s="120">
        <v>100</v>
      </c>
      <c r="J25" s="120">
        <v>110</v>
      </c>
      <c r="K25" s="120">
        <v>110</v>
      </c>
      <c r="L25" s="120">
        <v>90</v>
      </c>
      <c r="M25" s="113">
        <v>13</v>
      </c>
      <c r="N25" s="164">
        <v>1170</v>
      </c>
      <c r="O25" s="165"/>
      <c r="P25" s="123">
        <v>40</v>
      </c>
      <c r="Q25" s="113" t="s">
        <v>670</v>
      </c>
    </row>
    <row r="26" spans="1:20" ht="15.75">
      <c r="A26" s="111"/>
      <c r="B26" s="159" t="s">
        <v>82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</row>
    <row r="27" spans="1:17" ht="12.75">
      <c r="A27" s="111">
        <v>1</v>
      </c>
      <c r="B27" s="18" t="s">
        <v>997</v>
      </c>
      <c r="C27" s="18" t="s">
        <v>998</v>
      </c>
      <c r="D27" s="18" t="s">
        <v>999</v>
      </c>
      <c r="E27" s="125" t="s">
        <v>1000</v>
      </c>
      <c r="F27" s="18" t="s">
        <v>685</v>
      </c>
      <c r="G27" s="18" t="s">
        <v>1001</v>
      </c>
      <c r="H27" s="131">
        <v>150</v>
      </c>
      <c r="I27" s="131">
        <v>155</v>
      </c>
      <c r="J27" s="113">
        <v>160</v>
      </c>
      <c r="K27" s="113">
        <v>160</v>
      </c>
      <c r="L27" s="120">
        <v>100</v>
      </c>
      <c r="M27" s="113">
        <v>21</v>
      </c>
      <c r="N27" s="164">
        <v>2100</v>
      </c>
      <c r="O27" s="165"/>
      <c r="P27" s="123">
        <v>40</v>
      </c>
      <c r="Q27" s="127" t="s">
        <v>670</v>
      </c>
    </row>
    <row r="28" spans="1:17" ht="12.75">
      <c r="A28" s="111">
        <v>2</v>
      </c>
      <c r="B28" s="18" t="s">
        <v>127</v>
      </c>
      <c r="C28" s="18" t="s">
        <v>128</v>
      </c>
      <c r="D28" s="18" t="s">
        <v>129</v>
      </c>
      <c r="E28" s="125" t="s">
        <v>1002</v>
      </c>
      <c r="F28" s="18" t="s">
        <v>665</v>
      </c>
      <c r="G28" s="18" t="s">
        <v>1007</v>
      </c>
      <c r="H28" s="126">
        <v>150</v>
      </c>
      <c r="I28" s="126">
        <v>150</v>
      </c>
      <c r="J28" s="131">
        <v>150</v>
      </c>
      <c r="K28" s="131">
        <v>150</v>
      </c>
      <c r="L28" s="120">
        <v>100</v>
      </c>
      <c r="M28" s="113">
        <v>20</v>
      </c>
      <c r="N28" s="164">
        <v>2000</v>
      </c>
      <c r="O28" s="165"/>
      <c r="P28" s="123">
        <v>36</v>
      </c>
      <c r="Q28" s="127" t="s">
        <v>755</v>
      </c>
    </row>
    <row r="29" spans="2:20" ht="15.75">
      <c r="B29" s="159" t="s">
        <v>140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</row>
    <row r="30" spans="1:17" ht="12.75">
      <c r="A30" s="111">
        <v>1</v>
      </c>
      <c r="B30" s="18" t="s">
        <v>153</v>
      </c>
      <c r="C30" s="18" t="s">
        <v>788</v>
      </c>
      <c r="D30" s="18" t="s">
        <v>155</v>
      </c>
      <c r="E30" s="124" t="s">
        <v>1003</v>
      </c>
      <c r="F30" s="18" t="s">
        <v>685</v>
      </c>
      <c r="G30" s="18" t="s">
        <v>973</v>
      </c>
      <c r="H30" s="120">
        <v>190</v>
      </c>
      <c r="I30" s="128">
        <v>195</v>
      </c>
      <c r="J30" s="120">
        <v>195</v>
      </c>
      <c r="K30" s="120">
        <v>195</v>
      </c>
      <c r="L30" s="120">
        <v>110</v>
      </c>
      <c r="M30" s="113">
        <v>30</v>
      </c>
      <c r="N30" s="164">
        <v>3300</v>
      </c>
      <c r="O30" s="165"/>
      <c r="P30" s="123">
        <v>38</v>
      </c>
      <c r="Q30" s="113" t="s">
        <v>670</v>
      </c>
    </row>
    <row r="31" spans="1:17" ht="12.75">
      <c r="A31" s="111">
        <v>2</v>
      </c>
      <c r="B31" s="18" t="s">
        <v>964</v>
      </c>
      <c r="C31" s="18" t="s">
        <v>965</v>
      </c>
      <c r="D31" s="18" t="s">
        <v>542</v>
      </c>
      <c r="E31" s="124" t="s">
        <v>1004</v>
      </c>
      <c r="F31" s="18" t="s">
        <v>685</v>
      </c>
      <c r="G31" s="18" t="s">
        <v>966</v>
      </c>
      <c r="H31" s="120">
        <v>185</v>
      </c>
      <c r="I31" s="120">
        <v>195</v>
      </c>
      <c r="J31" s="120">
        <v>200</v>
      </c>
      <c r="K31" s="120">
        <v>200</v>
      </c>
      <c r="L31" s="120">
        <v>110</v>
      </c>
      <c r="M31" s="113">
        <v>25</v>
      </c>
      <c r="N31" s="164">
        <v>2750</v>
      </c>
      <c r="O31" s="165"/>
      <c r="P31" s="123">
        <v>38</v>
      </c>
      <c r="Q31" s="113" t="s">
        <v>670</v>
      </c>
    </row>
    <row r="32" spans="1:17" ht="12.75">
      <c r="A32" s="111">
        <v>1</v>
      </c>
      <c r="B32" s="18" t="s">
        <v>159</v>
      </c>
      <c r="C32" s="18" t="s">
        <v>1005</v>
      </c>
      <c r="D32" s="18" t="s">
        <v>161</v>
      </c>
      <c r="E32" s="124" t="s">
        <v>1006</v>
      </c>
      <c r="F32" s="18" t="s">
        <v>685</v>
      </c>
      <c r="G32" s="18" t="s">
        <v>996</v>
      </c>
      <c r="H32" s="120">
        <v>120</v>
      </c>
      <c r="I32" s="120"/>
      <c r="J32" s="120"/>
      <c r="K32" s="120">
        <v>120</v>
      </c>
      <c r="L32" s="120">
        <v>110</v>
      </c>
      <c r="M32" s="113">
        <v>7</v>
      </c>
      <c r="N32" s="164">
        <v>700</v>
      </c>
      <c r="O32" s="165"/>
      <c r="P32" s="123">
        <v>40</v>
      </c>
      <c r="Q32" s="113" t="s">
        <v>670</v>
      </c>
    </row>
    <row r="33" spans="2:20" ht="15.75">
      <c r="B33" s="159" t="s">
        <v>1008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</row>
    <row r="34" spans="1:17" ht="12.75">
      <c r="A34" s="111">
        <v>1</v>
      </c>
      <c r="B34" s="18" t="s">
        <v>1009</v>
      </c>
      <c r="C34" s="18" t="s">
        <v>1011</v>
      </c>
      <c r="D34" s="18" t="s">
        <v>1012</v>
      </c>
      <c r="E34" s="124" t="s">
        <v>1013</v>
      </c>
      <c r="F34" s="18" t="s">
        <v>685</v>
      </c>
      <c r="G34" s="18" t="s">
        <v>938</v>
      </c>
      <c r="H34" s="120">
        <v>185</v>
      </c>
      <c r="I34" s="128">
        <v>190</v>
      </c>
      <c r="J34" s="128">
        <v>190</v>
      </c>
      <c r="K34" s="120" t="s">
        <v>1010</v>
      </c>
      <c r="L34" s="120">
        <v>120</v>
      </c>
      <c r="M34" s="113">
        <v>18</v>
      </c>
      <c r="N34" s="164">
        <v>2160</v>
      </c>
      <c r="O34" s="165"/>
      <c r="P34" s="123">
        <v>40</v>
      </c>
      <c r="Q34" s="113" t="s">
        <v>670</v>
      </c>
    </row>
    <row r="35" spans="2:20" ht="15.75">
      <c r="B35" s="159" t="s">
        <v>1014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</row>
    <row r="36" spans="1:17" ht="12.75">
      <c r="A36" s="111">
        <v>1</v>
      </c>
      <c r="B36" s="18" t="s">
        <v>1015</v>
      </c>
      <c r="C36" s="18" t="s">
        <v>1016</v>
      </c>
      <c r="D36" s="18" t="s">
        <v>1017</v>
      </c>
      <c r="E36" s="124" t="s">
        <v>1018</v>
      </c>
      <c r="F36" s="18" t="s">
        <v>685</v>
      </c>
      <c r="G36" s="18" t="s">
        <v>973</v>
      </c>
      <c r="H36" s="120">
        <v>205</v>
      </c>
      <c r="I36" s="120">
        <v>215</v>
      </c>
      <c r="J36" s="128"/>
      <c r="K36" s="120">
        <v>215</v>
      </c>
      <c r="L36" s="120">
        <v>130</v>
      </c>
      <c r="M36" s="113">
        <v>20</v>
      </c>
      <c r="N36" s="164">
        <v>2600</v>
      </c>
      <c r="O36" s="165"/>
      <c r="P36" s="123">
        <v>40</v>
      </c>
      <c r="Q36" s="113" t="s">
        <v>670</v>
      </c>
    </row>
    <row r="37" spans="1:17" ht="12.75">
      <c r="A37" s="111">
        <v>2</v>
      </c>
      <c r="B37" s="18" t="s">
        <v>1019</v>
      </c>
      <c r="C37" s="18" t="s">
        <v>1020</v>
      </c>
      <c r="D37" s="18" t="s">
        <v>1021</v>
      </c>
      <c r="E37" s="124" t="s">
        <v>1022</v>
      </c>
      <c r="F37" s="18" t="s">
        <v>1023</v>
      </c>
      <c r="G37" s="18" t="s">
        <v>666</v>
      </c>
      <c r="H37" s="120">
        <v>155</v>
      </c>
      <c r="I37" s="120">
        <v>165</v>
      </c>
      <c r="J37" s="128">
        <v>170</v>
      </c>
      <c r="K37" s="120">
        <v>165</v>
      </c>
      <c r="L37" s="120">
        <v>130</v>
      </c>
      <c r="M37" s="113">
        <v>10</v>
      </c>
      <c r="N37" s="164">
        <v>1300</v>
      </c>
      <c r="O37" s="165"/>
      <c r="P37" s="123">
        <v>36</v>
      </c>
      <c r="Q37" s="113" t="s">
        <v>670</v>
      </c>
    </row>
    <row r="38" spans="2:20" ht="15.75">
      <c r="B38" s="146" t="s">
        <v>1024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</row>
    <row r="39" spans="2:20" ht="15.75">
      <c r="B39" s="159" t="s">
        <v>956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</row>
    <row r="40" spans="1:17" ht="12.75">
      <c r="A40" s="111">
        <v>1</v>
      </c>
      <c r="B40" s="18" t="s">
        <v>13</v>
      </c>
      <c r="C40" s="18" t="s">
        <v>14</v>
      </c>
      <c r="D40" s="18" t="s">
        <v>15</v>
      </c>
      <c r="E40" s="124" t="s">
        <v>1025</v>
      </c>
      <c r="F40" s="18" t="s">
        <v>685</v>
      </c>
      <c r="G40" s="18" t="s">
        <v>666</v>
      </c>
      <c r="H40" s="120">
        <v>117.5</v>
      </c>
      <c r="I40" s="120">
        <v>120</v>
      </c>
      <c r="J40" s="128"/>
      <c r="K40" s="120">
        <v>120</v>
      </c>
      <c r="L40" s="120">
        <v>85</v>
      </c>
      <c r="M40" s="113">
        <v>16</v>
      </c>
      <c r="N40" s="164">
        <v>1360</v>
      </c>
      <c r="O40" s="165"/>
      <c r="P40" s="123">
        <v>40</v>
      </c>
      <c r="Q40" s="113" t="s">
        <v>1026</v>
      </c>
    </row>
    <row r="41" spans="1:20" ht="15.75">
      <c r="A41" s="111"/>
      <c r="B41" s="146" t="s">
        <v>967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</row>
    <row r="42" spans="2:20" ht="15.75">
      <c r="B42" s="159" t="s">
        <v>979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</row>
    <row r="43" spans="1:17" ht="12.75">
      <c r="A43" s="111">
        <v>1</v>
      </c>
      <c r="B43" s="18" t="s">
        <v>1027</v>
      </c>
      <c r="C43" s="18" t="s">
        <v>1028</v>
      </c>
      <c r="D43" s="18" t="s">
        <v>1029</v>
      </c>
      <c r="E43" s="124" t="s">
        <v>1030</v>
      </c>
      <c r="F43" s="18" t="s">
        <v>685</v>
      </c>
      <c r="G43" s="18" t="s">
        <v>984</v>
      </c>
      <c r="H43" s="120">
        <v>135</v>
      </c>
      <c r="I43" s="120">
        <v>145</v>
      </c>
      <c r="J43" s="128">
        <v>155</v>
      </c>
      <c r="K43" s="120">
        <v>145</v>
      </c>
      <c r="L43" s="120">
        <v>90</v>
      </c>
      <c r="M43" s="113">
        <v>23</v>
      </c>
      <c r="N43" s="164">
        <v>2070</v>
      </c>
      <c r="O43" s="165"/>
      <c r="P43" s="123">
        <v>40</v>
      </c>
      <c r="Q43" s="113" t="s">
        <v>670</v>
      </c>
    </row>
    <row r="44" spans="1:20" ht="15.75">
      <c r="A44" s="111"/>
      <c r="B44" s="146" t="s">
        <v>1031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</row>
    <row r="45" spans="2:20" ht="15.75">
      <c r="B45" s="159" t="s">
        <v>1032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</row>
    <row r="46" spans="1:17" ht="12.75">
      <c r="A46" s="111">
        <v>1</v>
      </c>
      <c r="B46" s="18" t="s">
        <v>1033</v>
      </c>
      <c r="C46" s="18" t="s">
        <v>1034</v>
      </c>
      <c r="D46" s="18" t="s">
        <v>1035</v>
      </c>
      <c r="E46" s="124" t="s">
        <v>1036</v>
      </c>
      <c r="F46" s="18" t="s">
        <v>685</v>
      </c>
      <c r="G46" s="18" t="s">
        <v>1037</v>
      </c>
      <c r="H46" s="120">
        <v>130</v>
      </c>
      <c r="I46" s="128">
        <v>135</v>
      </c>
      <c r="J46" s="132">
        <v>137.5</v>
      </c>
      <c r="K46" s="120">
        <v>137.5</v>
      </c>
      <c r="L46" s="120">
        <v>80</v>
      </c>
      <c r="M46" s="113">
        <v>28</v>
      </c>
      <c r="N46" s="164">
        <v>2240</v>
      </c>
      <c r="O46" s="165"/>
      <c r="P46" s="123">
        <v>40</v>
      </c>
      <c r="Q46" s="113" t="s">
        <v>1038</v>
      </c>
    </row>
    <row r="47" spans="1:20" ht="15.75">
      <c r="A47" s="111"/>
      <c r="B47" s="146" t="s">
        <v>1039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</row>
    <row r="48" spans="2:20" ht="15.75">
      <c r="B48" s="159" t="s">
        <v>1032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</row>
    <row r="49" spans="1:17" ht="12.75">
      <c r="A49" s="111">
        <v>1</v>
      </c>
      <c r="B49" s="18" t="s">
        <v>1040</v>
      </c>
      <c r="C49" s="18" t="s">
        <v>1041</v>
      </c>
      <c r="D49" s="18" t="s">
        <v>1042</v>
      </c>
      <c r="E49" s="124" t="s">
        <v>1043</v>
      </c>
      <c r="F49" s="18" t="s">
        <v>685</v>
      </c>
      <c r="G49" s="18" t="s">
        <v>1044</v>
      </c>
      <c r="H49" s="128">
        <v>200</v>
      </c>
      <c r="I49" s="120"/>
      <c r="J49" s="120"/>
      <c r="K49" s="120">
        <v>0</v>
      </c>
      <c r="L49" s="120"/>
      <c r="M49" s="113"/>
      <c r="N49" s="164"/>
      <c r="O49" s="165"/>
      <c r="P49" s="123"/>
      <c r="Q49" s="113" t="s">
        <v>1045</v>
      </c>
    </row>
    <row r="50" spans="2:20" ht="15.75">
      <c r="B50" s="159" t="s">
        <v>140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</row>
    <row r="51" spans="1:17" ht="12.75">
      <c r="A51" s="111">
        <v>1</v>
      </c>
      <c r="B51" s="129" t="s">
        <v>963</v>
      </c>
      <c r="C51" s="18" t="s">
        <v>1046</v>
      </c>
      <c r="D51" s="130" t="s">
        <v>1047</v>
      </c>
      <c r="E51" s="124" t="s">
        <v>1048</v>
      </c>
      <c r="F51" s="18" t="s">
        <v>685</v>
      </c>
      <c r="G51" s="18" t="s">
        <v>962</v>
      </c>
      <c r="H51" s="128">
        <v>280</v>
      </c>
      <c r="I51" s="120">
        <v>280</v>
      </c>
      <c r="J51" s="128">
        <v>300</v>
      </c>
      <c r="K51" s="120">
        <v>280</v>
      </c>
      <c r="L51" s="120">
        <v>160</v>
      </c>
      <c r="M51" s="113">
        <v>37</v>
      </c>
      <c r="N51" s="164">
        <v>5920</v>
      </c>
      <c r="O51" s="165"/>
      <c r="P51" s="123">
        <v>40</v>
      </c>
      <c r="Q51" s="113" t="s">
        <v>670</v>
      </c>
    </row>
    <row r="52" spans="2:20" ht="15.75">
      <c r="B52" s="159" t="s">
        <v>1014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</row>
    <row r="53" spans="1:17" ht="12.75">
      <c r="A53" s="111">
        <v>1</v>
      </c>
      <c r="B53" s="18" t="s">
        <v>1051</v>
      </c>
      <c r="C53" s="18" t="s">
        <v>1052</v>
      </c>
      <c r="D53" s="18" t="s">
        <v>1053</v>
      </c>
      <c r="E53" s="124" t="s">
        <v>1054</v>
      </c>
      <c r="F53" s="18" t="s">
        <v>685</v>
      </c>
      <c r="G53" s="18" t="s">
        <v>666</v>
      </c>
      <c r="H53" s="120">
        <v>260</v>
      </c>
      <c r="I53" s="128">
        <v>270</v>
      </c>
      <c r="J53" s="120">
        <v>270</v>
      </c>
      <c r="K53" s="120">
        <v>270</v>
      </c>
      <c r="L53" s="120">
        <v>190</v>
      </c>
      <c r="M53" s="113">
        <v>16</v>
      </c>
      <c r="N53" s="164">
        <v>3040</v>
      </c>
      <c r="O53" s="165"/>
      <c r="P53" s="123">
        <v>40</v>
      </c>
      <c r="Q53" s="113" t="s">
        <v>670</v>
      </c>
    </row>
    <row r="54" spans="2:20" ht="15.75">
      <c r="B54" s="146" t="s">
        <v>1050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</row>
    <row r="55" spans="2:20" ht="15.75">
      <c r="B55" s="159" t="s">
        <v>1049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</row>
    <row r="56" spans="1:17" ht="12.75">
      <c r="A56">
        <v>1</v>
      </c>
      <c r="B56" s="129" t="s">
        <v>963</v>
      </c>
      <c r="C56" s="18" t="s">
        <v>1046</v>
      </c>
      <c r="D56" s="130" t="s">
        <v>1047</v>
      </c>
      <c r="E56" s="124" t="s">
        <v>1048</v>
      </c>
      <c r="F56" s="18" t="s">
        <v>685</v>
      </c>
      <c r="G56" s="18" t="s">
        <v>962</v>
      </c>
      <c r="H56" s="120">
        <v>205</v>
      </c>
      <c r="I56" s="120">
        <v>215</v>
      </c>
      <c r="J56" s="128">
        <v>220</v>
      </c>
      <c r="K56" s="120">
        <v>215</v>
      </c>
      <c r="L56" s="120"/>
      <c r="M56" s="113"/>
      <c r="N56" s="164"/>
      <c r="O56" s="165"/>
      <c r="P56" s="123"/>
      <c r="Q56" s="113" t="s">
        <v>670</v>
      </c>
    </row>
    <row r="57" spans="2:20" ht="15.75">
      <c r="B57" s="159" t="s">
        <v>1014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</row>
    <row r="58" spans="1:17" ht="12.75">
      <c r="A58">
        <v>1</v>
      </c>
      <c r="B58" s="129" t="s">
        <v>1055</v>
      </c>
      <c r="C58" s="18" t="s">
        <v>1056</v>
      </c>
      <c r="D58" s="130" t="s">
        <v>1057</v>
      </c>
      <c r="E58" s="124" t="s">
        <v>1058</v>
      </c>
      <c r="F58" s="18" t="s">
        <v>685</v>
      </c>
      <c r="G58" s="18" t="s">
        <v>666</v>
      </c>
      <c r="H58" s="120">
        <v>255</v>
      </c>
      <c r="I58" s="120">
        <v>270</v>
      </c>
      <c r="J58" s="128"/>
      <c r="K58" s="120">
        <v>270</v>
      </c>
      <c r="L58" s="120"/>
      <c r="M58" s="113"/>
      <c r="N58" s="164"/>
      <c r="O58" s="165"/>
      <c r="P58" s="123"/>
      <c r="Q58" s="113" t="s">
        <v>670</v>
      </c>
    </row>
    <row r="59" spans="2:20" ht="15.75">
      <c r="B59" s="146" t="s">
        <v>1059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</row>
    <row r="60" spans="2:20" ht="15.75">
      <c r="B60" s="159" t="s">
        <v>1060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</row>
    <row r="61" spans="1:17" ht="12.75">
      <c r="A61">
        <v>1</v>
      </c>
      <c r="B61" s="129" t="s">
        <v>1061</v>
      </c>
      <c r="C61" s="18" t="s">
        <v>1062</v>
      </c>
      <c r="D61" s="130" t="s">
        <v>453</v>
      </c>
      <c r="E61" s="124" t="s">
        <v>1063</v>
      </c>
      <c r="F61" s="18" t="s">
        <v>685</v>
      </c>
      <c r="G61" s="18" t="s">
        <v>1007</v>
      </c>
      <c r="H61" s="120"/>
      <c r="I61" s="120"/>
      <c r="J61" s="128"/>
      <c r="K61" s="120"/>
      <c r="L61" s="120">
        <v>160</v>
      </c>
      <c r="M61" s="113">
        <v>8</v>
      </c>
      <c r="N61" s="164"/>
      <c r="O61" s="165"/>
      <c r="P61" s="123"/>
      <c r="Q61" s="113" t="s">
        <v>670</v>
      </c>
    </row>
    <row r="62" spans="2:20" ht="15.75">
      <c r="B62" s="159" t="s">
        <v>1069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</row>
    <row r="63" spans="1:17" ht="12.75">
      <c r="A63">
        <v>1</v>
      </c>
      <c r="B63" s="129" t="s">
        <v>1064</v>
      </c>
      <c r="C63" s="18" t="s">
        <v>1107</v>
      </c>
      <c r="D63" s="130" t="s">
        <v>1065</v>
      </c>
      <c r="E63" s="124" t="s">
        <v>1066</v>
      </c>
      <c r="F63" s="18" t="s">
        <v>685</v>
      </c>
      <c r="G63" s="18" t="s">
        <v>1067</v>
      </c>
      <c r="H63" s="120"/>
      <c r="I63" s="120"/>
      <c r="J63" s="128"/>
      <c r="K63" s="120"/>
      <c r="L63" s="120">
        <v>200</v>
      </c>
      <c r="M63" s="113">
        <v>17</v>
      </c>
      <c r="N63" s="164"/>
      <c r="O63" s="165"/>
      <c r="P63" s="123"/>
      <c r="Q63" s="113" t="s">
        <v>670</v>
      </c>
    </row>
    <row r="64" spans="2:20" ht="15.75">
      <c r="B64" s="146" t="s">
        <v>1070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</row>
    <row r="65" spans="2:20" ht="15.75">
      <c r="B65" s="159" t="s">
        <v>1071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</row>
    <row r="66" spans="1:17" ht="12.75">
      <c r="A66">
        <v>1</v>
      </c>
      <c r="B66" s="129" t="s">
        <v>1055</v>
      </c>
      <c r="C66" s="18" t="s">
        <v>1056</v>
      </c>
      <c r="D66" s="130" t="s">
        <v>1057</v>
      </c>
      <c r="E66" s="124" t="s">
        <v>1058</v>
      </c>
      <c r="F66" s="18" t="s">
        <v>685</v>
      </c>
      <c r="G66" s="18" t="s">
        <v>666</v>
      </c>
      <c r="H66" s="120"/>
      <c r="I66" s="120"/>
      <c r="J66" s="128"/>
      <c r="K66" s="120"/>
      <c r="L66" s="120">
        <v>200</v>
      </c>
      <c r="M66" s="113">
        <v>12</v>
      </c>
      <c r="N66" s="164"/>
      <c r="O66" s="165"/>
      <c r="P66" s="123"/>
      <c r="Q66" s="113" t="s">
        <v>670</v>
      </c>
    </row>
    <row r="67" spans="2:20" ht="15.75">
      <c r="B67" s="146" t="s">
        <v>1072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</row>
    <row r="68" spans="2:20" ht="15.75">
      <c r="B68" s="159" t="s">
        <v>1032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</row>
    <row r="69" spans="1:17" ht="12.75">
      <c r="A69" s="111">
        <v>1</v>
      </c>
      <c r="B69" s="129" t="s">
        <v>985</v>
      </c>
      <c r="C69" s="18" t="s">
        <v>986</v>
      </c>
      <c r="D69" s="130" t="s">
        <v>987</v>
      </c>
      <c r="E69" s="124" t="s">
        <v>988</v>
      </c>
      <c r="F69" s="18" t="s">
        <v>685</v>
      </c>
      <c r="G69" s="18" t="s">
        <v>989</v>
      </c>
      <c r="H69" s="120">
        <v>150</v>
      </c>
      <c r="I69" s="120">
        <v>155</v>
      </c>
      <c r="J69" s="128">
        <v>160</v>
      </c>
      <c r="K69" s="120">
        <v>155</v>
      </c>
      <c r="L69" s="120">
        <v>100</v>
      </c>
      <c r="M69" s="113">
        <v>20</v>
      </c>
      <c r="N69" s="164">
        <v>2000</v>
      </c>
      <c r="O69" s="165"/>
      <c r="P69" s="123">
        <v>40</v>
      </c>
      <c r="Q69" s="113" t="s">
        <v>670</v>
      </c>
    </row>
    <row r="70" spans="2:20" ht="15.75">
      <c r="B70" s="159" t="s">
        <v>82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</row>
    <row r="71" spans="1:17" ht="12.75">
      <c r="A71" s="111">
        <v>1</v>
      </c>
      <c r="B71" s="129" t="s">
        <v>767</v>
      </c>
      <c r="C71" s="18" t="s">
        <v>1074</v>
      </c>
      <c r="D71" s="130" t="s">
        <v>769</v>
      </c>
      <c r="E71" s="124" t="s">
        <v>1073</v>
      </c>
      <c r="F71" s="18" t="s">
        <v>685</v>
      </c>
      <c r="G71" s="18" t="s">
        <v>1007</v>
      </c>
      <c r="H71" s="132">
        <v>165</v>
      </c>
      <c r="I71" s="128">
        <v>170</v>
      </c>
      <c r="J71" s="128">
        <v>170</v>
      </c>
      <c r="K71" s="120">
        <v>165</v>
      </c>
      <c r="L71" s="120">
        <v>100</v>
      </c>
      <c r="M71" s="113">
        <v>25</v>
      </c>
      <c r="N71" s="164">
        <v>2500</v>
      </c>
      <c r="O71" s="165"/>
      <c r="P71" s="123">
        <v>40</v>
      </c>
      <c r="Q71" s="113" t="s">
        <v>670</v>
      </c>
    </row>
    <row r="72" spans="1:20" ht="15.75">
      <c r="A72" s="111"/>
      <c r="B72" s="159" t="s">
        <v>1049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</row>
    <row r="73" spans="1:17" ht="12.75">
      <c r="A73" s="111">
        <v>1</v>
      </c>
      <c r="B73" s="129" t="s">
        <v>1077</v>
      </c>
      <c r="C73" s="18" t="s">
        <v>1078</v>
      </c>
      <c r="D73" s="130" t="s">
        <v>1079</v>
      </c>
      <c r="E73" s="124" t="s">
        <v>1080</v>
      </c>
      <c r="F73" s="18" t="s">
        <v>685</v>
      </c>
      <c r="G73" s="18" t="s">
        <v>1081</v>
      </c>
      <c r="H73" s="132">
        <v>190</v>
      </c>
      <c r="I73" s="132">
        <v>200</v>
      </c>
      <c r="J73" s="128"/>
      <c r="K73" s="120">
        <v>200</v>
      </c>
      <c r="L73" s="120">
        <v>100</v>
      </c>
      <c r="M73" s="113">
        <v>33</v>
      </c>
      <c r="N73" s="121">
        <v>3300</v>
      </c>
      <c r="O73" s="122"/>
      <c r="P73" s="123">
        <v>40</v>
      </c>
      <c r="Q73" s="113" t="s">
        <v>670</v>
      </c>
    </row>
    <row r="74" spans="1:20" ht="15.75">
      <c r="A74" s="111"/>
      <c r="B74" s="146" t="s">
        <v>1076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</row>
    <row r="75" spans="1:20" ht="15.75">
      <c r="A75" s="111"/>
      <c r="B75" s="159" t="s">
        <v>82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</row>
    <row r="76" spans="1:17" ht="12.75">
      <c r="A76" s="111">
        <v>1</v>
      </c>
      <c r="B76" s="129" t="s">
        <v>772</v>
      </c>
      <c r="C76" s="18" t="s">
        <v>773</v>
      </c>
      <c r="D76" s="130" t="s">
        <v>107</v>
      </c>
      <c r="E76" s="124" t="s">
        <v>1075</v>
      </c>
      <c r="F76" s="18" t="s">
        <v>685</v>
      </c>
      <c r="G76" s="18" t="s">
        <v>666</v>
      </c>
      <c r="H76" s="132"/>
      <c r="I76" s="128"/>
      <c r="J76" s="128"/>
      <c r="K76" s="120"/>
      <c r="L76" s="120">
        <v>100</v>
      </c>
      <c r="M76" s="113">
        <v>31</v>
      </c>
      <c r="N76" s="164">
        <v>3100</v>
      </c>
      <c r="O76" s="165"/>
      <c r="P76" s="123">
        <v>40</v>
      </c>
      <c r="Q76" s="113" t="s">
        <v>670</v>
      </c>
    </row>
  </sheetData>
  <sheetProtection/>
  <mergeCells count="83">
    <mergeCell ref="N63:O63"/>
    <mergeCell ref="B55:T55"/>
    <mergeCell ref="N56:O56"/>
    <mergeCell ref="N58:O58"/>
    <mergeCell ref="B57:T57"/>
    <mergeCell ref="B59:T59"/>
    <mergeCell ref="B60:T60"/>
    <mergeCell ref="N34:O34"/>
    <mergeCell ref="B17:T17"/>
    <mergeCell ref="N24:O24"/>
    <mergeCell ref="N28:O28"/>
    <mergeCell ref="B35:T35"/>
    <mergeCell ref="N36:O36"/>
    <mergeCell ref="B29:T29"/>
    <mergeCell ref="N30:O30"/>
    <mergeCell ref="N31:O31"/>
    <mergeCell ref="N32:O32"/>
    <mergeCell ref="B26:T26"/>
    <mergeCell ref="N27:O27"/>
    <mergeCell ref="B42:T42"/>
    <mergeCell ref="N43:O43"/>
    <mergeCell ref="B33:T33"/>
    <mergeCell ref="N37:O37"/>
    <mergeCell ref="B38:T38"/>
    <mergeCell ref="B39:T39"/>
    <mergeCell ref="N40:O40"/>
    <mergeCell ref="B41:T41"/>
    <mergeCell ref="N19:O19"/>
    <mergeCell ref="B20:T20"/>
    <mergeCell ref="N46:O46"/>
    <mergeCell ref="B47:T47"/>
    <mergeCell ref="N21:O21"/>
    <mergeCell ref="B22:T22"/>
    <mergeCell ref="N23:O23"/>
    <mergeCell ref="N25:O25"/>
    <mergeCell ref="B44:T44"/>
    <mergeCell ref="B45:T45"/>
    <mergeCell ref="B12:T12"/>
    <mergeCell ref="B13:T13"/>
    <mergeCell ref="N14:O14"/>
    <mergeCell ref="N51:O51"/>
    <mergeCell ref="B52:T52"/>
    <mergeCell ref="B48:T48"/>
    <mergeCell ref="N49:O49"/>
    <mergeCell ref="B15:T15"/>
    <mergeCell ref="N16:O16"/>
    <mergeCell ref="B18:T18"/>
    <mergeCell ref="B5:T5"/>
    <mergeCell ref="B8:T8"/>
    <mergeCell ref="N9:O9"/>
    <mergeCell ref="P3:P4"/>
    <mergeCell ref="B10:T10"/>
    <mergeCell ref="N11:O11"/>
    <mergeCell ref="B6:T6"/>
    <mergeCell ref="N7:O7"/>
    <mergeCell ref="L3:O3"/>
    <mergeCell ref="B1:Q2"/>
    <mergeCell ref="B3:B4"/>
    <mergeCell ref="C3:C4"/>
    <mergeCell ref="D3:D4"/>
    <mergeCell ref="E3:E4"/>
    <mergeCell ref="F3:F4"/>
    <mergeCell ref="G3:G4"/>
    <mergeCell ref="H3:K3"/>
    <mergeCell ref="Q3:Q4"/>
    <mergeCell ref="N4:O4"/>
    <mergeCell ref="B64:T64"/>
    <mergeCell ref="B65:T65"/>
    <mergeCell ref="N66:O66"/>
    <mergeCell ref="B67:T67"/>
    <mergeCell ref="B68:T68"/>
    <mergeCell ref="B50:T50"/>
    <mergeCell ref="B54:T54"/>
    <mergeCell ref="N53:O53"/>
    <mergeCell ref="N61:O61"/>
    <mergeCell ref="B62:T62"/>
    <mergeCell ref="N69:O69"/>
    <mergeCell ref="B70:T70"/>
    <mergeCell ref="N71:O71"/>
    <mergeCell ref="N76:O76"/>
    <mergeCell ref="B75:T75"/>
    <mergeCell ref="B74:T74"/>
    <mergeCell ref="B72:T72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7">
      <selection activeCell="D17" sqref="D17:E17"/>
    </sheetView>
  </sheetViews>
  <sheetFormatPr defaultColWidth="8.75390625" defaultRowHeight="12.75"/>
  <cols>
    <col min="1" max="1" width="3.375" style="0" customWidth="1"/>
    <col min="2" max="2" width="18.625" style="0" customWidth="1"/>
    <col min="3" max="3" width="19.75390625" style="0" customWidth="1"/>
    <col min="4" max="4" width="13.875" style="0" customWidth="1"/>
    <col min="5" max="5" width="11.25390625" style="0" customWidth="1"/>
    <col min="6" max="6" width="20.25390625" style="0" customWidth="1"/>
    <col min="7" max="7" width="37.125" style="0" customWidth="1"/>
    <col min="8" max="8" width="8.75390625" style="0" customWidth="1"/>
    <col min="9" max="9" width="9.75390625" style="0" customWidth="1"/>
    <col min="10" max="10" width="8.75390625" style="0" customWidth="1"/>
    <col min="11" max="11" width="10.00390625" style="0" customWidth="1"/>
    <col min="12" max="12" width="21.25390625" style="0" customWidth="1"/>
  </cols>
  <sheetData>
    <row r="1" spans="1:12" ht="12.75">
      <c r="A1" s="33"/>
      <c r="B1" s="147" t="s">
        <v>744</v>
      </c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72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3.5">
      <c r="A3" s="2"/>
      <c r="B3" s="153" t="s">
        <v>0</v>
      </c>
      <c r="C3" s="155" t="s">
        <v>9</v>
      </c>
      <c r="D3" s="142" t="s">
        <v>10</v>
      </c>
      <c r="E3" s="142" t="s">
        <v>713</v>
      </c>
      <c r="F3" s="142" t="s">
        <v>7</v>
      </c>
      <c r="G3" s="142" t="s">
        <v>663</v>
      </c>
      <c r="H3" s="142" t="s">
        <v>2</v>
      </c>
      <c r="I3" s="142"/>
      <c r="J3" s="142" t="s">
        <v>745</v>
      </c>
      <c r="K3" s="142" t="s">
        <v>6</v>
      </c>
      <c r="L3" s="144" t="s">
        <v>5</v>
      </c>
    </row>
    <row r="4" spans="1:12" ht="15" thickBot="1">
      <c r="A4" s="2"/>
      <c r="B4" s="154"/>
      <c r="C4" s="143"/>
      <c r="D4" s="143"/>
      <c r="E4" s="143"/>
      <c r="F4" s="143"/>
      <c r="G4" s="143"/>
      <c r="H4" s="32" t="s">
        <v>746</v>
      </c>
      <c r="I4" s="32" t="s">
        <v>747</v>
      </c>
      <c r="J4" s="143"/>
      <c r="K4" s="143"/>
      <c r="L4" s="145"/>
    </row>
    <row r="5" spans="1:12" ht="15.75">
      <c r="A5" s="34"/>
      <c r="B5" s="156" t="s">
        <v>263</v>
      </c>
      <c r="C5" s="156"/>
      <c r="D5" s="156"/>
      <c r="E5" s="156"/>
      <c r="F5" s="156"/>
      <c r="G5" s="156"/>
      <c r="H5" s="156"/>
      <c r="I5" s="156"/>
      <c r="J5" s="156"/>
      <c r="K5" s="156"/>
      <c r="L5" s="17"/>
    </row>
    <row r="6" spans="1:12" ht="12.75">
      <c r="A6" s="34">
        <v>1</v>
      </c>
      <c r="B6" s="18" t="s">
        <v>748</v>
      </c>
      <c r="C6" s="18" t="s">
        <v>749</v>
      </c>
      <c r="D6" s="18" t="s">
        <v>421</v>
      </c>
      <c r="E6" s="18" t="str">
        <f>"1,8080"</f>
        <v>1,8080</v>
      </c>
      <c r="F6" s="18" t="s">
        <v>16</v>
      </c>
      <c r="G6" s="18" t="s">
        <v>750</v>
      </c>
      <c r="H6" s="94" t="s">
        <v>520</v>
      </c>
      <c r="I6" s="94" t="s">
        <v>751</v>
      </c>
      <c r="J6" s="95">
        <v>960</v>
      </c>
      <c r="K6" s="94" t="str">
        <f>"1735,6800"</f>
        <v>1735,6800</v>
      </c>
      <c r="L6" s="18" t="s">
        <v>752</v>
      </c>
    </row>
    <row r="7" spans="1:12" ht="13.5" thickBot="1">
      <c r="A7" s="34"/>
      <c r="B7" s="17"/>
      <c r="C7" s="17"/>
      <c r="D7" s="17"/>
      <c r="E7" s="17"/>
      <c r="F7" s="17"/>
      <c r="G7" s="17"/>
      <c r="H7" s="27"/>
      <c r="I7" s="27"/>
      <c r="J7" s="27"/>
      <c r="K7" s="27"/>
      <c r="L7" s="17"/>
    </row>
    <row r="8" spans="1:16" ht="12.75">
      <c r="A8" s="33"/>
      <c r="B8" s="147" t="s">
        <v>753</v>
      </c>
      <c r="C8" s="148"/>
      <c r="D8" s="148"/>
      <c r="E8" s="148"/>
      <c r="F8" s="148"/>
      <c r="G8" s="148"/>
      <c r="H8" s="148"/>
      <c r="I8" s="148"/>
      <c r="J8" s="148"/>
      <c r="K8" s="148"/>
      <c r="L8" s="149"/>
      <c r="M8" s="1"/>
      <c r="N8" s="1"/>
      <c r="O8" s="1"/>
      <c r="P8" s="1"/>
    </row>
    <row r="9" spans="1:16" ht="59.25" customHeight="1" thickBot="1">
      <c r="A9" s="33"/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2"/>
      <c r="M9" s="1"/>
      <c r="N9" s="1"/>
      <c r="O9" s="1"/>
      <c r="P9" s="1"/>
    </row>
    <row r="10" spans="1:16" ht="13.5">
      <c r="A10" s="2"/>
      <c r="B10" s="153" t="s">
        <v>0</v>
      </c>
      <c r="C10" s="155" t="s">
        <v>9</v>
      </c>
      <c r="D10" s="142" t="s">
        <v>10</v>
      </c>
      <c r="E10" s="142" t="s">
        <v>713</v>
      </c>
      <c r="F10" s="142" t="s">
        <v>7</v>
      </c>
      <c r="G10" s="142" t="s">
        <v>663</v>
      </c>
      <c r="H10" s="142" t="s">
        <v>2</v>
      </c>
      <c r="I10" s="142"/>
      <c r="J10" s="142" t="s">
        <v>745</v>
      </c>
      <c r="K10" s="142" t="s">
        <v>6</v>
      </c>
      <c r="L10" s="144" t="s">
        <v>5</v>
      </c>
      <c r="M10" s="2"/>
      <c r="N10" s="2"/>
      <c r="O10" s="2"/>
      <c r="P10" s="2"/>
    </row>
    <row r="11" spans="1:16" ht="15" thickBot="1">
      <c r="A11" s="2"/>
      <c r="B11" s="154"/>
      <c r="C11" s="143"/>
      <c r="D11" s="143"/>
      <c r="E11" s="143"/>
      <c r="F11" s="143"/>
      <c r="G11" s="143"/>
      <c r="H11" s="32" t="s">
        <v>746</v>
      </c>
      <c r="I11" s="32" t="s">
        <v>747</v>
      </c>
      <c r="J11" s="143"/>
      <c r="K11" s="143"/>
      <c r="L11" s="145"/>
      <c r="M11" s="2"/>
      <c r="N11" s="2"/>
      <c r="O11" s="2"/>
      <c r="P11" s="2"/>
    </row>
    <row r="12" spans="1:12" ht="15.75">
      <c r="A12" s="34"/>
      <c r="B12" s="156" t="s">
        <v>30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7"/>
    </row>
    <row r="13" spans="1:12" ht="12.75">
      <c r="A13" s="34">
        <v>1</v>
      </c>
      <c r="B13" s="18" t="s">
        <v>31</v>
      </c>
      <c r="C13" s="18" t="s">
        <v>32</v>
      </c>
      <c r="D13" s="18" t="s">
        <v>33</v>
      </c>
      <c r="E13" s="18" t="str">
        <f>"1,1716"</f>
        <v>1,1716</v>
      </c>
      <c r="F13" s="18" t="s">
        <v>34</v>
      </c>
      <c r="G13" s="18" t="s">
        <v>35</v>
      </c>
      <c r="H13" s="94" t="s">
        <v>736</v>
      </c>
      <c r="I13" s="94" t="s">
        <v>754</v>
      </c>
      <c r="J13" s="84">
        <v>1522.5</v>
      </c>
      <c r="K13" s="94" t="str">
        <f>"1783,7610"</f>
        <v>1783,7610</v>
      </c>
      <c r="L13" s="18" t="s">
        <v>670</v>
      </c>
    </row>
    <row r="14" spans="1:12" ht="12.75">
      <c r="A14" s="34"/>
      <c r="B14" s="17"/>
      <c r="C14" s="17"/>
      <c r="D14" s="17"/>
      <c r="E14" s="17"/>
      <c r="F14" s="17"/>
      <c r="G14" s="17"/>
      <c r="H14" s="27"/>
      <c r="I14" s="27"/>
      <c r="J14" s="36"/>
      <c r="K14" s="27"/>
      <c r="L14" s="17"/>
    </row>
    <row r="15" spans="1:12" ht="15.75">
      <c r="A15" s="34"/>
      <c r="B15" s="146" t="s">
        <v>60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7"/>
    </row>
    <row r="16" spans="1:12" ht="12.75">
      <c r="A16" s="34">
        <v>1</v>
      </c>
      <c r="B16" s="28" t="s">
        <v>755</v>
      </c>
      <c r="C16" s="28" t="s">
        <v>756</v>
      </c>
      <c r="D16" s="28" t="s">
        <v>757</v>
      </c>
      <c r="E16" s="28" t="str">
        <f>"1,0166"</f>
        <v>1,0166</v>
      </c>
      <c r="F16" s="28" t="s">
        <v>665</v>
      </c>
      <c r="G16" s="28" t="s">
        <v>130</v>
      </c>
      <c r="H16" s="96" t="s">
        <v>730</v>
      </c>
      <c r="I16" s="97">
        <v>41</v>
      </c>
      <c r="J16" s="87">
        <v>3485</v>
      </c>
      <c r="K16" s="96" t="str">
        <f>"3542,8510"</f>
        <v>3542,8510</v>
      </c>
      <c r="L16" s="28" t="s">
        <v>758</v>
      </c>
    </row>
    <row r="17" spans="1:12" ht="12.75">
      <c r="A17" s="34">
        <v>2</v>
      </c>
      <c r="B17" s="18" t="s">
        <v>759</v>
      </c>
      <c r="C17" s="18" t="s">
        <v>760</v>
      </c>
      <c r="D17" s="18" t="s">
        <v>761</v>
      </c>
      <c r="E17" s="18" t="str">
        <f>"1,0158"</f>
        <v>1,0158</v>
      </c>
      <c r="F17" s="18" t="s">
        <v>16</v>
      </c>
      <c r="G17" s="18" t="s">
        <v>65</v>
      </c>
      <c r="H17" s="94" t="s">
        <v>730</v>
      </c>
      <c r="I17" s="98">
        <v>33</v>
      </c>
      <c r="J17" s="84">
        <v>2805</v>
      </c>
      <c r="K17" s="94" t="str">
        <f>"2849,3190"</f>
        <v>2849,3190</v>
      </c>
      <c r="L17" s="18" t="s">
        <v>81</v>
      </c>
    </row>
    <row r="18" spans="1:12" ht="12.75">
      <c r="A18" s="34">
        <v>1</v>
      </c>
      <c r="B18" s="30" t="s">
        <v>762</v>
      </c>
      <c r="C18" s="30" t="s">
        <v>763</v>
      </c>
      <c r="D18" s="30" t="s">
        <v>764</v>
      </c>
      <c r="E18" s="30" t="str">
        <f>"0,9972"</f>
        <v>0,9972</v>
      </c>
      <c r="F18" s="30" t="s">
        <v>16</v>
      </c>
      <c r="G18" s="30" t="s">
        <v>750</v>
      </c>
      <c r="H18" s="99" t="s">
        <v>568</v>
      </c>
      <c r="I18" s="100">
        <v>29</v>
      </c>
      <c r="J18" s="89">
        <v>2537.5</v>
      </c>
      <c r="K18" s="99" t="str">
        <f>"2530,3950"</f>
        <v>2530,3950</v>
      </c>
      <c r="L18" s="30" t="s">
        <v>81</v>
      </c>
    </row>
    <row r="19" spans="1:12" ht="12.75">
      <c r="A19" s="34">
        <v>1</v>
      </c>
      <c r="B19" s="18" t="s">
        <v>77</v>
      </c>
      <c r="C19" s="18" t="s">
        <v>765</v>
      </c>
      <c r="D19" s="18" t="s">
        <v>79</v>
      </c>
      <c r="E19" s="18" t="str">
        <f>"0,9694"</f>
        <v>0,9694</v>
      </c>
      <c r="F19" s="18" t="s">
        <v>16</v>
      </c>
      <c r="G19" s="18" t="s">
        <v>766</v>
      </c>
      <c r="H19" s="94" t="s">
        <v>80</v>
      </c>
      <c r="I19" s="98">
        <v>12</v>
      </c>
      <c r="J19" s="84">
        <v>1080</v>
      </c>
      <c r="K19" s="94" t="str">
        <f>"1402,9157"</f>
        <v>1402,9157</v>
      </c>
      <c r="L19" s="18" t="s">
        <v>81</v>
      </c>
    </row>
    <row r="20" spans="1:12" ht="12.75">
      <c r="A20" s="34"/>
      <c r="B20" s="17"/>
      <c r="C20" s="17"/>
      <c r="D20" s="17"/>
      <c r="E20" s="17"/>
      <c r="F20" s="17"/>
      <c r="G20" s="17"/>
      <c r="H20" s="27"/>
      <c r="I20" s="27"/>
      <c r="J20" s="36"/>
      <c r="K20" s="27"/>
      <c r="L20" s="17"/>
    </row>
    <row r="21" spans="1:12" ht="15.75">
      <c r="A21" s="34"/>
      <c r="B21" s="146" t="s">
        <v>82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7"/>
    </row>
    <row r="22" spans="1:12" ht="12.75">
      <c r="A22" s="34">
        <v>1</v>
      </c>
      <c r="B22" s="28" t="s">
        <v>767</v>
      </c>
      <c r="C22" s="28" t="s">
        <v>768</v>
      </c>
      <c r="D22" s="28" t="s">
        <v>769</v>
      </c>
      <c r="E22" s="28" t="str">
        <f>"0,9234"</f>
        <v>0,9234</v>
      </c>
      <c r="F22" s="28" t="s">
        <v>665</v>
      </c>
      <c r="G22" s="28" t="s">
        <v>130</v>
      </c>
      <c r="H22" s="96" t="s">
        <v>26</v>
      </c>
      <c r="I22" s="96" t="s">
        <v>770</v>
      </c>
      <c r="J22" s="87">
        <v>2600</v>
      </c>
      <c r="K22" s="96" t="str">
        <f>"2400,8400"</f>
        <v>2400,8400</v>
      </c>
      <c r="L22" s="28" t="s">
        <v>771</v>
      </c>
    </row>
    <row r="23" spans="1:12" ht="12.75">
      <c r="A23" s="34">
        <v>1</v>
      </c>
      <c r="B23" s="18" t="s">
        <v>772</v>
      </c>
      <c r="C23" s="18" t="s">
        <v>773</v>
      </c>
      <c r="D23" s="18" t="s">
        <v>107</v>
      </c>
      <c r="E23" s="18" t="str">
        <f>"0,9202"</f>
        <v>0,9202</v>
      </c>
      <c r="F23" s="18" t="s">
        <v>16</v>
      </c>
      <c r="G23" s="18" t="s">
        <v>676</v>
      </c>
      <c r="H23" s="94" t="s">
        <v>26</v>
      </c>
      <c r="I23" s="94" t="s">
        <v>774</v>
      </c>
      <c r="J23" s="84">
        <v>3400</v>
      </c>
      <c r="K23" s="94" t="str">
        <f>"3128,6800"</f>
        <v>3128,6800</v>
      </c>
      <c r="L23" s="18" t="s">
        <v>81</v>
      </c>
    </row>
    <row r="24" spans="1:12" ht="12.75">
      <c r="A24" s="34">
        <v>2</v>
      </c>
      <c r="B24" s="30" t="s">
        <v>775</v>
      </c>
      <c r="C24" s="30" t="s">
        <v>776</v>
      </c>
      <c r="D24" s="30" t="s">
        <v>777</v>
      </c>
      <c r="E24" s="30" t="str">
        <f>"0,9446"</f>
        <v>0,9446</v>
      </c>
      <c r="F24" s="28" t="s">
        <v>16</v>
      </c>
      <c r="G24" s="28" t="s">
        <v>65</v>
      </c>
      <c r="H24" s="99" t="s">
        <v>778</v>
      </c>
      <c r="I24" s="99" t="s">
        <v>779</v>
      </c>
      <c r="J24" s="89">
        <v>2850</v>
      </c>
      <c r="K24" s="99" t="str">
        <f>"2692,1100"</f>
        <v>2692,1100</v>
      </c>
      <c r="L24" s="30" t="s">
        <v>780</v>
      </c>
    </row>
    <row r="25" spans="1:12" ht="12.75">
      <c r="A25" s="34">
        <v>3</v>
      </c>
      <c r="B25" s="18" t="s">
        <v>781</v>
      </c>
      <c r="C25" s="18" t="s">
        <v>782</v>
      </c>
      <c r="D25" s="18" t="s">
        <v>783</v>
      </c>
      <c r="E25" s="18" t="str">
        <f>"0,9390"</f>
        <v>0,9390</v>
      </c>
      <c r="F25" s="18" t="s">
        <v>609</v>
      </c>
      <c r="G25" s="18" t="s">
        <v>705</v>
      </c>
      <c r="H25" s="94" t="s">
        <v>778</v>
      </c>
      <c r="I25" s="94" t="s">
        <v>784</v>
      </c>
      <c r="J25" s="84">
        <v>2090</v>
      </c>
      <c r="K25" s="94" t="str">
        <f>"1962,5100"</f>
        <v>1962,5100</v>
      </c>
      <c r="L25" s="18" t="s">
        <v>171</v>
      </c>
    </row>
    <row r="26" spans="1:12" ht="12.75">
      <c r="A26" s="34"/>
      <c r="B26" s="17"/>
      <c r="C26" s="17"/>
      <c r="D26" s="17"/>
      <c r="E26" s="17"/>
      <c r="F26" s="17"/>
      <c r="G26" s="17"/>
      <c r="H26" s="27"/>
      <c r="I26" s="27"/>
      <c r="J26" s="36"/>
      <c r="K26" s="27"/>
      <c r="L26" s="17"/>
    </row>
    <row r="27" spans="1:12" ht="15.75">
      <c r="A27" s="34"/>
      <c r="B27" s="146" t="s">
        <v>140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7"/>
    </row>
    <row r="28" spans="1:12" ht="12.75">
      <c r="A28" s="34">
        <v>1</v>
      </c>
      <c r="B28" s="28" t="s">
        <v>785</v>
      </c>
      <c r="C28" s="28" t="s">
        <v>354</v>
      </c>
      <c r="D28" s="28" t="s">
        <v>786</v>
      </c>
      <c r="E28" s="28" t="str">
        <f>"0,9134"</f>
        <v>0,9134</v>
      </c>
      <c r="F28" s="28" t="s">
        <v>693</v>
      </c>
      <c r="G28" s="28" t="s">
        <v>374</v>
      </c>
      <c r="H28" s="96" t="s">
        <v>571</v>
      </c>
      <c r="I28" s="96" t="s">
        <v>787</v>
      </c>
      <c r="J28" s="87">
        <v>3792.5</v>
      </c>
      <c r="K28" s="96" t="str">
        <f>"3464,0695"</f>
        <v>3464,0695</v>
      </c>
      <c r="L28" s="28" t="s">
        <v>81</v>
      </c>
    </row>
    <row r="29" spans="1:12" ht="12.75">
      <c r="A29" s="34">
        <v>2</v>
      </c>
      <c r="B29" s="18" t="s">
        <v>153</v>
      </c>
      <c r="C29" s="18" t="s">
        <v>788</v>
      </c>
      <c r="D29" s="18" t="s">
        <v>155</v>
      </c>
      <c r="E29" s="18" t="str">
        <f>"0,9034"</f>
        <v>0,9034</v>
      </c>
      <c r="F29" s="18" t="s">
        <v>16</v>
      </c>
      <c r="G29" s="18" t="s">
        <v>156</v>
      </c>
      <c r="H29" s="94" t="s">
        <v>290</v>
      </c>
      <c r="I29" s="94" t="s">
        <v>774</v>
      </c>
      <c r="J29" s="84">
        <v>3570</v>
      </c>
      <c r="K29" s="94" t="str">
        <f>"3225,1380"</f>
        <v>3225,1380</v>
      </c>
      <c r="L29" s="18" t="s">
        <v>81</v>
      </c>
    </row>
    <row r="30" spans="1:12" ht="12.75">
      <c r="A30" s="34">
        <v>3</v>
      </c>
      <c r="B30" s="30" t="s">
        <v>789</v>
      </c>
      <c r="C30" s="30" t="s">
        <v>790</v>
      </c>
      <c r="D30" s="30" t="s">
        <v>791</v>
      </c>
      <c r="E30" s="30" t="str">
        <f>"0,8924"</f>
        <v>0,8924</v>
      </c>
      <c r="F30" s="30" t="s">
        <v>709</v>
      </c>
      <c r="G30" s="30" t="s">
        <v>792</v>
      </c>
      <c r="H30" s="99" t="s">
        <v>27</v>
      </c>
      <c r="I30" s="99" t="s">
        <v>793</v>
      </c>
      <c r="J30" s="89">
        <v>3332.5</v>
      </c>
      <c r="K30" s="99" t="str">
        <f>"2973,9231"</f>
        <v>2973,9231</v>
      </c>
      <c r="L30" s="30" t="s">
        <v>29</v>
      </c>
    </row>
    <row r="31" spans="1:12" ht="12.75">
      <c r="A31" s="34">
        <v>4</v>
      </c>
      <c r="B31" s="18" t="s">
        <v>149</v>
      </c>
      <c r="C31" s="18" t="s">
        <v>150</v>
      </c>
      <c r="D31" s="18" t="s">
        <v>151</v>
      </c>
      <c r="E31" s="18" t="str">
        <f>"0,8900"</f>
        <v>0,8900</v>
      </c>
      <c r="F31" s="18" t="s">
        <v>16</v>
      </c>
      <c r="G31" s="18" t="s">
        <v>152</v>
      </c>
      <c r="H31" s="94" t="s">
        <v>36</v>
      </c>
      <c r="I31" s="94" t="s">
        <v>794</v>
      </c>
      <c r="J31" s="84">
        <v>1980</v>
      </c>
      <c r="K31" s="94" t="str">
        <f>"1762,2000"</f>
        <v>1762,2000</v>
      </c>
      <c r="L31" s="18" t="s">
        <v>81</v>
      </c>
    </row>
    <row r="32" spans="1:12" ht="12.75">
      <c r="A32" s="34">
        <v>1</v>
      </c>
      <c r="B32" s="30" t="s">
        <v>789</v>
      </c>
      <c r="C32" s="30" t="s">
        <v>795</v>
      </c>
      <c r="D32" s="30" t="s">
        <v>791</v>
      </c>
      <c r="E32" s="30" t="str">
        <f>"0,8924"</f>
        <v>0,8924</v>
      </c>
      <c r="F32" s="30" t="s">
        <v>709</v>
      </c>
      <c r="G32" s="30" t="s">
        <v>792</v>
      </c>
      <c r="H32" s="99" t="s">
        <v>27</v>
      </c>
      <c r="I32" s="99" t="s">
        <v>793</v>
      </c>
      <c r="J32" s="89">
        <v>3332.5</v>
      </c>
      <c r="K32" s="99" t="str">
        <f>"3101,8018"</f>
        <v>3101,8018</v>
      </c>
      <c r="L32" s="30" t="s">
        <v>29</v>
      </c>
    </row>
    <row r="33" spans="1:12" ht="12.75">
      <c r="A33" s="34">
        <v>2</v>
      </c>
      <c r="B33" s="18" t="s">
        <v>159</v>
      </c>
      <c r="C33" s="18" t="s">
        <v>796</v>
      </c>
      <c r="D33" s="18" t="s">
        <v>161</v>
      </c>
      <c r="E33" s="18" t="str">
        <f>"0,8890"</f>
        <v>0,8890</v>
      </c>
      <c r="F33" s="18" t="s">
        <v>16</v>
      </c>
      <c r="G33" s="18" t="s">
        <v>766</v>
      </c>
      <c r="H33" s="94" t="s">
        <v>36</v>
      </c>
      <c r="I33" s="94" t="s">
        <v>797</v>
      </c>
      <c r="J33" s="84">
        <v>0</v>
      </c>
      <c r="K33" s="94" t="str">
        <f>"0,0000"</f>
        <v>0,0000</v>
      </c>
      <c r="L33" s="18" t="s">
        <v>81</v>
      </c>
    </row>
    <row r="34" spans="1:12" ht="12.75">
      <c r="A34" s="34">
        <v>1</v>
      </c>
      <c r="B34" s="31" t="s">
        <v>798</v>
      </c>
      <c r="C34" s="31" t="s">
        <v>799</v>
      </c>
      <c r="D34" s="31" t="s">
        <v>800</v>
      </c>
      <c r="E34" s="31" t="str">
        <f>"0,9060"</f>
        <v>0,9060</v>
      </c>
      <c r="F34" s="31" t="s">
        <v>16</v>
      </c>
      <c r="G34" s="31" t="s">
        <v>65</v>
      </c>
      <c r="H34" s="101" t="s">
        <v>571</v>
      </c>
      <c r="I34" s="101" t="s">
        <v>754</v>
      </c>
      <c r="J34" s="88">
        <v>2152.5</v>
      </c>
      <c r="K34" s="101" t="str">
        <f>"2203,6865"</f>
        <v>2203,6865</v>
      </c>
      <c r="L34" s="31" t="s">
        <v>81</v>
      </c>
    </row>
    <row r="35" spans="1:12" ht="12.75">
      <c r="A35" s="34"/>
      <c r="B35" s="17"/>
      <c r="C35" s="17"/>
      <c r="D35" s="17"/>
      <c r="E35" s="17"/>
      <c r="F35" s="17"/>
      <c r="G35" s="17"/>
      <c r="H35" s="27"/>
      <c r="I35" s="27"/>
      <c r="J35" s="36"/>
      <c r="K35" s="27"/>
      <c r="L35" s="17"/>
    </row>
    <row r="36" spans="1:12" ht="15.75">
      <c r="A36" s="34"/>
      <c r="B36" s="146" t="s">
        <v>186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7"/>
    </row>
    <row r="37" spans="1:12" ht="12.75">
      <c r="A37" s="34">
        <v>1</v>
      </c>
      <c r="B37" s="28" t="s">
        <v>801</v>
      </c>
      <c r="C37" s="28" t="s">
        <v>802</v>
      </c>
      <c r="D37" s="28" t="s">
        <v>511</v>
      </c>
      <c r="E37" s="28" t="str">
        <f>"0,8540"</f>
        <v>0,8540</v>
      </c>
      <c r="F37" s="28" t="s">
        <v>671</v>
      </c>
      <c r="G37" s="28" t="s">
        <v>65</v>
      </c>
      <c r="H37" s="96" t="s">
        <v>19</v>
      </c>
      <c r="I37" s="96" t="s">
        <v>803</v>
      </c>
      <c r="J37" s="87">
        <v>1950</v>
      </c>
      <c r="K37" s="96" t="str">
        <f>"1801,8545"</f>
        <v>1801,8545</v>
      </c>
      <c r="L37" s="28" t="s">
        <v>81</v>
      </c>
    </row>
    <row r="38" spans="1:12" ht="12.75">
      <c r="A38" s="34">
        <v>2</v>
      </c>
      <c r="B38" s="18" t="s">
        <v>187</v>
      </c>
      <c r="C38" s="18" t="s">
        <v>804</v>
      </c>
      <c r="D38" s="18" t="s">
        <v>189</v>
      </c>
      <c r="E38" s="18" t="str">
        <f>"0,8530"</f>
        <v>0,8530</v>
      </c>
      <c r="F38" s="18" t="s">
        <v>16</v>
      </c>
      <c r="G38" s="18" t="s">
        <v>190</v>
      </c>
      <c r="H38" s="94" t="s">
        <v>19</v>
      </c>
      <c r="I38" s="94" t="s">
        <v>805</v>
      </c>
      <c r="J38" s="84">
        <v>1690</v>
      </c>
      <c r="K38" s="94" t="str">
        <f>"1455,9857"</f>
        <v>1455,9857</v>
      </c>
      <c r="L38" s="18" t="s">
        <v>81</v>
      </c>
    </row>
    <row r="39" spans="1:12" ht="12.75">
      <c r="A39" s="34"/>
      <c r="B39" s="17"/>
      <c r="C39" s="17"/>
      <c r="D39" s="17"/>
      <c r="E39" s="17"/>
      <c r="F39" s="17"/>
      <c r="G39" s="17"/>
      <c r="H39" s="27"/>
      <c r="I39" s="27"/>
      <c r="J39" s="36"/>
      <c r="K39" s="27"/>
      <c r="L39" s="17"/>
    </row>
    <row r="40" spans="1:12" ht="12.75">
      <c r="A40" s="34"/>
      <c r="B40" s="17"/>
      <c r="C40" s="17"/>
      <c r="D40" s="17"/>
      <c r="E40" s="17"/>
      <c r="F40" s="17"/>
      <c r="G40" s="17"/>
      <c r="H40" s="27"/>
      <c r="I40" s="27"/>
      <c r="J40" s="36"/>
      <c r="K40" s="27"/>
      <c r="L40" s="17"/>
    </row>
    <row r="41" spans="1:12" ht="18">
      <c r="A41" s="34"/>
      <c r="B41" s="21" t="s">
        <v>192</v>
      </c>
      <c r="C41" s="21"/>
      <c r="D41" s="17"/>
      <c r="E41" s="17"/>
      <c r="F41" s="17"/>
      <c r="G41" s="17"/>
      <c r="H41" s="27"/>
      <c r="I41" s="27"/>
      <c r="J41" s="36"/>
      <c r="K41" s="27"/>
      <c r="L41" s="17"/>
    </row>
    <row r="42" spans="1:12" ht="15.75">
      <c r="A42" s="34"/>
      <c r="B42" s="22" t="s">
        <v>201</v>
      </c>
      <c r="C42" s="22"/>
      <c r="D42" s="17"/>
      <c r="E42" s="17"/>
      <c r="F42" s="17"/>
      <c r="G42" s="17"/>
      <c r="H42" s="27"/>
      <c r="I42" s="27"/>
      <c r="J42" s="36"/>
      <c r="K42" s="27"/>
      <c r="L42" s="17"/>
    </row>
    <row r="43" spans="1:12" ht="13.5">
      <c r="A43" s="34"/>
      <c r="B43" s="85" t="s">
        <v>193</v>
      </c>
      <c r="C43" s="25"/>
      <c r="D43" s="17"/>
      <c r="E43" s="17"/>
      <c r="F43" s="17"/>
      <c r="G43" s="17"/>
      <c r="H43" s="27"/>
      <c r="I43" s="27"/>
      <c r="J43" s="36"/>
      <c r="K43" s="27"/>
      <c r="L43" s="17"/>
    </row>
    <row r="44" spans="1:12" ht="13.5">
      <c r="A44" s="34"/>
      <c r="B44" s="26" t="s">
        <v>194</v>
      </c>
      <c r="C44" s="26" t="s">
        <v>195</v>
      </c>
      <c r="D44" s="26" t="s">
        <v>196</v>
      </c>
      <c r="E44" s="26" t="s">
        <v>197</v>
      </c>
      <c r="F44" s="26" t="s">
        <v>806</v>
      </c>
      <c r="G44" s="17"/>
      <c r="H44" s="27"/>
      <c r="I44" s="27"/>
      <c r="J44" s="36"/>
      <c r="K44" s="27"/>
      <c r="L44" s="17"/>
    </row>
    <row r="45" spans="1:12" ht="12.75">
      <c r="A45" s="34">
        <v>1</v>
      </c>
      <c r="B45" s="23" t="s">
        <v>755</v>
      </c>
      <c r="C45" s="86" t="s">
        <v>193</v>
      </c>
      <c r="D45" s="86" t="s">
        <v>212</v>
      </c>
      <c r="E45" s="86" t="s">
        <v>807</v>
      </c>
      <c r="F45" s="36" t="s">
        <v>808</v>
      </c>
      <c r="G45" s="17"/>
      <c r="H45" s="27"/>
      <c r="I45" s="27"/>
      <c r="J45" s="36"/>
      <c r="K45" s="27"/>
      <c r="L45" s="17"/>
    </row>
    <row r="46" spans="1:12" ht="12.75">
      <c r="A46" s="34">
        <v>2</v>
      </c>
      <c r="B46" s="23" t="s">
        <v>785</v>
      </c>
      <c r="C46" s="86" t="s">
        <v>193</v>
      </c>
      <c r="D46" s="86" t="s">
        <v>202</v>
      </c>
      <c r="E46" s="86" t="s">
        <v>809</v>
      </c>
      <c r="F46" s="36" t="s">
        <v>810</v>
      </c>
      <c r="G46" s="17"/>
      <c r="H46" s="27"/>
      <c r="I46" s="27"/>
      <c r="J46" s="36"/>
      <c r="K46" s="27"/>
      <c r="L46" s="17"/>
    </row>
    <row r="47" spans="1:12" ht="12.75">
      <c r="A47" s="34">
        <v>3</v>
      </c>
      <c r="B47" s="23" t="s">
        <v>153</v>
      </c>
      <c r="C47" s="86" t="s">
        <v>193</v>
      </c>
      <c r="D47" s="86" t="s">
        <v>202</v>
      </c>
      <c r="E47" s="86" t="s">
        <v>811</v>
      </c>
      <c r="F47" s="36" t="s">
        <v>812</v>
      </c>
      <c r="G47" s="17"/>
      <c r="H47" s="27"/>
      <c r="I47" s="27"/>
      <c r="J47" s="36"/>
      <c r="K47" s="27"/>
      <c r="L47" s="17"/>
    </row>
    <row r="48" spans="1:12" ht="12.75">
      <c r="A48" s="34"/>
      <c r="B48" s="23" t="s">
        <v>772</v>
      </c>
      <c r="C48" s="86" t="s">
        <v>193</v>
      </c>
      <c r="D48" s="86" t="s">
        <v>203</v>
      </c>
      <c r="E48" s="86" t="s">
        <v>813</v>
      </c>
      <c r="F48" s="36" t="s">
        <v>814</v>
      </c>
      <c r="G48" s="17"/>
      <c r="H48" s="27"/>
      <c r="I48" s="27"/>
      <c r="J48" s="36"/>
      <c r="K48" s="27"/>
      <c r="L48" s="17"/>
    </row>
    <row r="49" spans="1:12" ht="12.75">
      <c r="A49" s="34"/>
      <c r="B49" s="23" t="s">
        <v>789</v>
      </c>
      <c r="C49" s="86" t="s">
        <v>193</v>
      </c>
      <c r="D49" s="86" t="s">
        <v>202</v>
      </c>
      <c r="E49" s="86" t="s">
        <v>815</v>
      </c>
      <c r="F49" s="36" t="s">
        <v>816</v>
      </c>
      <c r="G49" s="17"/>
      <c r="H49" s="27"/>
      <c r="I49" s="27"/>
      <c r="J49" s="36"/>
      <c r="K49" s="27"/>
      <c r="L49" s="17"/>
    </row>
    <row r="50" spans="1:12" ht="12.75">
      <c r="A50" s="34"/>
      <c r="B50" s="23" t="s">
        <v>759</v>
      </c>
      <c r="C50" s="86" t="s">
        <v>193</v>
      </c>
      <c r="D50" s="86" t="s">
        <v>212</v>
      </c>
      <c r="E50" s="86" t="s">
        <v>817</v>
      </c>
      <c r="F50" s="36" t="s">
        <v>818</v>
      </c>
      <c r="G50" s="17"/>
      <c r="H50" s="27"/>
      <c r="I50" s="27"/>
      <c r="J50" s="36"/>
      <c r="K50" s="27"/>
      <c r="L50" s="17"/>
    </row>
    <row r="51" spans="1:12" ht="12.75">
      <c r="A51" s="34"/>
      <c r="B51" s="23" t="s">
        <v>775</v>
      </c>
      <c r="C51" s="86" t="s">
        <v>193</v>
      </c>
      <c r="D51" s="86" t="s">
        <v>203</v>
      </c>
      <c r="E51" s="86" t="s">
        <v>819</v>
      </c>
      <c r="F51" s="36" t="s">
        <v>820</v>
      </c>
      <c r="G51" s="17"/>
      <c r="H51" s="27"/>
      <c r="I51" s="27"/>
      <c r="J51" s="36"/>
      <c r="K51" s="27"/>
      <c r="L51" s="17"/>
    </row>
    <row r="52" spans="1:12" ht="12.75">
      <c r="A52" s="34"/>
      <c r="B52" s="23" t="s">
        <v>781</v>
      </c>
      <c r="C52" s="86" t="s">
        <v>193</v>
      </c>
      <c r="D52" s="86" t="s">
        <v>203</v>
      </c>
      <c r="E52" s="86" t="s">
        <v>821</v>
      </c>
      <c r="F52" s="36" t="s">
        <v>822</v>
      </c>
      <c r="G52" s="17"/>
      <c r="H52" s="27"/>
      <c r="I52" s="27"/>
      <c r="J52" s="36"/>
      <c r="K52" s="27"/>
      <c r="L52" s="17"/>
    </row>
    <row r="53" spans="1:12" ht="12.75">
      <c r="A53" s="34"/>
      <c r="B53" s="23" t="s">
        <v>31</v>
      </c>
      <c r="C53" s="86" t="s">
        <v>193</v>
      </c>
      <c r="D53" s="86" t="s">
        <v>222</v>
      </c>
      <c r="E53" s="86" t="s">
        <v>823</v>
      </c>
      <c r="F53" s="36" t="s">
        <v>824</v>
      </c>
      <c r="G53" s="17"/>
      <c r="H53" s="27"/>
      <c r="I53" s="27"/>
      <c r="J53" s="36"/>
      <c r="K53" s="27"/>
      <c r="L53" s="17"/>
    </row>
    <row r="54" spans="1:12" ht="12.75">
      <c r="A54" s="34"/>
      <c r="B54" s="23" t="s">
        <v>149</v>
      </c>
      <c r="C54" s="86" t="s">
        <v>193</v>
      </c>
      <c r="D54" s="86" t="s">
        <v>202</v>
      </c>
      <c r="E54" s="86" t="s">
        <v>825</v>
      </c>
      <c r="F54" s="36" t="s">
        <v>826</v>
      </c>
      <c r="G54" s="17"/>
      <c r="H54" s="27"/>
      <c r="I54" s="27"/>
      <c r="J54" s="36"/>
      <c r="K54" s="27"/>
      <c r="L54" s="17"/>
    </row>
    <row r="55" spans="1:12" ht="12.75">
      <c r="A55" s="34"/>
      <c r="B55" s="17"/>
      <c r="C55" s="17"/>
      <c r="D55" s="86"/>
      <c r="E55" s="17"/>
      <c r="F55" s="17"/>
      <c r="G55" s="17"/>
      <c r="H55" s="27"/>
      <c r="I55" s="27"/>
      <c r="J55" s="36"/>
      <c r="K55" s="27"/>
      <c r="L55" s="17"/>
    </row>
    <row r="56" spans="1:12" ht="13.5">
      <c r="A56" s="34"/>
      <c r="B56" s="85" t="s">
        <v>199</v>
      </c>
      <c r="C56" s="25"/>
      <c r="D56" s="17"/>
      <c r="E56" s="17"/>
      <c r="F56" s="17"/>
      <c r="G56" s="17"/>
      <c r="H56" s="27"/>
      <c r="I56" s="27"/>
      <c r="J56" s="36"/>
      <c r="K56" s="27"/>
      <c r="L56" s="17"/>
    </row>
    <row r="57" spans="1:12" ht="13.5">
      <c r="A57" s="34"/>
      <c r="B57" s="26" t="s">
        <v>194</v>
      </c>
      <c r="C57" s="26" t="s">
        <v>195</v>
      </c>
      <c r="D57" s="26" t="s">
        <v>196</v>
      </c>
      <c r="E57" s="26" t="s">
        <v>197</v>
      </c>
      <c r="F57" s="26" t="s">
        <v>806</v>
      </c>
      <c r="G57" s="17"/>
      <c r="H57" s="27"/>
      <c r="I57" s="27"/>
      <c r="J57" s="36"/>
      <c r="K57" s="27"/>
      <c r="L57" s="17"/>
    </row>
    <row r="58" spans="1:12" ht="12.75">
      <c r="A58" s="34">
        <v>1</v>
      </c>
      <c r="B58" s="23" t="s">
        <v>789</v>
      </c>
      <c r="C58" s="86" t="s">
        <v>827</v>
      </c>
      <c r="D58" s="86" t="s">
        <v>202</v>
      </c>
      <c r="E58" s="86" t="s">
        <v>815</v>
      </c>
      <c r="F58" s="36" t="s">
        <v>828</v>
      </c>
      <c r="G58" s="17"/>
      <c r="H58" s="27"/>
      <c r="I58" s="27"/>
      <c r="J58" s="36"/>
      <c r="K58" s="27"/>
      <c r="L58" s="17"/>
    </row>
    <row r="59" spans="1:12" ht="12.75">
      <c r="A59" s="34">
        <v>2</v>
      </c>
      <c r="B59" s="23" t="s">
        <v>762</v>
      </c>
      <c r="C59" s="86" t="s">
        <v>827</v>
      </c>
      <c r="D59" s="86" t="s">
        <v>212</v>
      </c>
      <c r="E59" s="86" t="s">
        <v>829</v>
      </c>
      <c r="F59" s="36" t="s">
        <v>830</v>
      </c>
      <c r="G59" s="17"/>
      <c r="H59" s="27"/>
      <c r="I59" s="27"/>
      <c r="J59" s="36"/>
      <c r="K59" s="27"/>
      <c r="L59" s="17"/>
    </row>
    <row r="60" spans="1:12" ht="12.75">
      <c r="A60" s="34">
        <v>3</v>
      </c>
      <c r="B60" s="23" t="s">
        <v>798</v>
      </c>
      <c r="C60" s="86" t="s">
        <v>831</v>
      </c>
      <c r="D60" s="86" t="s">
        <v>202</v>
      </c>
      <c r="E60" s="86" t="s">
        <v>832</v>
      </c>
      <c r="F60" s="36" t="s">
        <v>833</v>
      </c>
      <c r="G60" s="17"/>
      <c r="H60" s="27"/>
      <c r="I60" s="27"/>
      <c r="J60" s="36"/>
      <c r="K60" s="27"/>
      <c r="L60" s="17"/>
    </row>
    <row r="61" spans="1:12" ht="12.75">
      <c r="A61" s="34"/>
      <c r="B61" s="23" t="s">
        <v>801</v>
      </c>
      <c r="C61" s="86" t="s">
        <v>827</v>
      </c>
      <c r="D61" s="86" t="s">
        <v>230</v>
      </c>
      <c r="E61" s="86" t="s">
        <v>834</v>
      </c>
      <c r="F61" s="36" t="s">
        <v>835</v>
      </c>
      <c r="G61" s="17"/>
      <c r="H61" s="27"/>
      <c r="I61" s="27"/>
      <c r="J61" s="36"/>
      <c r="K61" s="27"/>
      <c r="L61" s="17"/>
    </row>
    <row r="62" spans="1:12" ht="12.75">
      <c r="A62" s="34"/>
      <c r="B62" s="23" t="s">
        <v>187</v>
      </c>
      <c r="C62" s="86" t="s">
        <v>827</v>
      </c>
      <c r="D62" s="86" t="s">
        <v>230</v>
      </c>
      <c r="E62" s="86" t="s">
        <v>836</v>
      </c>
      <c r="F62" s="36" t="s">
        <v>837</v>
      </c>
      <c r="G62" s="17"/>
      <c r="H62" s="27"/>
      <c r="I62" s="27"/>
      <c r="J62" s="36"/>
      <c r="K62" s="27"/>
      <c r="L62" s="17"/>
    </row>
    <row r="63" spans="1:12" ht="12.75">
      <c r="A63" s="34"/>
      <c r="B63" s="23" t="s">
        <v>77</v>
      </c>
      <c r="C63" s="86" t="s">
        <v>838</v>
      </c>
      <c r="D63" s="86" t="s">
        <v>212</v>
      </c>
      <c r="E63" s="86" t="s">
        <v>839</v>
      </c>
      <c r="F63" s="36" t="s">
        <v>840</v>
      </c>
      <c r="G63" s="17"/>
      <c r="H63" s="27"/>
      <c r="I63" s="27"/>
      <c r="J63" s="36"/>
      <c r="K63" s="27"/>
      <c r="L63" s="17"/>
    </row>
    <row r="64" spans="1:12" ht="12.75">
      <c r="A64" s="34"/>
      <c r="B64" s="17"/>
      <c r="C64" s="17"/>
      <c r="D64" s="17"/>
      <c r="E64" s="17"/>
      <c r="F64" s="17"/>
      <c r="G64" s="17"/>
      <c r="H64" s="27"/>
      <c r="I64" s="27"/>
      <c r="J64" s="36"/>
      <c r="K64" s="27"/>
      <c r="L64" s="17"/>
    </row>
    <row r="65" spans="1:12" ht="12.75">
      <c r="A65" s="34"/>
      <c r="B65" s="17"/>
      <c r="C65" s="17"/>
      <c r="D65" s="17"/>
      <c r="E65" s="17"/>
      <c r="F65" s="17"/>
      <c r="G65" s="17"/>
      <c r="H65" s="27"/>
      <c r="I65" s="27"/>
      <c r="J65" s="36"/>
      <c r="K65" s="27"/>
      <c r="L65" s="17"/>
    </row>
    <row r="66" spans="1:12" ht="12.75">
      <c r="A66" s="34"/>
      <c r="B66" s="17"/>
      <c r="C66" s="17"/>
      <c r="D66" s="17"/>
      <c r="E66" s="17"/>
      <c r="F66" s="17"/>
      <c r="G66" s="17"/>
      <c r="H66" s="27"/>
      <c r="I66" s="27"/>
      <c r="J66" s="36"/>
      <c r="K66" s="27"/>
      <c r="L66" s="17"/>
    </row>
    <row r="67" spans="1:12" ht="12.75">
      <c r="A67" s="34"/>
      <c r="B67" s="17"/>
      <c r="C67" s="17"/>
      <c r="D67" s="17"/>
      <c r="E67" s="17"/>
      <c r="F67" s="17"/>
      <c r="G67" s="17"/>
      <c r="H67" s="27"/>
      <c r="I67" s="27"/>
      <c r="J67" s="36"/>
      <c r="K67" s="27"/>
      <c r="L67" s="17"/>
    </row>
    <row r="68" spans="1:12" ht="12.75">
      <c r="A68" s="34"/>
      <c r="B68" s="17"/>
      <c r="C68" s="17"/>
      <c r="D68" s="17"/>
      <c r="E68" s="17"/>
      <c r="F68" s="17"/>
      <c r="G68" s="17"/>
      <c r="H68" s="27"/>
      <c r="I68" s="27"/>
      <c r="J68" s="36"/>
      <c r="K68" s="27"/>
      <c r="L68" s="17"/>
    </row>
    <row r="69" spans="1:12" ht="12.75">
      <c r="A69" s="34"/>
      <c r="B69" s="17"/>
      <c r="C69" s="17"/>
      <c r="D69" s="17"/>
      <c r="E69" s="17"/>
      <c r="F69" s="17"/>
      <c r="G69" s="17"/>
      <c r="H69" s="27"/>
      <c r="I69" s="27"/>
      <c r="J69" s="36"/>
      <c r="K69" s="27"/>
      <c r="L69" s="17"/>
    </row>
    <row r="70" spans="1:12" ht="12.75">
      <c r="A70" s="34"/>
      <c r="B70" s="17"/>
      <c r="C70" s="17"/>
      <c r="D70" s="17"/>
      <c r="E70" s="17"/>
      <c r="F70" s="17"/>
      <c r="G70" s="17"/>
      <c r="H70" s="27"/>
      <c r="I70" s="27"/>
      <c r="J70" s="36"/>
      <c r="K70" s="27"/>
      <c r="L70" s="17"/>
    </row>
  </sheetData>
  <sheetProtection/>
  <mergeCells count="28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B5:K5"/>
    <mergeCell ref="B8:L9"/>
    <mergeCell ref="B10:B11"/>
    <mergeCell ref="C10:C11"/>
    <mergeCell ref="D10:D11"/>
    <mergeCell ref="E10:E11"/>
    <mergeCell ref="F10:F11"/>
    <mergeCell ref="G10:G11"/>
    <mergeCell ref="H10:I10"/>
    <mergeCell ref="B27:K27"/>
    <mergeCell ref="B36:K36"/>
    <mergeCell ref="J10:J11"/>
    <mergeCell ref="K10:K11"/>
    <mergeCell ref="L10:L11"/>
    <mergeCell ref="B12:K12"/>
    <mergeCell ref="B15:K15"/>
    <mergeCell ref="B21:K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6" sqref="G6"/>
    </sheetView>
  </sheetViews>
  <sheetFormatPr defaultColWidth="8.75390625" defaultRowHeight="12.75"/>
  <cols>
    <col min="1" max="1" width="3.125" style="34" customWidth="1"/>
    <col min="2" max="2" width="31.875" style="17" bestFit="1" customWidth="1"/>
    <col min="3" max="3" width="26.625" style="17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28.25390625" style="17" customWidth="1"/>
    <col min="8" max="10" width="5.625" style="27" bestFit="1" customWidth="1"/>
    <col min="11" max="11" width="4.625" style="27" bestFit="1" customWidth="1"/>
    <col min="12" max="12" width="11.25390625" style="36" customWidth="1"/>
    <col min="13" max="13" width="8.625" style="17" bestFit="1" customWidth="1"/>
    <col min="14" max="14" width="16.25390625" style="17" customWidth="1"/>
  </cols>
  <sheetData>
    <row r="1" spans="1:14" s="1" customFormat="1" ht="15" customHeight="1">
      <c r="A1" s="33"/>
      <c r="B1" s="147" t="s">
        <v>695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4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2</v>
      </c>
      <c r="I3" s="142"/>
      <c r="J3" s="142"/>
      <c r="K3" s="142"/>
      <c r="L3" s="142" t="s">
        <v>661</v>
      </c>
      <c r="M3" s="142" t="s">
        <v>6</v>
      </c>
      <c r="N3" s="144" t="s">
        <v>5</v>
      </c>
    </row>
    <row r="4" spans="2:14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143"/>
      <c r="M4" s="143"/>
      <c r="N4" s="145"/>
    </row>
    <row r="5" spans="2:13" ht="15.75">
      <c r="B5" s="156" t="s">
        <v>140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34">
        <v>1</v>
      </c>
      <c r="B6" s="18" t="s">
        <v>540</v>
      </c>
      <c r="C6" s="18" t="s">
        <v>541</v>
      </c>
      <c r="D6" s="18" t="s">
        <v>542</v>
      </c>
      <c r="E6" s="18" t="str">
        <f>"0,5912"</f>
        <v>0,5912</v>
      </c>
      <c r="F6" s="18" t="s">
        <v>16</v>
      </c>
      <c r="G6" s="18" t="s">
        <v>666</v>
      </c>
      <c r="H6" s="37" t="s">
        <v>169</v>
      </c>
      <c r="I6" s="37" t="s">
        <v>446</v>
      </c>
      <c r="J6" s="38" t="s">
        <v>543</v>
      </c>
      <c r="K6" s="43"/>
      <c r="L6" s="84">
        <v>260</v>
      </c>
      <c r="M6" s="18" t="str">
        <f>"153,7120"</f>
        <v>153,7120</v>
      </c>
      <c r="N6" s="18" t="s">
        <v>670</v>
      </c>
    </row>
  </sheetData>
  <sheetProtection/>
  <mergeCells count="1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F15" sqref="F15"/>
    </sheetView>
  </sheetViews>
  <sheetFormatPr defaultColWidth="8.75390625" defaultRowHeight="12.75"/>
  <cols>
    <col min="1" max="1" width="4.375" style="34" customWidth="1"/>
    <col min="2" max="2" width="23.375" style="17" customWidth="1"/>
    <col min="3" max="3" width="26.75390625" style="17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30.625" style="17" bestFit="1" customWidth="1"/>
    <col min="8" max="11" width="5.625" style="27" bestFit="1" customWidth="1"/>
    <col min="12" max="12" width="12.375" style="36" customWidth="1"/>
    <col min="13" max="13" width="8.625" style="17" bestFit="1" customWidth="1"/>
    <col min="14" max="14" width="15.375" style="17" bestFit="1" customWidth="1"/>
  </cols>
  <sheetData>
    <row r="1" spans="1:14" s="1" customFormat="1" ht="15" customHeight="1">
      <c r="A1" s="33"/>
      <c r="B1" s="147" t="s">
        <v>657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4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2</v>
      </c>
      <c r="I3" s="142"/>
      <c r="J3" s="142"/>
      <c r="K3" s="142"/>
      <c r="L3" s="142" t="s">
        <v>661</v>
      </c>
      <c r="M3" s="142" t="s">
        <v>6</v>
      </c>
      <c r="N3" s="144" t="s">
        <v>5</v>
      </c>
    </row>
    <row r="4" spans="2:14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143"/>
      <c r="M4" s="143"/>
      <c r="N4" s="145"/>
    </row>
    <row r="5" spans="2:13" ht="15.75">
      <c r="B5" s="156" t="s">
        <v>46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34">
        <v>1</v>
      </c>
      <c r="B6" s="28" t="s">
        <v>506</v>
      </c>
      <c r="C6" s="28" t="s">
        <v>507</v>
      </c>
      <c r="D6" s="28" t="s">
        <v>298</v>
      </c>
      <c r="E6" s="28" t="str">
        <f>"0,6916"</f>
        <v>0,6916</v>
      </c>
      <c r="F6" s="28" t="s">
        <v>16</v>
      </c>
      <c r="G6" s="28" t="s">
        <v>508</v>
      </c>
      <c r="H6" s="40" t="s">
        <v>102</v>
      </c>
      <c r="I6" s="39" t="s">
        <v>110</v>
      </c>
      <c r="J6" s="40" t="s">
        <v>110</v>
      </c>
      <c r="K6" s="39" t="s">
        <v>96</v>
      </c>
      <c r="L6" s="87">
        <v>220</v>
      </c>
      <c r="M6" s="28" t="str">
        <f>"152,1520"</f>
        <v>152,1520</v>
      </c>
      <c r="N6" s="28" t="s">
        <v>81</v>
      </c>
    </row>
    <row r="7" spans="1:14" ht="12.75">
      <c r="A7" s="34">
        <v>2</v>
      </c>
      <c r="B7" s="18" t="s">
        <v>433</v>
      </c>
      <c r="C7" s="18" t="s">
        <v>434</v>
      </c>
      <c r="D7" s="18" t="s">
        <v>435</v>
      </c>
      <c r="E7" s="18" t="str">
        <f>"0,6910"</f>
        <v>0,6910</v>
      </c>
      <c r="F7" s="18" t="s">
        <v>16</v>
      </c>
      <c r="G7" s="18" t="s">
        <v>436</v>
      </c>
      <c r="H7" s="37" t="s">
        <v>19</v>
      </c>
      <c r="I7" s="38" t="s">
        <v>102</v>
      </c>
      <c r="J7" s="38" t="s">
        <v>110</v>
      </c>
      <c r="K7" s="43"/>
      <c r="L7" s="84">
        <v>130</v>
      </c>
      <c r="M7" s="18" t="str">
        <f>"89,8300"</f>
        <v>89,8300</v>
      </c>
      <c r="N7" s="18" t="s">
        <v>81</v>
      </c>
    </row>
    <row r="9" spans="2:13" ht="15.75">
      <c r="B9" s="146" t="s">
        <v>186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4" ht="12.75">
      <c r="A10" s="34">
        <v>1</v>
      </c>
      <c r="B10" s="18" t="s">
        <v>509</v>
      </c>
      <c r="C10" s="18" t="s">
        <v>510</v>
      </c>
      <c r="D10" s="18" t="s">
        <v>511</v>
      </c>
      <c r="E10" s="18" t="str">
        <f>"0,5675"</f>
        <v>0,5675</v>
      </c>
      <c r="F10" s="18" t="s">
        <v>16</v>
      </c>
      <c r="G10" s="18" t="s">
        <v>666</v>
      </c>
      <c r="H10" s="37" t="s">
        <v>476</v>
      </c>
      <c r="I10" s="38" t="s">
        <v>512</v>
      </c>
      <c r="J10" s="38" t="s">
        <v>513</v>
      </c>
      <c r="K10" s="43"/>
      <c r="L10" s="84">
        <v>380</v>
      </c>
      <c r="M10" s="18" t="str">
        <f>"215,6500"</f>
        <v>215,6500</v>
      </c>
      <c r="N10" s="18" t="s">
        <v>670</v>
      </c>
    </row>
  </sheetData>
  <sheetProtection/>
  <mergeCells count="13">
    <mergeCell ref="L3:L4"/>
    <mergeCell ref="M3:M4"/>
    <mergeCell ref="N3:N4"/>
    <mergeCell ref="B5:M5"/>
    <mergeCell ref="B9:M9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3" sqref="G3:G4"/>
    </sheetView>
  </sheetViews>
  <sheetFormatPr defaultColWidth="8.75390625" defaultRowHeight="12.75"/>
  <cols>
    <col min="1" max="1" width="4.75390625" style="34" customWidth="1"/>
    <col min="2" max="2" width="23.375" style="17" customWidth="1"/>
    <col min="3" max="3" width="26.375" style="17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24.00390625" style="17" bestFit="1" customWidth="1"/>
    <col min="8" max="10" width="5.625" style="27" bestFit="1" customWidth="1"/>
    <col min="11" max="11" width="4.625" style="27" bestFit="1" customWidth="1"/>
    <col min="12" max="12" width="12.625" style="36" customWidth="1"/>
    <col min="13" max="13" width="8.625" style="17" bestFit="1" customWidth="1"/>
    <col min="14" max="14" width="16.25390625" style="17" customWidth="1"/>
  </cols>
  <sheetData>
    <row r="1" spans="1:14" s="1" customFormat="1" ht="15" customHeight="1">
      <c r="A1" s="33"/>
      <c r="B1" s="147" t="s">
        <v>688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4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2</v>
      </c>
      <c r="I3" s="142"/>
      <c r="J3" s="142"/>
      <c r="K3" s="142"/>
      <c r="L3" s="142" t="s">
        <v>661</v>
      </c>
      <c r="M3" s="142" t="s">
        <v>6</v>
      </c>
      <c r="N3" s="144" t="s">
        <v>5</v>
      </c>
    </row>
    <row r="4" spans="2:14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143"/>
      <c r="M4" s="143"/>
      <c r="N4" s="145"/>
    </row>
    <row r="5" spans="2:13" ht="15.75">
      <c r="B5" s="156" t="s">
        <v>140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34">
        <v>1</v>
      </c>
      <c r="B6" s="18" t="s">
        <v>493</v>
      </c>
      <c r="C6" s="18" t="s">
        <v>494</v>
      </c>
      <c r="D6" s="18" t="s">
        <v>495</v>
      </c>
      <c r="E6" s="18" t="str">
        <f>"0,5968"</f>
        <v>0,5968</v>
      </c>
      <c r="F6" s="18" t="s">
        <v>677</v>
      </c>
      <c r="G6" s="18" t="s">
        <v>355</v>
      </c>
      <c r="H6" s="37" t="s">
        <v>108</v>
      </c>
      <c r="I6" s="38" t="s">
        <v>93</v>
      </c>
      <c r="J6" s="38" t="s">
        <v>93</v>
      </c>
      <c r="K6" s="38"/>
      <c r="L6" s="84">
        <v>200</v>
      </c>
      <c r="M6" s="18" t="str">
        <f>"119,3600"</f>
        <v>119,3600</v>
      </c>
      <c r="N6" s="18" t="s">
        <v>670</v>
      </c>
    </row>
  </sheetData>
  <sheetProtection/>
  <mergeCells count="1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4">
      <selection activeCell="D21" sqref="D21:F21"/>
    </sheetView>
  </sheetViews>
  <sheetFormatPr defaultColWidth="8.75390625" defaultRowHeight="12.75"/>
  <cols>
    <col min="1" max="1" width="5.00390625" style="34" customWidth="1"/>
    <col min="2" max="2" width="23.625" style="17" customWidth="1"/>
    <col min="3" max="3" width="27.125" style="17" bestFit="1" customWidth="1"/>
    <col min="4" max="4" width="13.375" style="17" bestFit="1" customWidth="1"/>
    <col min="5" max="5" width="8.375" style="17" bestFit="1" customWidth="1"/>
    <col min="6" max="6" width="33.125" style="17" customWidth="1"/>
    <col min="7" max="7" width="34.00390625" style="17" bestFit="1" customWidth="1"/>
    <col min="8" max="11" width="5.625" style="27" bestFit="1" customWidth="1"/>
    <col min="12" max="12" width="12.125" style="36" customWidth="1"/>
    <col min="13" max="13" width="8.625" style="17" bestFit="1" customWidth="1"/>
    <col min="14" max="14" width="18.75390625" style="17" bestFit="1" customWidth="1"/>
  </cols>
  <sheetData>
    <row r="1" spans="1:14" s="1" customFormat="1" ht="15" customHeight="1">
      <c r="A1" s="33"/>
      <c r="B1" s="147" t="s">
        <v>680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4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2</v>
      </c>
      <c r="I3" s="142"/>
      <c r="J3" s="142"/>
      <c r="K3" s="142"/>
      <c r="L3" s="142" t="s">
        <v>661</v>
      </c>
      <c r="M3" s="142" t="s">
        <v>6</v>
      </c>
      <c r="N3" s="144" t="s">
        <v>5</v>
      </c>
    </row>
    <row r="4" spans="2:14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143"/>
      <c r="M4" s="143"/>
      <c r="N4" s="145"/>
    </row>
    <row r="5" spans="2:13" ht="15.75">
      <c r="B5" s="156" t="s">
        <v>348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34">
        <v>1</v>
      </c>
      <c r="B6" s="18" t="s">
        <v>349</v>
      </c>
      <c r="C6" s="18" t="s">
        <v>350</v>
      </c>
      <c r="D6" s="18" t="s">
        <v>351</v>
      </c>
      <c r="E6" s="18" t="str">
        <f>"1,1783"</f>
        <v>1,1783</v>
      </c>
      <c r="F6" s="18" t="s">
        <v>16</v>
      </c>
      <c r="G6" s="18" t="s">
        <v>352</v>
      </c>
      <c r="H6" s="37" t="s">
        <v>26</v>
      </c>
      <c r="I6" s="37" t="s">
        <v>290</v>
      </c>
      <c r="J6" s="37" t="s">
        <v>36</v>
      </c>
      <c r="K6" s="38" t="s">
        <v>275</v>
      </c>
      <c r="L6" s="84">
        <v>110</v>
      </c>
      <c r="M6" s="18" t="str">
        <f>"129,6130"</f>
        <v>129,6130</v>
      </c>
      <c r="N6" s="18" t="s">
        <v>670</v>
      </c>
    </row>
    <row r="8" spans="2:13" ht="15.75">
      <c r="B8" s="146" t="s">
        <v>263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4" ht="12.75">
      <c r="A9" s="34">
        <v>1</v>
      </c>
      <c r="B9" s="28" t="s">
        <v>353</v>
      </c>
      <c r="C9" s="28" t="s">
        <v>354</v>
      </c>
      <c r="D9" s="28" t="s">
        <v>266</v>
      </c>
      <c r="E9" s="28" t="str">
        <f>"1,1178"</f>
        <v>1,1178</v>
      </c>
      <c r="F9" s="28" t="s">
        <v>16</v>
      </c>
      <c r="G9" s="28" t="s">
        <v>355</v>
      </c>
      <c r="H9" s="39" t="s">
        <v>18</v>
      </c>
      <c r="I9" s="39" t="s">
        <v>18</v>
      </c>
      <c r="J9" s="40" t="s">
        <v>18</v>
      </c>
      <c r="K9" s="44"/>
      <c r="L9" s="87">
        <v>125</v>
      </c>
      <c r="M9" s="28" t="str">
        <f>"139,7250"</f>
        <v>139,7250</v>
      </c>
      <c r="N9" s="28" t="s">
        <v>356</v>
      </c>
    </row>
    <row r="10" spans="1:14" ht="12.75">
      <c r="A10" s="34">
        <v>2</v>
      </c>
      <c r="B10" s="18" t="s">
        <v>357</v>
      </c>
      <c r="C10" s="18" t="s">
        <v>358</v>
      </c>
      <c r="D10" s="18" t="s">
        <v>359</v>
      </c>
      <c r="E10" s="18" t="str">
        <f>"1,1207"</f>
        <v>1,1207</v>
      </c>
      <c r="F10" s="18" t="s">
        <v>675</v>
      </c>
      <c r="G10" s="18" t="s">
        <v>360</v>
      </c>
      <c r="H10" s="37" t="s">
        <v>361</v>
      </c>
      <c r="I10" s="37" t="s">
        <v>80</v>
      </c>
      <c r="J10" s="38" t="s">
        <v>26</v>
      </c>
      <c r="K10" s="43"/>
      <c r="L10" s="84">
        <v>90</v>
      </c>
      <c r="M10" s="18" t="str">
        <f>"100,8630"</f>
        <v>100,8630</v>
      </c>
      <c r="N10" s="18" t="s">
        <v>681</v>
      </c>
    </row>
    <row r="12" spans="2:13" ht="15.75">
      <c r="B12" s="146" t="s">
        <v>30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</row>
    <row r="13" spans="1:14" ht="12.75">
      <c r="A13" s="34">
        <v>1</v>
      </c>
      <c r="B13" s="18" t="s">
        <v>362</v>
      </c>
      <c r="C13" s="18" t="s">
        <v>363</v>
      </c>
      <c r="D13" s="18" t="s">
        <v>364</v>
      </c>
      <c r="E13" s="18" t="str">
        <f>"0,9506"</f>
        <v>0,9506</v>
      </c>
      <c r="F13" s="18" t="s">
        <v>16</v>
      </c>
      <c r="G13" s="18" t="s">
        <v>365</v>
      </c>
      <c r="H13" s="37" t="s">
        <v>131</v>
      </c>
      <c r="I13" s="38" t="s">
        <v>366</v>
      </c>
      <c r="J13" s="38" t="s">
        <v>366</v>
      </c>
      <c r="K13" s="43"/>
      <c r="L13" s="84">
        <v>150</v>
      </c>
      <c r="M13" s="18" t="str">
        <f>"142,5900"</f>
        <v>142,5900</v>
      </c>
      <c r="N13" s="18" t="s">
        <v>81</v>
      </c>
    </row>
    <row r="15" spans="2:13" ht="15.75">
      <c r="B15" s="146" t="s">
        <v>46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</row>
    <row r="16" spans="1:14" ht="12.75">
      <c r="A16" s="34">
        <v>1</v>
      </c>
      <c r="B16" s="28" t="s">
        <v>367</v>
      </c>
      <c r="C16" s="28" t="s">
        <v>368</v>
      </c>
      <c r="D16" s="28" t="s">
        <v>369</v>
      </c>
      <c r="E16" s="28" t="str">
        <f>"0,6860"</f>
        <v>0,6860</v>
      </c>
      <c r="F16" s="28" t="s">
        <v>16</v>
      </c>
      <c r="G16" s="28" t="s">
        <v>365</v>
      </c>
      <c r="H16" s="40" t="s">
        <v>108</v>
      </c>
      <c r="I16" s="40" t="s">
        <v>109</v>
      </c>
      <c r="J16" s="39" t="s">
        <v>110</v>
      </c>
      <c r="K16" s="44"/>
      <c r="L16" s="87">
        <v>210</v>
      </c>
      <c r="M16" s="28" t="str">
        <f>"144,0600"</f>
        <v>144,0600</v>
      </c>
      <c r="N16" s="28" t="s">
        <v>670</v>
      </c>
    </row>
    <row r="17" spans="1:14" ht="12.75">
      <c r="A17" s="34">
        <v>2</v>
      </c>
      <c r="B17" s="18" t="s">
        <v>370</v>
      </c>
      <c r="C17" s="18" t="s">
        <v>371</v>
      </c>
      <c r="D17" s="18" t="s">
        <v>372</v>
      </c>
      <c r="E17" s="18" t="str">
        <f>"0,6699"</f>
        <v>0,6699</v>
      </c>
      <c r="F17" s="18" t="s">
        <v>373</v>
      </c>
      <c r="G17" s="18" t="s">
        <v>374</v>
      </c>
      <c r="H17" s="38" t="s">
        <v>68</v>
      </c>
      <c r="I17" s="37" t="s">
        <v>87</v>
      </c>
      <c r="J17" s="38" t="s">
        <v>108</v>
      </c>
      <c r="K17" s="43"/>
      <c r="L17" s="84">
        <v>190</v>
      </c>
      <c r="M17" s="18" t="str">
        <f>"127,2810"</f>
        <v>127,2810</v>
      </c>
      <c r="N17" s="18" t="s">
        <v>590</v>
      </c>
    </row>
    <row r="18" spans="1:14" ht="12.75">
      <c r="A18" s="34">
        <v>3</v>
      </c>
      <c r="B18" s="18" t="s">
        <v>375</v>
      </c>
      <c r="C18" s="18" t="s">
        <v>376</v>
      </c>
      <c r="D18" s="18" t="s">
        <v>377</v>
      </c>
      <c r="E18" s="18" t="str">
        <f>"0,9034"</f>
        <v>0,9034</v>
      </c>
      <c r="F18" s="18" t="s">
        <v>16</v>
      </c>
      <c r="G18" s="18" t="s">
        <v>682</v>
      </c>
      <c r="H18" s="38" t="s">
        <v>68</v>
      </c>
      <c r="I18" s="37" t="s">
        <v>68</v>
      </c>
      <c r="J18" s="38" t="s">
        <v>108</v>
      </c>
      <c r="K18" s="43"/>
      <c r="L18" s="84">
        <v>180</v>
      </c>
      <c r="M18" s="18" t="str">
        <f>"162,6120"</f>
        <v>162,6120</v>
      </c>
      <c r="N18" s="18" t="s">
        <v>670</v>
      </c>
    </row>
    <row r="20" spans="2:13" ht="15.75">
      <c r="B20" s="146" t="s">
        <v>60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</row>
    <row r="21" spans="1:14" ht="12.75">
      <c r="A21" s="34">
        <v>1</v>
      </c>
      <c r="B21" s="18" t="s">
        <v>378</v>
      </c>
      <c r="C21" s="18" t="s">
        <v>379</v>
      </c>
      <c r="D21" s="18" t="s">
        <v>380</v>
      </c>
      <c r="E21" s="18" t="str">
        <f>"0,6447"</f>
        <v>0,6447</v>
      </c>
      <c r="F21" s="18" t="s">
        <v>16</v>
      </c>
      <c r="G21" s="18" t="s">
        <v>247</v>
      </c>
      <c r="H21" s="37" t="s">
        <v>381</v>
      </c>
      <c r="I21" s="37" t="s">
        <v>167</v>
      </c>
      <c r="J21" s="38" t="s">
        <v>382</v>
      </c>
      <c r="K21" s="43"/>
      <c r="L21" s="84">
        <v>235</v>
      </c>
      <c r="M21" s="18" t="str">
        <f>"151,5045"</f>
        <v>151,5045</v>
      </c>
      <c r="N21" s="18" t="s">
        <v>81</v>
      </c>
    </row>
    <row r="23" spans="2:13" ht="15.75">
      <c r="B23" s="146" t="s">
        <v>82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</row>
    <row r="24" spans="1:14" ht="12.75">
      <c r="A24" s="34">
        <v>1</v>
      </c>
      <c r="B24" s="18" t="s">
        <v>383</v>
      </c>
      <c r="C24" s="18" t="s">
        <v>384</v>
      </c>
      <c r="D24" s="18" t="s">
        <v>385</v>
      </c>
      <c r="E24" s="18" t="str">
        <f>"0,6229"</f>
        <v>0,6229</v>
      </c>
      <c r="F24" s="18" t="s">
        <v>16</v>
      </c>
      <c r="G24" s="18" t="s">
        <v>65</v>
      </c>
      <c r="H24" s="38" t="s">
        <v>102</v>
      </c>
      <c r="I24" s="37" t="s">
        <v>102</v>
      </c>
      <c r="J24" s="38" t="s">
        <v>110</v>
      </c>
      <c r="K24" s="43"/>
      <c r="L24" s="84">
        <v>205</v>
      </c>
      <c r="M24" s="18" t="str">
        <f>"127,6945"</f>
        <v>127,6945</v>
      </c>
      <c r="N24" s="18" t="s">
        <v>81</v>
      </c>
    </row>
    <row r="26" spans="2:13" ht="15.75">
      <c r="B26" s="146" t="s">
        <v>140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4" ht="12.75">
      <c r="A27" s="34">
        <v>1</v>
      </c>
      <c r="B27" s="28" t="s">
        <v>386</v>
      </c>
      <c r="C27" s="28" t="s">
        <v>387</v>
      </c>
      <c r="D27" s="28" t="s">
        <v>388</v>
      </c>
      <c r="E27" s="28" t="str">
        <f>"0,6026"</f>
        <v>0,6026</v>
      </c>
      <c r="F27" s="28" t="s">
        <v>373</v>
      </c>
      <c r="G27" s="28" t="s">
        <v>374</v>
      </c>
      <c r="H27" s="40" t="s">
        <v>126</v>
      </c>
      <c r="I27" s="40" t="s">
        <v>42</v>
      </c>
      <c r="J27" s="39" t="s">
        <v>337</v>
      </c>
      <c r="K27" s="44"/>
      <c r="L27" s="87">
        <v>195</v>
      </c>
      <c r="M27" s="28" t="str">
        <f>"117,5070"</f>
        <v>117,5070</v>
      </c>
      <c r="N27" s="28" t="s">
        <v>389</v>
      </c>
    </row>
    <row r="28" spans="1:14" ht="12.75">
      <c r="A28" s="34">
        <v>1</v>
      </c>
      <c r="B28" s="18" t="s">
        <v>390</v>
      </c>
      <c r="C28" s="18" t="s">
        <v>391</v>
      </c>
      <c r="D28" s="18" t="s">
        <v>392</v>
      </c>
      <c r="E28" s="18" t="str">
        <f>"0,5923"</f>
        <v>0,5923</v>
      </c>
      <c r="F28" s="18" t="s">
        <v>16</v>
      </c>
      <c r="G28" s="18" t="s">
        <v>393</v>
      </c>
      <c r="H28" s="37" t="s">
        <v>242</v>
      </c>
      <c r="I28" s="37" t="s">
        <v>394</v>
      </c>
      <c r="J28" s="38" t="s">
        <v>395</v>
      </c>
      <c r="K28" s="43"/>
      <c r="L28" s="84">
        <v>290</v>
      </c>
      <c r="M28" s="18" t="str">
        <f>"171,7670"</f>
        <v>171,7670</v>
      </c>
      <c r="N28" s="18" t="s">
        <v>81</v>
      </c>
    </row>
    <row r="30" spans="2:13" ht="15.75">
      <c r="B30" s="146" t="s">
        <v>163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</row>
    <row r="31" spans="1:14" ht="12.75">
      <c r="A31" s="34">
        <v>1</v>
      </c>
      <c r="B31" s="18" t="s">
        <v>396</v>
      </c>
      <c r="C31" s="18" t="s">
        <v>397</v>
      </c>
      <c r="D31" s="18" t="s">
        <v>398</v>
      </c>
      <c r="E31" s="18" t="str">
        <f>"0,5719"</f>
        <v>0,5719</v>
      </c>
      <c r="F31" s="18" t="s">
        <v>16</v>
      </c>
      <c r="G31" s="18" t="s">
        <v>399</v>
      </c>
      <c r="H31" s="38" t="s">
        <v>400</v>
      </c>
      <c r="I31" s="38" t="s">
        <v>401</v>
      </c>
      <c r="J31" s="37" t="s">
        <v>401</v>
      </c>
      <c r="K31" s="43"/>
      <c r="L31" s="84">
        <v>292.5</v>
      </c>
      <c r="M31" s="18" t="str">
        <f>"168,1172"</f>
        <v>168,1172</v>
      </c>
      <c r="N31" s="18" t="s">
        <v>81</v>
      </c>
    </row>
    <row r="33" spans="2:13" ht="15.75">
      <c r="B33" s="146" t="s">
        <v>186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</row>
    <row r="34" spans="1:14" ht="12.75">
      <c r="A34" s="34">
        <v>1</v>
      </c>
      <c r="B34" s="18" t="s">
        <v>402</v>
      </c>
      <c r="C34" s="18" t="s">
        <v>403</v>
      </c>
      <c r="D34" s="18" t="s">
        <v>404</v>
      </c>
      <c r="E34" s="18" t="str">
        <f>"0,5596"</f>
        <v>0,5596</v>
      </c>
      <c r="F34" s="18" t="s">
        <v>24</v>
      </c>
      <c r="G34" s="18" t="s">
        <v>405</v>
      </c>
      <c r="H34" s="38" t="s">
        <v>406</v>
      </c>
      <c r="I34" s="37" t="s">
        <v>406</v>
      </c>
      <c r="J34" s="37" t="s">
        <v>407</v>
      </c>
      <c r="K34" s="43"/>
      <c r="L34" s="84">
        <v>305</v>
      </c>
      <c r="M34" s="18" t="str">
        <f>"170,6780"</f>
        <v>170,6780</v>
      </c>
      <c r="N34" s="18" t="s">
        <v>81</v>
      </c>
    </row>
    <row r="36" spans="2:13" ht="15.75">
      <c r="B36" s="146" t="s">
        <v>408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</row>
    <row r="37" spans="2:14" ht="12.75">
      <c r="B37" s="18" t="s">
        <v>409</v>
      </c>
      <c r="C37" s="18" t="s">
        <v>410</v>
      </c>
      <c r="D37" s="18" t="s">
        <v>411</v>
      </c>
      <c r="E37" s="18" t="str">
        <f>"0,5576"</f>
        <v>0,5576</v>
      </c>
      <c r="F37" s="18" t="s">
        <v>16</v>
      </c>
      <c r="G37" s="18" t="s">
        <v>683</v>
      </c>
      <c r="H37" s="38" t="s">
        <v>394</v>
      </c>
      <c r="I37" s="38" t="s">
        <v>394</v>
      </c>
      <c r="J37" s="38" t="s">
        <v>412</v>
      </c>
      <c r="K37" s="43"/>
      <c r="L37" s="84">
        <v>0</v>
      </c>
      <c r="M37" s="18" t="str">
        <f>"0,0000"</f>
        <v>0,0000</v>
      </c>
      <c r="N37" s="18" t="s">
        <v>413</v>
      </c>
    </row>
    <row r="40" spans="2:3" ht="18">
      <c r="B40" s="21" t="s">
        <v>192</v>
      </c>
      <c r="C40" s="21"/>
    </row>
    <row r="41" spans="2:3" ht="13.5">
      <c r="B41" s="24" t="s">
        <v>193</v>
      </c>
      <c r="C41" s="25"/>
    </row>
    <row r="42" spans="2:6" ht="13.5">
      <c r="B42" s="26" t="s">
        <v>194</v>
      </c>
      <c r="C42" s="26" t="s">
        <v>195</v>
      </c>
      <c r="D42" s="26" t="s">
        <v>196</v>
      </c>
      <c r="E42" s="26" t="s">
        <v>197</v>
      </c>
      <c r="F42" s="26" t="s">
        <v>198</v>
      </c>
    </row>
    <row r="43" spans="1:6" ht="12.75">
      <c r="A43" s="34">
        <v>1</v>
      </c>
      <c r="B43" s="23" t="s">
        <v>390</v>
      </c>
      <c r="C43" s="86" t="s">
        <v>193</v>
      </c>
      <c r="D43" s="86" t="s">
        <v>202</v>
      </c>
      <c r="E43" s="86" t="s">
        <v>394</v>
      </c>
      <c r="F43" s="36" t="s">
        <v>414</v>
      </c>
    </row>
    <row r="44" spans="1:6" ht="12.75">
      <c r="A44" s="34">
        <v>2</v>
      </c>
      <c r="B44" s="23" t="s">
        <v>402</v>
      </c>
      <c r="C44" s="86" t="s">
        <v>193</v>
      </c>
      <c r="D44" s="86" t="s">
        <v>230</v>
      </c>
      <c r="E44" s="86" t="s">
        <v>407</v>
      </c>
      <c r="F44" s="36" t="s">
        <v>415</v>
      </c>
    </row>
    <row r="45" spans="1:6" ht="12.75">
      <c r="A45" s="34">
        <v>3</v>
      </c>
      <c r="B45" s="23" t="s">
        <v>375</v>
      </c>
      <c r="C45" s="86" t="s">
        <v>193</v>
      </c>
      <c r="D45" s="86" t="s">
        <v>218</v>
      </c>
      <c r="E45" s="86" t="s">
        <v>68</v>
      </c>
      <c r="F45" s="36" t="s">
        <v>416</v>
      </c>
    </row>
    <row r="46" spans="2:6" ht="12.75">
      <c r="B46" s="23" t="s">
        <v>378</v>
      </c>
      <c r="C46" s="86" t="s">
        <v>193</v>
      </c>
      <c r="D46" s="86" t="s">
        <v>212</v>
      </c>
      <c r="E46" s="86" t="s">
        <v>167</v>
      </c>
      <c r="F46" s="36" t="s">
        <v>417</v>
      </c>
    </row>
    <row r="47" spans="2:6" ht="12.75">
      <c r="B47" s="23" t="s">
        <v>367</v>
      </c>
      <c r="C47" s="86" t="s">
        <v>193</v>
      </c>
      <c r="D47" s="86" t="s">
        <v>218</v>
      </c>
      <c r="E47" s="86" t="s">
        <v>109</v>
      </c>
      <c r="F47" s="36" t="s">
        <v>418</v>
      </c>
    </row>
    <row r="48" spans="2:6" ht="12.75">
      <c r="B48" s="23" t="s">
        <v>383</v>
      </c>
      <c r="C48" s="86" t="s">
        <v>193</v>
      </c>
      <c r="D48" s="86" t="s">
        <v>203</v>
      </c>
      <c r="E48" s="86" t="s">
        <v>102</v>
      </c>
      <c r="F48" s="36" t="s">
        <v>419</v>
      </c>
    </row>
    <row r="49" spans="2:6" ht="12.75">
      <c r="B49" s="23" t="s">
        <v>370</v>
      </c>
      <c r="C49" s="86" t="s">
        <v>193</v>
      </c>
      <c r="D49" s="86" t="s">
        <v>218</v>
      </c>
      <c r="E49" s="86" t="s">
        <v>87</v>
      </c>
      <c r="F49" s="36" t="s">
        <v>420</v>
      </c>
    </row>
  </sheetData>
  <sheetProtection/>
  <mergeCells count="21">
    <mergeCell ref="B1:N2"/>
    <mergeCell ref="B3:B4"/>
    <mergeCell ref="C3:C4"/>
    <mergeCell ref="D3:D4"/>
    <mergeCell ref="E3:E4"/>
    <mergeCell ref="B5:M5"/>
    <mergeCell ref="B8:M8"/>
    <mergeCell ref="B12:M12"/>
    <mergeCell ref="M3:M4"/>
    <mergeCell ref="N3:N4"/>
    <mergeCell ref="L3:L4"/>
    <mergeCell ref="F3:F4"/>
    <mergeCell ref="G3:G4"/>
    <mergeCell ref="H3:K3"/>
    <mergeCell ref="B36:M36"/>
    <mergeCell ref="B15:M15"/>
    <mergeCell ref="B20:M20"/>
    <mergeCell ref="B23:M23"/>
    <mergeCell ref="B26:M26"/>
    <mergeCell ref="B30:M30"/>
    <mergeCell ref="B33:M33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9">
      <selection activeCell="B15" sqref="B15:G15"/>
    </sheetView>
  </sheetViews>
  <sheetFormatPr defaultColWidth="8.75390625" defaultRowHeight="12.75"/>
  <cols>
    <col min="1" max="1" width="5.00390625" style="34" customWidth="1"/>
    <col min="2" max="2" width="24.875" style="17" customWidth="1"/>
    <col min="3" max="3" width="27.125" style="17" bestFit="1" customWidth="1"/>
    <col min="4" max="4" width="13.375" style="17" bestFit="1" customWidth="1"/>
    <col min="5" max="5" width="8.375" style="17" bestFit="1" customWidth="1"/>
    <col min="6" max="6" width="33.125" style="17" customWidth="1"/>
    <col min="7" max="7" width="39.00390625" style="17" bestFit="1" customWidth="1"/>
    <col min="8" max="10" width="5.625" style="27" bestFit="1" customWidth="1"/>
    <col min="11" max="11" width="4.625" style="27" bestFit="1" customWidth="1"/>
    <col min="12" max="12" width="12.00390625" style="36" customWidth="1"/>
    <col min="13" max="13" width="8.625" style="17" bestFit="1" customWidth="1"/>
    <col min="14" max="14" width="24.125" style="17" customWidth="1"/>
  </cols>
  <sheetData>
    <row r="1" spans="1:14" s="1" customFormat="1" ht="15" customHeight="1">
      <c r="A1" s="33"/>
      <c r="B1" s="147" t="s">
        <v>674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4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2</v>
      </c>
      <c r="I3" s="142"/>
      <c r="J3" s="142"/>
      <c r="K3" s="142"/>
      <c r="L3" s="142" t="s">
        <v>661</v>
      </c>
      <c r="M3" s="142" t="s">
        <v>6</v>
      </c>
      <c r="N3" s="144" t="s">
        <v>5</v>
      </c>
    </row>
    <row r="4" spans="2:14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143"/>
      <c r="M4" s="143"/>
      <c r="N4" s="145"/>
    </row>
    <row r="5" spans="2:13" ht="15.75">
      <c r="B5" s="156" t="s">
        <v>12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34">
        <v>1</v>
      </c>
      <c r="B6" s="18" t="s">
        <v>250</v>
      </c>
      <c r="C6" s="18" t="s">
        <v>251</v>
      </c>
      <c r="D6" s="18" t="s">
        <v>252</v>
      </c>
      <c r="E6" s="18" t="str">
        <f>"1,0385"</f>
        <v>1,0385</v>
      </c>
      <c r="F6" s="18" t="s">
        <v>16</v>
      </c>
      <c r="G6" s="18" t="s">
        <v>253</v>
      </c>
      <c r="H6" s="37" t="s">
        <v>254</v>
      </c>
      <c r="I6" s="38" t="s">
        <v>255</v>
      </c>
      <c r="J6" s="37" t="s">
        <v>256</v>
      </c>
      <c r="K6" s="43"/>
      <c r="L6" s="84">
        <v>75</v>
      </c>
      <c r="M6" s="18" t="str">
        <f>"77,8875"</f>
        <v>77,8875</v>
      </c>
      <c r="N6" s="18" t="s">
        <v>670</v>
      </c>
    </row>
    <row r="8" spans="2:13" ht="15.75">
      <c r="B8" s="146" t="s">
        <v>257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4" ht="12.75">
      <c r="A9" s="34">
        <v>1</v>
      </c>
      <c r="B9" s="18" t="s">
        <v>258</v>
      </c>
      <c r="C9" s="18" t="s">
        <v>259</v>
      </c>
      <c r="D9" s="18" t="s">
        <v>260</v>
      </c>
      <c r="E9" s="18" t="str">
        <f>"1,3490"</f>
        <v>1,3490</v>
      </c>
      <c r="F9" s="18" t="s">
        <v>16</v>
      </c>
      <c r="G9" s="18" t="s">
        <v>261</v>
      </c>
      <c r="H9" s="38" t="s">
        <v>262</v>
      </c>
      <c r="I9" s="38" t="s">
        <v>262</v>
      </c>
      <c r="J9" s="37" t="s">
        <v>262</v>
      </c>
      <c r="K9" s="43"/>
      <c r="L9" s="84">
        <v>32.5</v>
      </c>
      <c r="M9" s="18" t="str">
        <f>"43,8425"</f>
        <v>43,8425</v>
      </c>
      <c r="N9" s="18" t="s">
        <v>670</v>
      </c>
    </row>
    <row r="11" spans="2:13" ht="15.75">
      <c r="B11" s="146" t="s">
        <v>263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4" ht="12.75">
      <c r="A12" s="34">
        <v>1</v>
      </c>
      <c r="B12" s="18" t="s">
        <v>264</v>
      </c>
      <c r="C12" s="18" t="s">
        <v>265</v>
      </c>
      <c r="D12" s="18" t="s">
        <v>266</v>
      </c>
      <c r="E12" s="18" t="str">
        <f>"0,8555"</f>
        <v>0,8555</v>
      </c>
      <c r="F12" s="18" t="s">
        <v>267</v>
      </c>
      <c r="G12" s="18" t="s">
        <v>268</v>
      </c>
      <c r="H12" s="37" t="s">
        <v>269</v>
      </c>
      <c r="I12" s="37" t="s">
        <v>270</v>
      </c>
      <c r="J12" s="37" t="s">
        <v>254</v>
      </c>
      <c r="K12" s="43"/>
      <c r="L12" s="84">
        <v>65</v>
      </c>
      <c r="M12" s="18" t="str">
        <f>"55,6075"</f>
        <v>55,6075</v>
      </c>
      <c r="N12" s="18" t="s">
        <v>271</v>
      </c>
    </row>
    <row r="14" spans="2:13" ht="15.75">
      <c r="B14" s="146" t="s">
        <v>30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5" spans="2:14" ht="12.75">
      <c r="B15" s="28" t="s">
        <v>272</v>
      </c>
      <c r="C15" s="28" t="s">
        <v>273</v>
      </c>
      <c r="D15" s="28" t="s">
        <v>274</v>
      </c>
      <c r="E15" s="28" t="str">
        <f>"0,7535"</f>
        <v>0,7535</v>
      </c>
      <c r="F15" s="28" t="s">
        <v>16</v>
      </c>
      <c r="G15" s="28" t="s">
        <v>65</v>
      </c>
      <c r="H15" s="39" t="s">
        <v>275</v>
      </c>
      <c r="I15" s="44"/>
      <c r="J15" s="44"/>
      <c r="K15" s="44"/>
      <c r="L15" s="87">
        <v>0</v>
      </c>
      <c r="M15" s="28" t="str">
        <f>"0,0000"</f>
        <v>0,0000</v>
      </c>
      <c r="N15" s="28" t="s">
        <v>81</v>
      </c>
    </row>
    <row r="16" spans="1:14" ht="12.75">
      <c r="A16" s="34">
        <v>1</v>
      </c>
      <c r="B16" s="18" t="s">
        <v>276</v>
      </c>
      <c r="C16" s="18" t="s">
        <v>277</v>
      </c>
      <c r="D16" s="18" t="s">
        <v>41</v>
      </c>
      <c r="E16" s="18" t="str">
        <f>"0,7193"</f>
        <v>0,7193</v>
      </c>
      <c r="F16" s="18" t="s">
        <v>16</v>
      </c>
      <c r="G16" s="18" t="s">
        <v>278</v>
      </c>
      <c r="H16" s="37" t="s">
        <v>131</v>
      </c>
      <c r="I16" s="37" t="s">
        <v>279</v>
      </c>
      <c r="J16" s="37" t="s">
        <v>132</v>
      </c>
      <c r="K16" s="43"/>
      <c r="L16" s="84">
        <v>160</v>
      </c>
      <c r="M16" s="18" t="str">
        <f>"115,0880"</f>
        <v>115,0880</v>
      </c>
      <c r="N16" s="18" t="s">
        <v>81</v>
      </c>
    </row>
    <row r="17" spans="1:14" ht="12.75">
      <c r="A17" s="34">
        <v>2</v>
      </c>
      <c r="B17" s="31" t="s">
        <v>280</v>
      </c>
      <c r="C17" s="31" t="s">
        <v>281</v>
      </c>
      <c r="D17" s="31" t="s">
        <v>282</v>
      </c>
      <c r="E17" s="31" t="str">
        <f>"0,7249"</f>
        <v>0,7249</v>
      </c>
      <c r="F17" s="31" t="s">
        <v>16</v>
      </c>
      <c r="G17" s="31" t="s">
        <v>283</v>
      </c>
      <c r="H17" s="42" t="s">
        <v>36</v>
      </c>
      <c r="I17" s="42" t="s">
        <v>284</v>
      </c>
      <c r="J17" s="41" t="s">
        <v>285</v>
      </c>
      <c r="K17" s="45"/>
      <c r="L17" s="88">
        <v>117.5</v>
      </c>
      <c r="M17" s="31" t="str">
        <f>"85,1758"</f>
        <v>85,1758</v>
      </c>
      <c r="N17" s="31" t="s">
        <v>286</v>
      </c>
    </row>
    <row r="19" spans="2:13" ht="15.75">
      <c r="B19" s="146" t="s">
        <v>46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</row>
    <row r="20" spans="1:14" ht="12.75">
      <c r="A20" s="34">
        <v>1</v>
      </c>
      <c r="B20" s="28" t="s">
        <v>287</v>
      </c>
      <c r="C20" s="28" t="s">
        <v>288</v>
      </c>
      <c r="D20" s="28" t="s">
        <v>289</v>
      </c>
      <c r="E20" s="28" t="str">
        <f>"0,6888"</f>
        <v>0,6888</v>
      </c>
      <c r="F20" s="28" t="s">
        <v>16</v>
      </c>
      <c r="G20" s="28" t="s">
        <v>278</v>
      </c>
      <c r="H20" s="40" t="s">
        <v>290</v>
      </c>
      <c r="I20" s="40" t="s">
        <v>36</v>
      </c>
      <c r="J20" s="40" t="s">
        <v>275</v>
      </c>
      <c r="K20" s="44"/>
      <c r="L20" s="87">
        <v>115</v>
      </c>
      <c r="M20" s="28" t="str">
        <f>"79,2120"</f>
        <v>79,2120</v>
      </c>
      <c r="N20" s="28" t="s">
        <v>286</v>
      </c>
    </row>
    <row r="21" spans="1:14" ht="12.75">
      <c r="A21" s="34">
        <v>1</v>
      </c>
      <c r="B21" s="18" t="s">
        <v>291</v>
      </c>
      <c r="C21" s="18" t="s">
        <v>292</v>
      </c>
      <c r="D21" s="18" t="s">
        <v>293</v>
      </c>
      <c r="E21" s="18" t="str">
        <f>"0,6719"</f>
        <v>0,6719</v>
      </c>
      <c r="F21" s="18" t="s">
        <v>16</v>
      </c>
      <c r="G21" s="18" t="s">
        <v>294</v>
      </c>
      <c r="H21" s="37" t="s">
        <v>279</v>
      </c>
      <c r="I21" s="37" t="s">
        <v>132</v>
      </c>
      <c r="J21" s="38" t="s">
        <v>74</v>
      </c>
      <c r="K21" s="43"/>
      <c r="L21" s="84">
        <v>160</v>
      </c>
      <c r="M21" s="18" t="str">
        <f>"107,5040"</f>
        <v>107,5040</v>
      </c>
      <c r="N21" s="18" t="s">
        <v>81</v>
      </c>
    </row>
    <row r="22" spans="1:14" ht="12.75">
      <c r="A22" s="34">
        <v>2</v>
      </c>
      <c r="B22" s="30" t="s">
        <v>47</v>
      </c>
      <c r="C22" s="30" t="s">
        <v>48</v>
      </c>
      <c r="D22" s="30" t="s">
        <v>49</v>
      </c>
      <c r="E22" s="30" t="str">
        <f>"0,6774"</f>
        <v>0,6774</v>
      </c>
      <c r="F22" s="30" t="s">
        <v>16</v>
      </c>
      <c r="G22" s="30" t="s">
        <v>50</v>
      </c>
      <c r="H22" s="50" t="s">
        <v>295</v>
      </c>
      <c r="I22" s="50" t="s">
        <v>56</v>
      </c>
      <c r="J22" s="50" t="s">
        <v>51</v>
      </c>
      <c r="K22" s="49"/>
      <c r="L22" s="89">
        <v>137.5</v>
      </c>
      <c r="M22" s="30" t="str">
        <f>"93,1425"</f>
        <v>93,1425</v>
      </c>
      <c r="N22" s="30" t="s">
        <v>624</v>
      </c>
    </row>
    <row r="23" spans="1:14" ht="12.75">
      <c r="A23" s="34">
        <v>1</v>
      </c>
      <c r="B23" s="18" t="s">
        <v>296</v>
      </c>
      <c r="C23" s="18" t="s">
        <v>297</v>
      </c>
      <c r="D23" s="18" t="s">
        <v>298</v>
      </c>
      <c r="E23" s="18" t="str">
        <f>"0,6916"</f>
        <v>0,6916</v>
      </c>
      <c r="F23" s="18" t="s">
        <v>16</v>
      </c>
      <c r="G23" s="18" t="s">
        <v>299</v>
      </c>
      <c r="H23" s="37" t="s">
        <v>284</v>
      </c>
      <c r="I23" s="37" t="s">
        <v>285</v>
      </c>
      <c r="J23" s="37" t="s">
        <v>18</v>
      </c>
      <c r="K23" s="43"/>
      <c r="L23" s="84">
        <v>125</v>
      </c>
      <c r="M23" s="18" t="str">
        <f>"164,2550"</f>
        <v>164,2550</v>
      </c>
      <c r="N23" s="18" t="s">
        <v>81</v>
      </c>
    </row>
    <row r="25" spans="2:13" ht="15.75">
      <c r="B25" s="146" t="s">
        <v>60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</row>
    <row r="26" spans="1:14" ht="12.75">
      <c r="A26" s="34">
        <v>1</v>
      </c>
      <c r="B26" s="28" t="s">
        <v>655</v>
      </c>
      <c r="C26" s="28" t="s">
        <v>300</v>
      </c>
      <c r="D26" s="28" t="s">
        <v>301</v>
      </c>
      <c r="E26" s="28" t="str">
        <f>"0,6417"</f>
        <v>0,6417</v>
      </c>
      <c r="F26" s="28" t="s">
        <v>16</v>
      </c>
      <c r="G26" s="28" t="s">
        <v>278</v>
      </c>
      <c r="H26" s="40" t="s">
        <v>302</v>
      </c>
      <c r="I26" s="39" t="s">
        <v>303</v>
      </c>
      <c r="J26" s="39" t="s">
        <v>303</v>
      </c>
      <c r="K26" s="44"/>
      <c r="L26" s="87">
        <v>142.5</v>
      </c>
      <c r="M26" s="28" t="str">
        <f>"91,4423"</f>
        <v>91,4423</v>
      </c>
      <c r="N26" s="28" t="s">
        <v>670</v>
      </c>
    </row>
    <row r="27" spans="1:14" ht="12.75">
      <c r="A27" s="34">
        <v>1</v>
      </c>
      <c r="B27" s="18" t="s">
        <v>304</v>
      </c>
      <c r="C27" s="18" t="s">
        <v>305</v>
      </c>
      <c r="D27" s="18" t="s">
        <v>306</v>
      </c>
      <c r="E27" s="18" t="str">
        <f>"0,6424"</f>
        <v>0,6424</v>
      </c>
      <c r="F27" s="18" t="s">
        <v>679</v>
      </c>
      <c r="G27" s="18" t="s">
        <v>35</v>
      </c>
      <c r="H27" s="37" t="s">
        <v>302</v>
      </c>
      <c r="I27" s="37" t="s">
        <v>131</v>
      </c>
      <c r="J27" s="38" t="s">
        <v>303</v>
      </c>
      <c r="K27" s="43"/>
      <c r="L27" s="84">
        <v>150</v>
      </c>
      <c r="M27" s="18" t="str">
        <f>"102,1416"</f>
        <v>102,1416</v>
      </c>
      <c r="N27" s="18" t="s">
        <v>307</v>
      </c>
    </row>
    <row r="29" spans="2:13" ht="15.75">
      <c r="B29" s="146" t="s">
        <v>82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  <row r="30" spans="1:14" ht="12.75">
      <c r="A30" s="34">
        <v>1</v>
      </c>
      <c r="B30" s="28" t="s">
        <v>308</v>
      </c>
      <c r="C30" s="28" t="s">
        <v>90</v>
      </c>
      <c r="D30" s="28" t="s">
        <v>115</v>
      </c>
      <c r="E30" s="28" t="str">
        <f>"0,6088"</f>
        <v>0,6088</v>
      </c>
      <c r="F30" s="28" t="s">
        <v>309</v>
      </c>
      <c r="G30" s="28" t="s">
        <v>310</v>
      </c>
      <c r="H30" s="40" t="s">
        <v>311</v>
      </c>
      <c r="I30" s="40" t="s">
        <v>312</v>
      </c>
      <c r="J30" s="39" t="s">
        <v>87</v>
      </c>
      <c r="K30" s="44"/>
      <c r="L30" s="87">
        <v>182.5</v>
      </c>
      <c r="M30" s="28" t="str">
        <f>"111,1060"</f>
        <v>111,1060</v>
      </c>
      <c r="N30" s="28" t="s">
        <v>678</v>
      </c>
    </row>
    <row r="31" spans="1:14" ht="12.75">
      <c r="A31" s="34">
        <v>2</v>
      </c>
      <c r="B31" s="18" t="s">
        <v>313</v>
      </c>
      <c r="C31" s="18" t="s">
        <v>314</v>
      </c>
      <c r="D31" s="18" t="s">
        <v>315</v>
      </c>
      <c r="E31" s="18" t="str">
        <f>"0,6113"</f>
        <v>0,6113</v>
      </c>
      <c r="F31" s="18" t="s">
        <v>16</v>
      </c>
      <c r="G31" s="18" t="s">
        <v>261</v>
      </c>
      <c r="H31" s="37" t="s">
        <v>74</v>
      </c>
      <c r="I31" s="37" t="s">
        <v>311</v>
      </c>
      <c r="J31" s="37" t="s">
        <v>75</v>
      </c>
      <c r="K31" s="43"/>
      <c r="L31" s="84">
        <v>177.5</v>
      </c>
      <c r="M31" s="18" t="str">
        <f>"108,5057"</f>
        <v>108,5057</v>
      </c>
      <c r="N31" s="18" t="s">
        <v>81</v>
      </c>
    </row>
    <row r="32" spans="1:14" ht="12.75">
      <c r="A32" s="34">
        <v>3</v>
      </c>
      <c r="B32" s="30" t="s">
        <v>316</v>
      </c>
      <c r="C32" s="30" t="s">
        <v>317</v>
      </c>
      <c r="D32" s="30" t="s">
        <v>318</v>
      </c>
      <c r="E32" s="30" t="str">
        <f>"0,6103"</f>
        <v>0,6103</v>
      </c>
      <c r="F32" s="30" t="s">
        <v>675</v>
      </c>
      <c r="G32" s="30" t="s">
        <v>319</v>
      </c>
      <c r="H32" s="50" t="s">
        <v>132</v>
      </c>
      <c r="I32" s="50" t="s">
        <v>320</v>
      </c>
      <c r="J32" s="50" t="s">
        <v>311</v>
      </c>
      <c r="K32" s="49"/>
      <c r="L32" s="89">
        <v>172.5</v>
      </c>
      <c r="M32" s="30" t="str">
        <f>"105,2768"</f>
        <v>105,2768</v>
      </c>
      <c r="N32" s="30" t="s">
        <v>81</v>
      </c>
    </row>
    <row r="33" spans="1:14" ht="12.75">
      <c r="A33" s="34">
        <v>4</v>
      </c>
      <c r="B33" s="18" t="s">
        <v>321</v>
      </c>
      <c r="C33" s="18" t="s">
        <v>322</v>
      </c>
      <c r="D33" s="18" t="s">
        <v>323</v>
      </c>
      <c r="E33" s="18" t="str">
        <f>"0,6203"</f>
        <v>0,6203</v>
      </c>
      <c r="F33" s="18" t="s">
        <v>16</v>
      </c>
      <c r="G33" s="18" t="s">
        <v>324</v>
      </c>
      <c r="H33" s="37" t="s">
        <v>131</v>
      </c>
      <c r="I33" s="37" t="s">
        <v>279</v>
      </c>
      <c r="J33" s="38" t="s">
        <v>132</v>
      </c>
      <c r="K33" s="43"/>
      <c r="L33" s="84">
        <v>155</v>
      </c>
      <c r="M33" s="18" t="str">
        <f>"96,1465"</f>
        <v>96,1465</v>
      </c>
      <c r="N33" s="18" t="s">
        <v>325</v>
      </c>
    </row>
    <row r="34" spans="1:14" ht="12.75">
      <c r="A34" s="34">
        <v>5</v>
      </c>
      <c r="B34" s="31" t="s">
        <v>936</v>
      </c>
      <c r="C34" s="18" t="s">
        <v>937</v>
      </c>
      <c r="D34" s="31" t="s">
        <v>315</v>
      </c>
      <c r="E34" s="31" t="s">
        <v>940</v>
      </c>
      <c r="F34" s="31" t="s">
        <v>16</v>
      </c>
      <c r="G34" s="31" t="s">
        <v>938</v>
      </c>
      <c r="H34" s="37" t="s">
        <v>131</v>
      </c>
      <c r="I34" s="38" t="s">
        <v>279</v>
      </c>
      <c r="J34" s="38" t="s">
        <v>279</v>
      </c>
      <c r="K34" s="45"/>
      <c r="L34" s="88">
        <v>150</v>
      </c>
      <c r="M34" s="31" t="s">
        <v>939</v>
      </c>
      <c r="N34" s="31" t="s">
        <v>81</v>
      </c>
    </row>
    <row r="35" spans="1:14" ht="12.75">
      <c r="A35" s="34">
        <v>1</v>
      </c>
      <c r="B35" s="31" t="s">
        <v>321</v>
      </c>
      <c r="C35" s="31" t="s">
        <v>326</v>
      </c>
      <c r="D35" s="31" t="s">
        <v>323</v>
      </c>
      <c r="E35" s="31" t="str">
        <f>"0,6203"</f>
        <v>0,6203</v>
      </c>
      <c r="F35" s="31" t="s">
        <v>16</v>
      </c>
      <c r="G35" s="31" t="s">
        <v>324</v>
      </c>
      <c r="H35" s="42" t="s">
        <v>131</v>
      </c>
      <c r="I35" s="42" t="s">
        <v>279</v>
      </c>
      <c r="J35" s="41" t="s">
        <v>132</v>
      </c>
      <c r="K35" s="45"/>
      <c r="L35" s="88">
        <v>155</v>
      </c>
      <c r="M35" s="31" t="str">
        <f>"124,7020"</f>
        <v>124,7020</v>
      </c>
      <c r="N35" s="31" t="s">
        <v>325</v>
      </c>
    </row>
    <row r="37" spans="2:13" ht="15.75">
      <c r="B37" s="146" t="s">
        <v>140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</row>
    <row r="38" spans="1:14" ht="12.75">
      <c r="A38" s="34">
        <v>1</v>
      </c>
      <c r="B38" s="18" t="s">
        <v>327</v>
      </c>
      <c r="C38" s="18" t="s">
        <v>328</v>
      </c>
      <c r="D38" s="18" t="s">
        <v>151</v>
      </c>
      <c r="E38" s="18" t="str">
        <f>"0,5919"</f>
        <v>0,5919</v>
      </c>
      <c r="F38" s="30" t="s">
        <v>675</v>
      </c>
      <c r="G38" s="18" t="s">
        <v>676</v>
      </c>
      <c r="H38" s="37" t="s">
        <v>320</v>
      </c>
      <c r="I38" s="37" t="s">
        <v>311</v>
      </c>
      <c r="J38" s="43"/>
      <c r="K38" s="43"/>
      <c r="L38" s="84">
        <v>172.5</v>
      </c>
      <c r="M38" s="18" t="str">
        <f>"102,1027"</f>
        <v>102,1027</v>
      </c>
      <c r="N38" s="18" t="s">
        <v>329</v>
      </c>
    </row>
    <row r="40" spans="2:13" ht="15.75">
      <c r="B40" s="146" t="s">
        <v>163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</row>
    <row r="41" spans="1:14" ht="12.75">
      <c r="A41" s="34">
        <v>1</v>
      </c>
      <c r="B41" s="28" t="s">
        <v>330</v>
      </c>
      <c r="C41" s="28" t="s">
        <v>331</v>
      </c>
      <c r="D41" s="28" t="s">
        <v>332</v>
      </c>
      <c r="E41" s="28" t="str">
        <f>"0,5715"</f>
        <v>0,5715</v>
      </c>
      <c r="F41" s="28" t="s">
        <v>677</v>
      </c>
      <c r="G41" s="28" t="s">
        <v>333</v>
      </c>
      <c r="H41" s="40" t="s">
        <v>185</v>
      </c>
      <c r="I41" s="40" t="s">
        <v>102</v>
      </c>
      <c r="J41" s="39" t="s">
        <v>109</v>
      </c>
      <c r="K41" s="44"/>
      <c r="L41" s="87">
        <v>205</v>
      </c>
      <c r="M41" s="28" t="str">
        <f>"117,1575"</f>
        <v>117,1575</v>
      </c>
      <c r="N41" s="28" t="s">
        <v>81</v>
      </c>
    </row>
    <row r="42" spans="1:14" ht="12.75">
      <c r="A42" s="34">
        <v>2</v>
      </c>
      <c r="B42" s="18" t="s">
        <v>334</v>
      </c>
      <c r="C42" s="18" t="s">
        <v>335</v>
      </c>
      <c r="D42" s="18" t="s">
        <v>336</v>
      </c>
      <c r="E42" s="18" t="str">
        <f>"0,5747"</f>
        <v>0,5747</v>
      </c>
      <c r="F42" s="18" t="s">
        <v>16</v>
      </c>
      <c r="G42" s="18" t="s">
        <v>253</v>
      </c>
      <c r="H42" s="37" t="s">
        <v>157</v>
      </c>
      <c r="I42" s="37" t="s">
        <v>185</v>
      </c>
      <c r="J42" s="38" t="s">
        <v>337</v>
      </c>
      <c r="K42" s="43"/>
      <c r="L42" s="84">
        <v>197.5</v>
      </c>
      <c r="M42" s="18" t="str">
        <f>"113,5032"</f>
        <v>113,5032</v>
      </c>
      <c r="N42" s="18" t="s">
        <v>81</v>
      </c>
    </row>
    <row r="45" spans="2:3" ht="18">
      <c r="B45" s="21" t="s">
        <v>192</v>
      </c>
      <c r="C45" s="21"/>
    </row>
    <row r="47" spans="2:3" ht="15.75">
      <c r="B47" s="22" t="s">
        <v>201</v>
      </c>
      <c r="C47" s="22"/>
    </row>
    <row r="48" spans="2:3" ht="13.5">
      <c r="B48" s="85" t="s">
        <v>193</v>
      </c>
      <c r="C48" s="25"/>
    </row>
    <row r="49" spans="2:6" ht="13.5">
      <c r="B49" s="26" t="s">
        <v>194</v>
      </c>
      <c r="C49" s="26" t="s">
        <v>195</v>
      </c>
      <c r="D49" s="26" t="s">
        <v>196</v>
      </c>
      <c r="E49" s="26" t="s">
        <v>197</v>
      </c>
      <c r="F49" s="26" t="s">
        <v>198</v>
      </c>
    </row>
    <row r="50" spans="1:6" ht="12.75">
      <c r="A50" s="34">
        <v>1</v>
      </c>
      <c r="B50" s="23" t="s">
        <v>330</v>
      </c>
      <c r="C50" s="86" t="s">
        <v>193</v>
      </c>
      <c r="D50" s="86" t="s">
        <v>204</v>
      </c>
      <c r="E50" s="86" t="s">
        <v>102</v>
      </c>
      <c r="F50" s="36" t="s">
        <v>338</v>
      </c>
    </row>
    <row r="51" spans="1:6" ht="12.75">
      <c r="A51" s="34">
        <v>2</v>
      </c>
      <c r="B51" s="23" t="s">
        <v>276</v>
      </c>
      <c r="C51" s="86" t="s">
        <v>193</v>
      </c>
      <c r="D51" s="86" t="s">
        <v>222</v>
      </c>
      <c r="E51" s="86" t="s">
        <v>132</v>
      </c>
      <c r="F51" s="36" t="s">
        <v>339</v>
      </c>
    </row>
    <row r="52" spans="1:6" ht="12.75">
      <c r="A52" s="34">
        <v>3</v>
      </c>
      <c r="B52" s="23" t="s">
        <v>334</v>
      </c>
      <c r="C52" s="86" t="s">
        <v>193</v>
      </c>
      <c r="D52" s="86" t="s">
        <v>204</v>
      </c>
      <c r="E52" s="86" t="s">
        <v>185</v>
      </c>
      <c r="F52" s="36" t="s">
        <v>340</v>
      </c>
    </row>
    <row r="53" spans="2:6" ht="12.75">
      <c r="B53" s="23" t="s">
        <v>308</v>
      </c>
      <c r="C53" s="86" t="s">
        <v>193</v>
      </c>
      <c r="D53" s="86" t="s">
        <v>203</v>
      </c>
      <c r="E53" s="86" t="s">
        <v>312</v>
      </c>
      <c r="F53" s="36" t="s">
        <v>341</v>
      </c>
    </row>
    <row r="54" spans="2:6" ht="12.75">
      <c r="B54" s="23" t="s">
        <v>313</v>
      </c>
      <c r="C54" s="86" t="s">
        <v>193</v>
      </c>
      <c r="D54" s="86" t="s">
        <v>203</v>
      </c>
      <c r="E54" s="86" t="s">
        <v>75</v>
      </c>
      <c r="F54" s="36" t="s">
        <v>342</v>
      </c>
    </row>
    <row r="55" spans="2:6" ht="12.75">
      <c r="B55" s="23" t="s">
        <v>291</v>
      </c>
      <c r="C55" s="86" t="s">
        <v>193</v>
      </c>
      <c r="D55" s="86" t="s">
        <v>218</v>
      </c>
      <c r="E55" s="86" t="s">
        <v>132</v>
      </c>
      <c r="F55" s="36" t="s">
        <v>343</v>
      </c>
    </row>
    <row r="56" spans="2:6" ht="12.75">
      <c r="B56" s="23" t="s">
        <v>316</v>
      </c>
      <c r="C56" s="86" t="s">
        <v>193</v>
      </c>
      <c r="D56" s="86" t="s">
        <v>203</v>
      </c>
      <c r="E56" s="86" t="s">
        <v>311</v>
      </c>
      <c r="F56" s="36" t="s">
        <v>344</v>
      </c>
    </row>
    <row r="57" spans="2:6" ht="12.75">
      <c r="B57" s="23" t="s">
        <v>327</v>
      </c>
      <c r="C57" s="86" t="s">
        <v>193</v>
      </c>
      <c r="D57" s="86" t="s">
        <v>202</v>
      </c>
      <c r="E57" s="86" t="s">
        <v>311</v>
      </c>
      <c r="F57" s="36" t="s">
        <v>345</v>
      </c>
    </row>
    <row r="58" spans="2:6" ht="12.75">
      <c r="B58" s="23" t="s">
        <v>321</v>
      </c>
      <c r="C58" s="86" t="s">
        <v>193</v>
      </c>
      <c r="D58" s="86" t="s">
        <v>203</v>
      </c>
      <c r="E58" s="86" t="s">
        <v>279</v>
      </c>
      <c r="F58" s="36" t="s">
        <v>346</v>
      </c>
    </row>
    <row r="59" spans="2:6" ht="12.75">
      <c r="B59" s="23" t="s">
        <v>936</v>
      </c>
      <c r="C59" s="86" t="s">
        <v>193</v>
      </c>
      <c r="D59" s="86" t="s">
        <v>883</v>
      </c>
      <c r="E59" s="86" t="s">
        <v>131</v>
      </c>
      <c r="F59" s="110" t="s">
        <v>939</v>
      </c>
    </row>
    <row r="60" spans="2:6" ht="12.75">
      <c r="B60" s="23" t="s">
        <v>47</v>
      </c>
      <c r="C60" s="86" t="s">
        <v>193</v>
      </c>
      <c r="D60" s="86" t="s">
        <v>218</v>
      </c>
      <c r="E60" s="86" t="s">
        <v>51</v>
      </c>
      <c r="F60" s="36" t="s">
        <v>219</v>
      </c>
    </row>
    <row r="61" spans="2:6" ht="12.75">
      <c r="B61" s="23" t="s">
        <v>280</v>
      </c>
      <c r="C61" s="86" t="s">
        <v>193</v>
      </c>
      <c r="D61" s="86" t="s">
        <v>222</v>
      </c>
      <c r="E61" s="86" t="s">
        <v>284</v>
      </c>
      <c r="F61" s="36" t="s">
        <v>347</v>
      </c>
    </row>
  </sheetData>
  <sheetProtection/>
  <mergeCells count="20">
    <mergeCell ref="B25:M25"/>
    <mergeCell ref="B29:M29"/>
    <mergeCell ref="B37:M37"/>
    <mergeCell ref="B40:M40"/>
    <mergeCell ref="N3:N4"/>
    <mergeCell ref="B5:M5"/>
    <mergeCell ref="B8:M8"/>
    <mergeCell ref="B11:M11"/>
    <mergeCell ref="B14:M14"/>
    <mergeCell ref="B19:M19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workbookViewId="0" topLeftCell="A16">
      <selection activeCell="C23" sqref="C23"/>
    </sheetView>
  </sheetViews>
  <sheetFormatPr defaultColWidth="11.375" defaultRowHeight="12.75"/>
  <cols>
    <col min="1" max="1" width="5.00390625" style="33" customWidth="1"/>
    <col min="2" max="2" width="22.875" style="56" customWidth="1"/>
    <col min="3" max="3" width="27.125" style="1" bestFit="1" customWidth="1"/>
    <col min="4" max="4" width="13.375" style="1" bestFit="1" customWidth="1"/>
    <col min="5" max="5" width="8.375" style="1" bestFit="1" customWidth="1"/>
    <col min="6" max="6" width="33.125" style="4" customWidth="1"/>
    <col min="7" max="7" width="38.625" style="4" bestFit="1" customWidth="1"/>
    <col min="8" max="11" width="5.625" style="33" bestFit="1" customWidth="1"/>
    <col min="12" max="12" width="11.75390625" style="33" customWidth="1"/>
    <col min="13" max="13" width="8.625" style="1" bestFit="1" customWidth="1"/>
    <col min="14" max="14" width="31.875" style="4" bestFit="1" customWidth="1"/>
    <col min="15" max="16384" width="11.375" style="1" customWidth="1"/>
  </cols>
  <sheetData>
    <row r="1" spans="2:14" ht="15" customHeight="1">
      <c r="B1" s="147" t="s">
        <v>662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2:14" ht="81.75" customHeight="1" thickBot="1"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4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2</v>
      </c>
      <c r="I3" s="142"/>
      <c r="J3" s="142"/>
      <c r="K3" s="142"/>
      <c r="L3" s="142" t="s">
        <v>661</v>
      </c>
      <c r="M3" s="142" t="s">
        <v>6</v>
      </c>
      <c r="N3" s="144" t="s">
        <v>5</v>
      </c>
    </row>
    <row r="4" spans="2:14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143"/>
      <c r="M4" s="143"/>
      <c r="N4" s="145"/>
    </row>
    <row r="5" spans="2:13" ht="15.75">
      <c r="B5" s="157" t="s">
        <v>12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4" ht="12.75">
      <c r="A6" s="33" t="s">
        <v>658</v>
      </c>
      <c r="B6" s="52" t="s">
        <v>13</v>
      </c>
      <c r="C6" s="6" t="s">
        <v>14</v>
      </c>
      <c r="D6" s="5" t="s">
        <v>15</v>
      </c>
      <c r="E6" s="5" t="str">
        <f>"1,0432"</f>
        <v>1,0432</v>
      </c>
      <c r="F6" s="6" t="s">
        <v>16</v>
      </c>
      <c r="G6" s="12" t="s">
        <v>666</v>
      </c>
      <c r="H6" s="69" t="s">
        <v>18</v>
      </c>
      <c r="I6" s="72" t="s">
        <v>18</v>
      </c>
      <c r="J6" s="69" t="s">
        <v>19</v>
      </c>
      <c r="K6" s="61"/>
      <c r="L6" s="62" t="s">
        <v>20</v>
      </c>
      <c r="M6" s="5" t="str">
        <f>"130,4000"</f>
        <v>130,4000</v>
      </c>
      <c r="N6" s="6" t="s">
        <v>669</v>
      </c>
    </row>
    <row r="7" spans="1:14" ht="12.75">
      <c r="A7" s="33" t="s">
        <v>658</v>
      </c>
      <c r="B7" s="55" t="s">
        <v>21</v>
      </c>
      <c r="C7" s="12" t="s">
        <v>22</v>
      </c>
      <c r="D7" s="11" t="s">
        <v>23</v>
      </c>
      <c r="E7" s="11" t="str">
        <f>"1,0206"</f>
        <v>1,0206</v>
      </c>
      <c r="F7" s="12" t="s">
        <v>24</v>
      </c>
      <c r="G7" s="12" t="s">
        <v>25</v>
      </c>
      <c r="H7" s="76" t="s">
        <v>26</v>
      </c>
      <c r="I7" s="77" t="s">
        <v>27</v>
      </c>
      <c r="J7" s="77" t="s">
        <v>27</v>
      </c>
      <c r="K7" s="68"/>
      <c r="L7" s="67" t="s">
        <v>28</v>
      </c>
      <c r="M7" s="11" t="str">
        <f>"106,5506"</f>
        <v>106,5506</v>
      </c>
      <c r="N7" s="12" t="s">
        <v>29</v>
      </c>
    </row>
    <row r="9" spans="2:13" ht="15.75">
      <c r="B9" s="159" t="s">
        <v>30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4" ht="12.75">
      <c r="A10" s="33" t="s">
        <v>658</v>
      </c>
      <c r="B10" s="52" t="s">
        <v>31</v>
      </c>
      <c r="C10" s="6" t="s">
        <v>32</v>
      </c>
      <c r="D10" s="5" t="s">
        <v>33</v>
      </c>
      <c r="E10" s="5" t="str">
        <f>"0,7383"</f>
        <v>0,7383</v>
      </c>
      <c r="F10" s="6" t="s">
        <v>34</v>
      </c>
      <c r="G10" s="6" t="s">
        <v>35</v>
      </c>
      <c r="H10" s="72" t="s">
        <v>26</v>
      </c>
      <c r="I10" s="72" t="s">
        <v>36</v>
      </c>
      <c r="J10" s="69" t="s">
        <v>37</v>
      </c>
      <c r="K10" s="61"/>
      <c r="L10" s="62" t="s">
        <v>38</v>
      </c>
      <c r="M10" s="5" t="str">
        <f>"81,2130"</f>
        <v>81,2130</v>
      </c>
      <c r="N10" s="6" t="s">
        <v>670</v>
      </c>
    </row>
    <row r="11" spans="2:14" ht="12.75">
      <c r="B11" s="55" t="s">
        <v>39</v>
      </c>
      <c r="C11" s="12" t="s">
        <v>40</v>
      </c>
      <c r="D11" s="11" t="s">
        <v>41</v>
      </c>
      <c r="E11" s="11" t="str">
        <f>"0,7193"</f>
        <v>0,7193</v>
      </c>
      <c r="F11" s="12" t="s">
        <v>16</v>
      </c>
      <c r="G11" s="12" t="s">
        <v>666</v>
      </c>
      <c r="H11" s="77" t="s">
        <v>42</v>
      </c>
      <c r="I11" s="77" t="s">
        <v>43</v>
      </c>
      <c r="J11" s="77" t="s">
        <v>43</v>
      </c>
      <c r="K11" s="68"/>
      <c r="L11" s="67" t="s">
        <v>44</v>
      </c>
      <c r="M11" s="11" t="str">
        <f>"0,0000"</f>
        <v>0,0000</v>
      </c>
      <c r="N11" s="12" t="s">
        <v>45</v>
      </c>
    </row>
    <row r="13" spans="2:13" ht="15.75">
      <c r="B13" s="159" t="s">
        <v>46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4" ht="12.75">
      <c r="A14" s="33" t="s">
        <v>658</v>
      </c>
      <c r="B14" s="52" t="s">
        <v>47</v>
      </c>
      <c r="C14" s="6" t="s">
        <v>48</v>
      </c>
      <c r="D14" s="5" t="s">
        <v>49</v>
      </c>
      <c r="E14" s="5" t="str">
        <f>"0,6774"</f>
        <v>0,6774</v>
      </c>
      <c r="F14" s="6" t="s">
        <v>16</v>
      </c>
      <c r="G14" s="6" t="s">
        <v>50</v>
      </c>
      <c r="H14" s="72" t="s">
        <v>51</v>
      </c>
      <c r="I14" s="74"/>
      <c r="J14" s="61"/>
      <c r="K14" s="61"/>
      <c r="L14" s="62" t="s">
        <v>52</v>
      </c>
      <c r="M14" s="5" t="str">
        <f>"93,1425"</f>
        <v>93,1425</v>
      </c>
      <c r="N14" s="6" t="s">
        <v>624</v>
      </c>
    </row>
    <row r="15" spans="1:14" ht="12.75">
      <c r="A15" s="33" t="s">
        <v>659</v>
      </c>
      <c r="B15" s="55" t="s">
        <v>53</v>
      </c>
      <c r="C15" s="12" t="s">
        <v>54</v>
      </c>
      <c r="D15" s="11" t="s">
        <v>55</v>
      </c>
      <c r="E15" s="11" t="str">
        <f>"0,6744"</f>
        <v>0,6744</v>
      </c>
      <c r="F15" s="12" t="s">
        <v>16</v>
      </c>
      <c r="G15" s="12" t="s">
        <v>666</v>
      </c>
      <c r="H15" s="76" t="s">
        <v>19</v>
      </c>
      <c r="I15" s="76" t="s">
        <v>56</v>
      </c>
      <c r="J15" s="77" t="s">
        <v>57</v>
      </c>
      <c r="K15" s="68"/>
      <c r="L15" s="67" t="s">
        <v>58</v>
      </c>
      <c r="M15" s="11" t="str">
        <f>"89,3580"</f>
        <v>89,3580</v>
      </c>
      <c r="N15" s="12" t="s">
        <v>59</v>
      </c>
    </row>
    <row r="17" spans="2:13" ht="15.75">
      <c r="B17" s="159" t="s">
        <v>60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1:14" ht="12.75">
      <c r="A18" s="33" t="s">
        <v>658</v>
      </c>
      <c r="B18" s="52" t="s">
        <v>61</v>
      </c>
      <c r="C18" s="6" t="s">
        <v>62</v>
      </c>
      <c r="D18" s="5" t="s">
        <v>63</v>
      </c>
      <c r="E18" s="5" t="str">
        <f>"0,6402"</f>
        <v>0,6402</v>
      </c>
      <c r="F18" s="6" t="s">
        <v>64</v>
      </c>
      <c r="G18" s="6" t="s">
        <v>65</v>
      </c>
      <c r="H18" s="72" t="s">
        <v>66</v>
      </c>
      <c r="I18" s="72" t="s">
        <v>67</v>
      </c>
      <c r="J18" s="69" t="s">
        <v>68</v>
      </c>
      <c r="K18" s="61"/>
      <c r="L18" s="62" t="s">
        <v>69</v>
      </c>
      <c r="M18" s="5" t="str">
        <f>"112,0350"</f>
        <v>112,0350</v>
      </c>
      <c r="N18" s="6" t="s">
        <v>70</v>
      </c>
    </row>
    <row r="19" spans="1:14" ht="12.75">
      <c r="A19" s="33" t="s">
        <v>659</v>
      </c>
      <c r="B19" s="55" t="s">
        <v>656</v>
      </c>
      <c r="C19" s="12" t="s">
        <v>72</v>
      </c>
      <c r="D19" s="11" t="s">
        <v>73</v>
      </c>
      <c r="E19" s="11" t="str">
        <f>"0,6545"</f>
        <v>0,6545</v>
      </c>
      <c r="F19" s="12" t="s">
        <v>64</v>
      </c>
      <c r="G19" s="12" t="s">
        <v>65</v>
      </c>
      <c r="H19" s="76" t="s">
        <v>74</v>
      </c>
      <c r="I19" s="76" t="s">
        <v>66</v>
      </c>
      <c r="J19" s="77" t="s">
        <v>75</v>
      </c>
      <c r="K19" s="68"/>
      <c r="L19" s="67" t="s">
        <v>76</v>
      </c>
      <c r="M19" s="11" t="str">
        <f>"111,2650"</f>
        <v>111,2650</v>
      </c>
      <c r="N19" s="12" t="s">
        <v>81</v>
      </c>
    </row>
    <row r="20" spans="1:14" ht="12.75">
      <c r="A20" s="33" t="s">
        <v>658</v>
      </c>
      <c r="B20" s="53" t="s">
        <v>77</v>
      </c>
      <c r="C20" s="8" t="s">
        <v>78</v>
      </c>
      <c r="D20" s="7" t="s">
        <v>79</v>
      </c>
      <c r="E20" s="7" t="str">
        <f>"0,6388"</f>
        <v>0,6388</v>
      </c>
      <c r="F20" s="8" t="s">
        <v>16</v>
      </c>
      <c r="G20" s="8" t="s">
        <v>664</v>
      </c>
      <c r="H20" s="73" t="s">
        <v>80</v>
      </c>
      <c r="I20" s="73" t="s">
        <v>26</v>
      </c>
      <c r="J20" s="70" t="s">
        <v>36</v>
      </c>
      <c r="K20" s="64"/>
      <c r="L20" s="63" t="s">
        <v>28</v>
      </c>
      <c r="M20" s="7" t="str">
        <f>"88,1544"</f>
        <v>88,1544</v>
      </c>
      <c r="N20" s="8" t="s">
        <v>81</v>
      </c>
    </row>
    <row r="22" spans="2:13" ht="15.75">
      <c r="B22" s="159" t="s">
        <v>82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4" ht="12.75">
      <c r="A23" s="33" t="s">
        <v>658</v>
      </c>
      <c r="B23" s="52" t="s">
        <v>83</v>
      </c>
      <c r="C23" s="6" t="s">
        <v>84</v>
      </c>
      <c r="D23" s="5" t="s">
        <v>85</v>
      </c>
      <c r="E23" s="5" t="str">
        <f>"0,6285"</f>
        <v>0,6285</v>
      </c>
      <c r="F23" s="6" t="s">
        <v>16</v>
      </c>
      <c r="G23" s="6" t="s">
        <v>86</v>
      </c>
      <c r="H23" s="72" t="s">
        <v>75</v>
      </c>
      <c r="I23" s="69" t="s">
        <v>87</v>
      </c>
      <c r="J23" s="69" t="s">
        <v>87</v>
      </c>
      <c r="K23" s="61"/>
      <c r="L23" s="62" t="s">
        <v>88</v>
      </c>
      <c r="M23" s="5" t="str">
        <f>"111,5587"</f>
        <v>111,5587</v>
      </c>
      <c r="N23" s="6" t="s">
        <v>81</v>
      </c>
    </row>
    <row r="24" spans="1:14" ht="12.75">
      <c r="A24" s="33" t="s">
        <v>658</v>
      </c>
      <c r="B24" s="55" t="s">
        <v>89</v>
      </c>
      <c r="C24" s="12" t="s">
        <v>90</v>
      </c>
      <c r="D24" s="11" t="s">
        <v>91</v>
      </c>
      <c r="E24" s="11" t="str">
        <f>"0,6093"</f>
        <v>0,6093</v>
      </c>
      <c r="F24" s="12" t="s">
        <v>34</v>
      </c>
      <c r="G24" s="12" t="s">
        <v>92</v>
      </c>
      <c r="H24" s="76" t="s">
        <v>93</v>
      </c>
      <c r="I24" s="76" t="s">
        <v>94</v>
      </c>
      <c r="J24" s="76" t="s">
        <v>95</v>
      </c>
      <c r="K24" s="76" t="s">
        <v>96</v>
      </c>
      <c r="L24" s="67" t="s">
        <v>97</v>
      </c>
      <c r="M24" s="11" t="str">
        <f>"138,6158"</f>
        <v>138,6158</v>
      </c>
      <c r="N24" s="12" t="s">
        <v>81</v>
      </c>
    </row>
    <row r="25" spans="1:14" ht="12.75">
      <c r="A25" s="33" t="s">
        <v>659</v>
      </c>
      <c r="B25" s="54" t="s">
        <v>98</v>
      </c>
      <c r="C25" s="10" t="s">
        <v>99</v>
      </c>
      <c r="D25" s="9" t="s">
        <v>100</v>
      </c>
      <c r="E25" s="9" t="str">
        <f>"0,6172"</f>
        <v>0,6172</v>
      </c>
      <c r="F25" s="10" t="s">
        <v>16</v>
      </c>
      <c r="G25" s="10" t="s">
        <v>101</v>
      </c>
      <c r="H25" s="75" t="s">
        <v>42</v>
      </c>
      <c r="I25" s="75" t="s">
        <v>102</v>
      </c>
      <c r="J25" s="75" t="s">
        <v>93</v>
      </c>
      <c r="K25" s="66"/>
      <c r="L25" s="65" t="s">
        <v>103</v>
      </c>
      <c r="M25" s="9" t="str">
        <f>"132,6980"</f>
        <v>132,6980</v>
      </c>
      <c r="N25" s="10" t="s">
        <v>104</v>
      </c>
    </row>
    <row r="26" spans="1:14" ht="12.75">
      <c r="A26" s="33" t="s">
        <v>660</v>
      </c>
      <c r="B26" s="55" t="s">
        <v>105</v>
      </c>
      <c r="C26" s="12" t="s">
        <v>106</v>
      </c>
      <c r="D26" s="11" t="s">
        <v>107</v>
      </c>
      <c r="E26" s="11" t="str">
        <f>"0,6118"</f>
        <v>0,6118</v>
      </c>
      <c r="F26" s="12" t="s">
        <v>16</v>
      </c>
      <c r="G26" s="12" t="s">
        <v>666</v>
      </c>
      <c r="H26" s="76" t="s">
        <v>108</v>
      </c>
      <c r="I26" s="76" t="s">
        <v>109</v>
      </c>
      <c r="J26" s="77" t="s">
        <v>110</v>
      </c>
      <c r="K26" s="68"/>
      <c r="L26" s="67" t="s">
        <v>111</v>
      </c>
      <c r="M26" s="11" t="str">
        <f>"128,4780"</f>
        <v>128,4780</v>
      </c>
      <c r="N26" s="12" t="s">
        <v>112</v>
      </c>
    </row>
    <row r="27" spans="1:14" ht="12.75">
      <c r="A27" s="33" t="s">
        <v>843</v>
      </c>
      <c r="B27" s="54" t="s">
        <v>113</v>
      </c>
      <c r="C27" s="10" t="s">
        <v>114</v>
      </c>
      <c r="D27" s="9" t="s">
        <v>115</v>
      </c>
      <c r="E27" s="9" t="str">
        <f>"0,6088"</f>
        <v>0,6088</v>
      </c>
      <c r="F27" s="10" t="s">
        <v>16</v>
      </c>
      <c r="G27" s="10" t="s">
        <v>116</v>
      </c>
      <c r="H27" s="75" t="s">
        <v>102</v>
      </c>
      <c r="I27" s="71" t="s">
        <v>93</v>
      </c>
      <c r="J27" s="71" t="s">
        <v>93</v>
      </c>
      <c r="K27" s="66"/>
      <c r="L27" s="65" t="s">
        <v>117</v>
      </c>
      <c r="M27" s="9" t="str">
        <f>"124,8040"</f>
        <v>124,8040</v>
      </c>
      <c r="N27" s="10" t="s">
        <v>81</v>
      </c>
    </row>
    <row r="28" spans="1:14" ht="12.75">
      <c r="A28" s="33" t="s">
        <v>844</v>
      </c>
      <c r="B28" s="55" t="s">
        <v>118</v>
      </c>
      <c r="C28" s="12" t="s">
        <v>119</v>
      </c>
      <c r="D28" s="11" t="s">
        <v>120</v>
      </c>
      <c r="E28" s="11" t="str">
        <f>"0,6206"</f>
        <v>0,6206</v>
      </c>
      <c r="F28" s="12" t="s">
        <v>16</v>
      </c>
      <c r="G28" s="12" t="s">
        <v>666</v>
      </c>
      <c r="H28" s="76" t="s">
        <v>66</v>
      </c>
      <c r="I28" s="76" t="s">
        <v>68</v>
      </c>
      <c r="J28" s="77" t="s">
        <v>87</v>
      </c>
      <c r="K28" s="68"/>
      <c r="L28" s="67" t="s">
        <v>121</v>
      </c>
      <c r="M28" s="11" t="str">
        <f>"111,7080"</f>
        <v>111,7080</v>
      </c>
      <c r="N28" s="12" t="s">
        <v>122</v>
      </c>
    </row>
    <row r="29" spans="1:14" ht="12.75">
      <c r="A29" s="33" t="s">
        <v>797</v>
      </c>
      <c r="B29" s="54" t="s">
        <v>123</v>
      </c>
      <c r="C29" s="10" t="s">
        <v>124</v>
      </c>
      <c r="D29" s="9" t="s">
        <v>125</v>
      </c>
      <c r="E29" s="9" t="str">
        <f>"0,6134"</f>
        <v>0,6134</v>
      </c>
      <c r="F29" s="10" t="s">
        <v>24</v>
      </c>
      <c r="G29" s="10" t="s">
        <v>25</v>
      </c>
      <c r="H29" s="75" t="s">
        <v>67</v>
      </c>
      <c r="I29" s="71" t="s">
        <v>126</v>
      </c>
      <c r="J29" s="71" t="s">
        <v>126</v>
      </c>
      <c r="K29" s="66"/>
      <c r="L29" s="65" t="s">
        <v>69</v>
      </c>
      <c r="M29" s="9" t="str">
        <f>"107,3450"</f>
        <v>107,3450</v>
      </c>
      <c r="N29" s="10" t="s">
        <v>29</v>
      </c>
    </row>
    <row r="30" spans="1:14" ht="12.75">
      <c r="A30" s="33" t="s">
        <v>845</v>
      </c>
      <c r="B30" s="55" t="s">
        <v>127</v>
      </c>
      <c r="C30" s="12" t="s">
        <v>128</v>
      </c>
      <c r="D30" s="11" t="s">
        <v>129</v>
      </c>
      <c r="E30" s="11" t="str">
        <f>"0,6150"</f>
        <v>0,6150</v>
      </c>
      <c r="F30" s="12" t="s">
        <v>665</v>
      </c>
      <c r="G30" s="12" t="s">
        <v>130</v>
      </c>
      <c r="H30" s="76" t="s">
        <v>131</v>
      </c>
      <c r="I30" s="77" t="s">
        <v>132</v>
      </c>
      <c r="J30" s="77" t="s">
        <v>132</v>
      </c>
      <c r="K30" s="68"/>
      <c r="L30" s="67" t="s">
        <v>133</v>
      </c>
      <c r="M30" s="11" t="str">
        <f>"92,2500"</f>
        <v>92,2500</v>
      </c>
      <c r="N30" s="12" t="s">
        <v>134</v>
      </c>
    </row>
    <row r="31" spans="1:14" ht="12.75">
      <c r="A31" s="33" t="s">
        <v>658</v>
      </c>
      <c r="B31" s="54" t="s">
        <v>118</v>
      </c>
      <c r="C31" s="10" t="s">
        <v>135</v>
      </c>
      <c r="D31" s="9" t="s">
        <v>120</v>
      </c>
      <c r="E31" s="9" t="str">
        <f>"0,6206"</f>
        <v>0,6206</v>
      </c>
      <c r="F31" s="10" t="s">
        <v>16</v>
      </c>
      <c r="G31" s="12" t="s">
        <v>666</v>
      </c>
      <c r="H31" s="75" t="s">
        <v>66</v>
      </c>
      <c r="I31" s="75" t="s">
        <v>68</v>
      </c>
      <c r="J31" s="71" t="s">
        <v>87</v>
      </c>
      <c r="K31" s="66"/>
      <c r="L31" s="65" t="s">
        <v>121</v>
      </c>
      <c r="M31" s="9" t="str">
        <f>"122,4320"</f>
        <v>122,4320</v>
      </c>
      <c r="N31" s="10" t="s">
        <v>122</v>
      </c>
    </row>
    <row r="32" spans="1:14" ht="12.75">
      <c r="A32" s="33" t="s">
        <v>658</v>
      </c>
      <c r="B32" s="79" t="s">
        <v>136</v>
      </c>
      <c r="C32" s="12" t="s">
        <v>137</v>
      </c>
      <c r="D32" s="11" t="s">
        <v>138</v>
      </c>
      <c r="E32" s="11" t="str">
        <f>"0,6311"</f>
        <v>0,6311</v>
      </c>
      <c r="F32" s="80" t="s">
        <v>16</v>
      </c>
      <c r="G32" s="12" t="s">
        <v>666</v>
      </c>
      <c r="H32" s="81" t="s">
        <v>68</v>
      </c>
      <c r="I32" s="81" t="s">
        <v>87</v>
      </c>
      <c r="J32" s="82" t="s">
        <v>108</v>
      </c>
      <c r="K32" s="83"/>
      <c r="L32" s="67" t="s">
        <v>139</v>
      </c>
      <c r="M32" s="80" t="str">
        <f>"147,2483"</f>
        <v>147,2483</v>
      </c>
      <c r="N32" s="80" t="s">
        <v>81</v>
      </c>
    </row>
    <row r="34" spans="2:13" ht="15.75">
      <c r="B34" s="159" t="s">
        <v>140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</row>
    <row r="35" spans="1:14" ht="12.75">
      <c r="A35" s="33" t="s">
        <v>658</v>
      </c>
      <c r="B35" s="52" t="s">
        <v>141</v>
      </c>
      <c r="C35" s="6" t="s">
        <v>142</v>
      </c>
      <c r="D35" s="5" t="s">
        <v>143</v>
      </c>
      <c r="E35" s="5" t="str">
        <f>"0,5952"</f>
        <v>0,5952</v>
      </c>
      <c r="F35" s="6" t="s">
        <v>16</v>
      </c>
      <c r="G35" s="12" t="s">
        <v>666</v>
      </c>
      <c r="H35" s="72" t="s">
        <v>67</v>
      </c>
      <c r="I35" s="72" t="s">
        <v>126</v>
      </c>
      <c r="J35" s="72" t="s">
        <v>42</v>
      </c>
      <c r="K35" s="72" t="s">
        <v>108</v>
      </c>
      <c r="L35" s="62" t="s">
        <v>144</v>
      </c>
      <c r="M35" s="5" t="str">
        <f>"116,0640"</f>
        <v>116,0640</v>
      </c>
      <c r="N35" s="6" t="s">
        <v>81</v>
      </c>
    </row>
    <row r="36" spans="1:14" ht="12.75">
      <c r="A36" s="33" t="s">
        <v>658</v>
      </c>
      <c r="B36" s="55" t="s">
        <v>145</v>
      </c>
      <c r="C36" s="12" t="s">
        <v>146</v>
      </c>
      <c r="D36" s="11" t="s">
        <v>147</v>
      </c>
      <c r="E36" s="11" t="str">
        <f>"0,6017"</f>
        <v>0,6017</v>
      </c>
      <c r="F36" s="12" t="s">
        <v>671</v>
      </c>
      <c r="G36" s="12" t="s">
        <v>65</v>
      </c>
      <c r="H36" s="76" t="s">
        <v>66</v>
      </c>
      <c r="I36" s="77" t="s">
        <v>67</v>
      </c>
      <c r="J36" s="77" t="s">
        <v>67</v>
      </c>
      <c r="K36" s="68"/>
      <c r="L36" s="67" t="s">
        <v>76</v>
      </c>
      <c r="M36" s="11" t="str">
        <f>"102,2890"</f>
        <v>102,2890</v>
      </c>
      <c r="N36" s="12" t="s">
        <v>148</v>
      </c>
    </row>
    <row r="37" spans="2:14" ht="12.75">
      <c r="B37" s="54" t="s">
        <v>149</v>
      </c>
      <c r="C37" s="10" t="s">
        <v>150</v>
      </c>
      <c r="D37" s="9" t="s">
        <v>151</v>
      </c>
      <c r="E37" s="9" t="str">
        <f>"0,5919"</f>
        <v>0,5919</v>
      </c>
      <c r="F37" s="10" t="s">
        <v>16</v>
      </c>
      <c r="G37" s="10" t="s">
        <v>152</v>
      </c>
      <c r="H37" s="71" t="s">
        <v>68</v>
      </c>
      <c r="I37" s="71" t="s">
        <v>68</v>
      </c>
      <c r="J37" s="71" t="s">
        <v>68</v>
      </c>
      <c r="K37" s="66"/>
      <c r="L37" s="65" t="s">
        <v>44</v>
      </c>
      <c r="M37" s="9" t="str">
        <f>"0,0000"</f>
        <v>0,0000</v>
      </c>
      <c r="N37" s="10" t="s">
        <v>81</v>
      </c>
    </row>
    <row r="38" spans="1:14" ht="12.75">
      <c r="A38" s="33" t="s">
        <v>658</v>
      </c>
      <c r="B38" s="55" t="s">
        <v>153</v>
      </c>
      <c r="C38" s="12" t="s">
        <v>154</v>
      </c>
      <c r="D38" s="11" t="s">
        <v>155</v>
      </c>
      <c r="E38" s="11" t="str">
        <f>"0,6009"</f>
        <v>0,6009</v>
      </c>
      <c r="F38" s="12" t="s">
        <v>16</v>
      </c>
      <c r="G38" s="12" t="s">
        <v>156</v>
      </c>
      <c r="H38" s="76" t="s">
        <v>87</v>
      </c>
      <c r="I38" s="76" t="s">
        <v>157</v>
      </c>
      <c r="J38" s="68"/>
      <c r="K38" s="68"/>
      <c r="L38" s="67" t="s">
        <v>158</v>
      </c>
      <c r="M38" s="11" t="str">
        <f>"115,6732"</f>
        <v>115,6732</v>
      </c>
      <c r="N38" s="12" t="s">
        <v>81</v>
      </c>
    </row>
    <row r="39" spans="1:14" ht="12.75">
      <c r="A39" s="33" t="s">
        <v>658</v>
      </c>
      <c r="B39" s="53" t="s">
        <v>159</v>
      </c>
      <c r="C39" s="8" t="s">
        <v>160</v>
      </c>
      <c r="D39" s="7" t="s">
        <v>161</v>
      </c>
      <c r="E39" s="7" t="str">
        <f>"0,5910"</f>
        <v>0,5910</v>
      </c>
      <c r="F39" s="8" t="s">
        <v>16</v>
      </c>
      <c r="G39" s="8" t="s">
        <v>667</v>
      </c>
      <c r="H39" s="73" t="s">
        <v>37</v>
      </c>
      <c r="I39" s="70" t="s">
        <v>18</v>
      </c>
      <c r="J39" s="70" t="s">
        <v>18</v>
      </c>
      <c r="K39" s="64"/>
      <c r="L39" s="63" t="s">
        <v>162</v>
      </c>
      <c r="M39" s="7" t="str">
        <f>"75,1752"</f>
        <v>75,1752</v>
      </c>
      <c r="N39" s="8" t="s">
        <v>81</v>
      </c>
    </row>
    <row r="41" spans="2:13" ht="15.75">
      <c r="B41" s="159" t="s">
        <v>163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</row>
    <row r="42" spans="1:14" ht="12.75">
      <c r="A42" s="33" t="s">
        <v>658</v>
      </c>
      <c r="B42" s="52" t="s">
        <v>164</v>
      </c>
      <c r="C42" s="6" t="s">
        <v>165</v>
      </c>
      <c r="D42" s="5" t="s">
        <v>166</v>
      </c>
      <c r="E42" s="5" t="str">
        <f>"0,5712"</f>
        <v>0,5712</v>
      </c>
      <c r="F42" s="6" t="s">
        <v>16</v>
      </c>
      <c r="G42" s="12" t="s">
        <v>666</v>
      </c>
      <c r="H42" s="72" t="s">
        <v>110</v>
      </c>
      <c r="I42" s="72" t="s">
        <v>167</v>
      </c>
      <c r="J42" s="72" t="s">
        <v>168</v>
      </c>
      <c r="K42" s="72" t="s">
        <v>169</v>
      </c>
      <c r="L42" s="62" t="s">
        <v>170</v>
      </c>
      <c r="M42" s="5" t="str">
        <f>"139,9440"</f>
        <v>139,9440</v>
      </c>
      <c r="N42" s="6" t="s">
        <v>171</v>
      </c>
    </row>
    <row r="43" spans="1:14" ht="12.75">
      <c r="A43" s="33" t="s">
        <v>659</v>
      </c>
      <c r="B43" s="55" t="s">
        <v>172</v>
      </c>
      <c r="C43" s="12" t="s">
        <v>173</v>
      </c>
      <c r="D43" s="11" t="s">
        <v>174</v>
      </c>
      <c r="E43" s="11" t="str">
        <f>"0,5717"</f>
        <v>0,5717</v>
      </c>
      <c r="F43" s="12" t="s">
        <v>64</v>
      </c>
      <c r="G43" s="12" t="s">
        <v>65</v>
      </c>
      <c r="H43" s="76" t="s">
        <v>96</v>
      </c>
      <c r="I43" s="76" t="s">
        <v>175</v>
      </c>
      <c r="J43" s="77" t="s">
        <v>168</v>
      </c>
      <c r="K43" s="68"/>
      <c r="L43" s="67" t="s">
        <v>176</v>
      </c>
      <c r="M43" s="11" t="str">
        <f>"137,2080"</f>
        <v>137,2080</v>
      </c>
      <c r="N43" s="12" t="s">
        <v>81</v>
      </c>
    </row>
    <row r="44" spans="1:14" ht="12.75">
      <c r="A44" s="33" t="s">
        <v>660</v>
      </c>
      <c r="B44" s="55" t="s">
        <v>177</v>
      </c>
      <c r="C44" s="12" t="s">
        <v>178</v>
      </c>
      <c r="D44" s="11" t="s">
        <v>179</v>
      </c>
      <c r="E44" s="11" t="str">
        <f>"0,5763"</f>
        <v>0,5763</v>
      </c>
      <c r="F44" s="12" t="s">
        <v>16</v>
      </c>
      <c r="G44" s="12" t="s">
        <v>65</v>
      </c>
      <c r="H44" s="76" t="s">
        <v>180</v>
      </c>
      <c r="I44" s="76" t="s">
        <v>167</v>
      </c>
      <c r="J44" s="77" t="s">
        <v>168</v>
      </c>
      <c r="K44" s="68"/>
      <c r="L44" s="67" t="s">
        <v>181</v>
      </c>
      <c r="M44" s="11" t="str">
        <f>"135,4305"</f>
        <v>135,4305</v>
      </c>
      <c r="N44" s="12" t="s">
        <v>70</v>
      </c>
    </row>
    <row r="45" spans="1:14" ht="12.75">
      <c r="A45" s="33" t="s">
        <v>658</v>
      </c>
      <c r="B45" s="53" t="s">
        <v>182</v>
      </c>
      <c r="C45" s="8" t="s">
        <v>183</v>
      </c>
      <c r="D45" s="7" t="s">
        <v>184</v>
      </c>
      <c r="E45" s="7" t="str">
        <f>"0,5731"</f>
        <v>0,5731</v>
      </c>
      <c r="F45" s="8" t="s">
        <v>668</v>
      </c>
      <c r="G45" s="12" t="s">
        <v>666</v>
      </c>
      <c r="H45" s="70" t="s">
        <v>87</v>
      </c>
      <c r="I45" s="73" t="s">
        <v>87</v>
      </c>
      <c r="J45" s="70" t="s">
        <v>185</v>
      </c>
      <c r="K45" s="64"/>
      <c r="L45" s="63" t="s">
        <v>139</v>
      </c>
      <c r="M45" s="7" t="str">
        <f>"108,8890"</f>
        <v>108,8890</v>
      </c>
      <c r="N45" s="8" t="s">
        <v>81</v>
      </c>
    </row>
    <row r="47" spans="2:13" ht="15.75">
      <c r="B47" s="159" t="s">
        <v>186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</row>
    <row r="48" spans="1:14" ht="12.75">
      <c r="A48" s="33" t="s">
        <v>658</v>
      </c>
      <c r="B48" s="55" t="s">
        <v>187</v>
      </c>
      <c r="C48" s="12" t="s">
        <v>188</v>
      </c>
      <c r="D48" s="11" t="s">
        <v>189</v>
      </c>
      <c r="E48" s="11" t="str">
        <f>"0,5668"</f>
        <v>0,5668</v>
      </c>
      <c r="F48" s="12" t="s">
        <v>16</v>
      </c>
      <c r="G48" s="12" t="s">
        <v>190</v>
      </c>
      <c r="H48" s="76" t="s">
        <v>66</v>
      </c>
      <c r="I48" s="76" t="s">
        <v>68</v>
      </c>
      <c r="J48" s="76" t="s">
        <v>126</v>
      </c>
      <c r="K48" s="68"/>
      <c r="L48" s="67" t="s">
        <v>191</v>
      </c>
      <c r="M48" s="11" t="str">
        <f>"105,3823"</f>
        <v>105,3823</v>
      </c>
      <c r="N48" s="12" t="s">
        <v>81</v>
      </c>
    </row>
    <row r="51" spans="2:3" ht="18">
      <c r="B51" s="57" t="s">
        <v>192</v>
      </c>
      <c r="C51" s="13"/>
    </row>
    <row r="53" spans="2:3" ht="15.75">
      <c r="B53" s="58" t="s">
        <v>201</v>
      </c>
      <c r="C53" s="14"/>
    </row>
    <row r="54" spans="2:3" ht="13.5">
      <c r="B54" s="78" t="s">
        <v>193</v>
      </c>
      <c r="C54" s="15"/>
    </row>
    <row r="55" spans="2:6" ht="13.5">
      <c r="B55" s="16" t="s">
        <v>194</v>
      </c>
      <c r="C55" s="16" t="s">
        <v>195</v>
      </c>
      <c r="D55" s="16" t="s">
        <v>196</v>
      </c>
      <c r="E55" s="16" t="s">
        <v>197</v>
      </c>
      <c r="F55" s="16" t="s">
        <v>198</v>
      </c>
    </row>
    <row r="56" spans="1:6" ht="12.75">
      <c r="A56" s="33" t="s">
        <v>658</v>
      </c>
      <c r="B56" s="60" t="s">
        <v>164</v>
      </c>
      <c r="C56" s="1" t="s">
        <v>193</v>
      </c>
      <c r="D56" s="1" t="s">
        <v>204</v>
      </c>
      <c r="E56" s="1" t="s">
        <v>168</v>
      </c>
      <c r="F56" s="33" t="s">
        <v>205</v>
      </c>
    </row>
    <row r="57" spans="1:6" ht="12.75">
      <c r="A57" s="33" t="s">
        <v>659</v>
      </c>
      <c r="B57" s="60" t="s">
        <v>89</v>
      </c>
      <c r="C57" s="1" t="s">
        <v>193</v>
      </c>
      <c r="D57" s="1" t="s">
        <v>203</v>
      </c>
      <c r="E57" s="1" t="s">
        <v>95</v>
      </c>
      <c r="F57" s="33" t="s">
        <v>206</v>
      </c>
    </row>
    <row r="58" spans="1:6" ht="12.75">
      <c r="A58" s="33" t="s">
        <v>660</v>
      </c>
      <c r="B58" s="60" t="s">
        <v>172</v>
      </c>
      <c r="C58" s="1" t="s">
        <v>193</v>
      </c>
      <c r="D58" s="1" t="s">
        <v>204</v>
      </c>
      <c r="E58" s="1" t="s">
        <v>175</v>
      </c>
      <c r="F58" s="33" t="s">
        <v>207</v>
      </c>
    </row>
    <row r="59" spans="2:6" ht="12.75">
      <c r="B59" s="60" t="s">
        <v>177</v>
      </c>
      <c r="C59" s="1" t="s">
        <v>193</v>
      </c>
      <c r="D59" s="1" t="s">
        <v>204</v>
      </c>
      <c r="E59" s="1" t="s">
        <v>167</v>
      </c>
      <c r="F59" s="33" t="s">
        <v>208</v>
      </c>
    </row>
    <row r="60" spans="2:6" ht="12.75">
      <c r="B60" s="60" t="s">
        <v>98</v>
      </c>
      <c r="C60" s="1" t="s">
        <v>193</v>
      </c>
      <c r="D60" s="1" t="s">
        <v>203</v>
      </c>
      <c r="E60" s="1" t="s">
        <v>93</v>
      </c>
      <c r="F60" s="33" t="s">
        <v>209</v>
      </c>
    </row>
    <row r="61" spans="2:6" ht="12.75">
      <c r="B61" s="60" t="s">
        <v>105</v>
      </c>
      <c r="C61" s="1" t="s">
        <v>193</v>
      </c>
      <c r="D61" s="1" t="s">
        <v>203</v>
      </c>
      <c r="E61" s="1" t="s">
        <v>109</v>
      </c>
      <c r="F61" s="33" t="s">
        <v>210</v>
      </c>
    </row>
    <row r="62" spans="2:6" ht="12.75">
      <c r="B62" s="60" t="s">
        <v>113</v>
      </c>
      <c r="C62" s="1" t="s">
        <v>193</v>
      </c>
      <c r="D62" s="1" t="s">
        <v>203</v>
      </c>
      <c r="E62" s="1" t="s">
        <v>102</v>
      </c>
      <c r="F62" s="33" t="s">
        <v>211</v>
      </c>
    </row>
    <row r="63" spans="2:6" ht="12.75">
      <c r="B63" s="60" t="s">
        <v>61</v>
      </c>
      <c r="C63" s="1" t="s">
        <v>193</v>
      </c>
      <c r="D63" s="1" t="s">
        <v>212</v>
      </c>
      <c r="E63" s="1" t="s">
        <v>67</v>
      </c>
      <c r="F63" s="33" t="s">
        <v>213</v>
      </c>
    </row>
    <row r="64" spans="2:6" ht="12.75">
      <c r="B64" s="60" t="s">
        <v>118</v>
      </c>
      <c r="C64" s="1" t="s">
        <v>193</v>
      </c>
      <c r="D64" s="1" t="s">
        <v>203</v>
      </c>
      <c r="E64" s="1" t="s">
        <v>68</v>
      </c>
      <c r="F64" s="33" t="s">
        <v>214</v>
      </c>
    </row>
    <row r="65" spans="2:6" ht="12.75">
      <c r="B65" s="60" t="s">
        <v>71</v>
      </c>
      <c r="C65" s="1" t="s">
        <v>193</v>
      </c>
      <c r="D65" s="1" t="s">
        <v>212</v>
      </c>
      <c r="E65" s="1" t="s">
        <v>66</v>
      </c>
      <c r="F65" s="33" t="s">
        <v>215</v>
      </c>
    </row>
    <row r="66" spans="2:6" ht="12.75">
      <c r="B66" s="60" t="s">
        <v>123</v>
      </c>
      <c r="C66" s="1" t="s">
        <v>193</v>
      </c>
      <c r="D66" s="1" t="s">
        <v>203</v>
      </c>
      <c r="E66" s="1" t="s">
        <v>67</v>
      </c>
      <c r="F66" s="33" t="s">
        <v>216</v>
      </c>
    </row>
    <row r="67" spans="2:6" ht="12.75">
      <c r="B67" s="60" t="s">
        <v>145</v>
      </c>
      <c r="C67" s="1" t="s">
        <v>193</v>
      </c>
      <c r="D67" s="1" t="s">
        <v>202</v>
      </c>
      <c r="E67" s="1" t="s">
        <v>66</v>
      </c>
      <c r="F67" s="33" t="s">
        <v>217</v>
      </c>
    </row>
    <row r="68" spans="2:6" ht="12.75">
      <c r="B68" s="60" t="s">
        <v>47</v>
      </c>
      <c r="C68" s="1" t="s">
        <v>193</v>
      </c>
      <c r="D68" s="1" t="s">
        <v>218</v>
      </c>
      <c r="E68" s="1" t="s">
        <v>51</v>
      </c>
      <c r="F68" s="33" t="s">
        <v>219</v>
      </c>
    </row>
    <row r="69" spans="2:6" ht="12.75">
      <c r="B69" s="60" t="s">
        <v>127</v>
      </c>
      <c r="C69" s="1" t="s">
        <v>193</v>
      </c>
      <c r="D69" s="1" t="s">
        <v>203</v>
      </c>
      <c r="E69" s="1" t="s">
        <v>131</v>
      </c>
      <c r="F69" s="33" t="s">
        <v>220</v>
      </c>
    </row>
    <row r="70" spans="2:6" ht="12.75">
      <c r="B70" s="60" t="s">
        <v>53</v>
      </c>
      <c r="C70" s="1" t="s">
        <v>193</v>
      </c>
      <c r="D70" s="1" t="s">
        <v>218</v>
      </c>
      <c r="E70" s="1" t="s">
        <v>56</v>
      </c>
      <c r="F70" s="33" t="s">
        <v>221</v>
      </c>
    </row>
    <row r="71" spans="2:6" ht="12.75">
      <c r="B71" s="60" t="s">
        <v>31</v>
      </c>
      <c r="C71" s="1" t="s">
        <v>193</v>
      </c>
      <c r="D71" s="1" t="s">
        <v>222</v>
      </c>
      <c r="E71" s="1" t="s">
        <v>36</v>
      </c>
      <c r="F71" s="33" t="s">
        <v>223</v>
      </c>
    </row>
    <row r="73" spans="2:3" ht="13.5">
      <c r="B73" s="59" t="s">
        <v>199</v>
      </c>
      <c r="C73" s="15"/>
    </row>
    <row r="74" spans="2:6" ht="13.5">
      <c r="B74" s="16" t="s">
        <v>194</v>
      </c>
      <c r="C74" s="16" t="s">
        <v>195</v>
      </c>
      <c r="D74" s="16" t="s">
        <v>196</v>
      </c>
      <c r="E74" s="16" t="s">
        <v>197</v>
      </c>
      <c r="F74" s="16" t="s">
        <v>198</v>
      </c>
    </row>
    <row r="75" spans="1:6" ht="12.75">
      <c r="A75" s="33" t="s">
        <v>658</v>
      </c>
      <c r="B75" s="60" t="s">
        <v>136</v>
      </c>
      <c r="C75" s="1" t="s">
        <v>224</v>
      </c>
      <c r="D75" s="1" t="s">
        <v>203</v>
      </c>
      <c r="E75" s="1" t="s">
        <v>87</v>
      </c>
      <c r="F75" s="33" t="s">
        <v>225</v>
      </c>
    </row>
    <row r="76" spans="1:6" ht="12.75">
      <c r="A76" s="33" t="s">
        <v>659</v>
      </c>
      <c r="B76" s="60" t="s">
        <v>118</v>
      </c>
      <c r="C76" s="1" t="s">
        <v>226</v>
      </c>
      <c r="D76" s="1" t="s">
        <v>203</v>
      </c>
      <c r="E76" s="1" t="s">
        <v>68</v>
      </c>
      <c r="F76" s="33" t="s">
        <v>227</v>
      </c>
    </row>
    <row r="77" spans="1:6" ht="12.75">
      <c r="A77" s="33" t="s">
        <v>660</v>
      </c>
      <c r="B77" s="60" t="s">
        <v>153</v>
      </c>
      <c r="C77" s="1" t="s">
        <v>200</v>
      </c>
      <c r="D77" s="1" t="s">
        <v>202</v>
      </c>
      <c r="E77" s="1" t="s">
        <v>157</v>
      </c>
      <c r="F77" s="33" t="s">
        <v>228</v>
      </c>
    </row>
    <row r="78" spans="2:6" ht="12.75">
      <c r="B78" s="60" t="s">
        <v>182</v>
      </c>
      <c r="C78" s="1" t="s">
        <v>200</v>
      </c>
      <c r="D78" s="1" t="s">
        <v>204</v>
      </c>
      <c r="E78" s="1" t="s">
        <v>87</v>
      </c>
      <c r="F78" s="33" t="s">
        <v>229</v>
      </c>
    </row>
    <row r="79" spans="2:6" ht="12.75">
      <c r="B79" s="60" t="s">
        <v>187</v>
      </c>
      <c r="C79" s="1" t="s">
        <v>200</v>
      </c>
      <c r="D79" s="1" t="s">
        <v>230</v>
      </c>
      <c r="E79" s="1" t="s">
        <v>126</v>
      </c>
      <c r="F79" s="33" t="s">
        <v>231</v>
      </c>
    </row>
    <row r="80" spans="2:6" ht="12.75">
      <c r="B80" s="60" t="s">
        <v>77</v>
      </c>
      <c r="C80" s="1" t="s">
        <v>232</v>
      </c>
      <c r="D80" s="1" t="s">
        <v>212</v>
      </c>
      <c r="E80" s="1" t="s">
        <v>26</v>
      </c>
      <c r="F80" s="33" t="s">
        <v>233</v>
      </c>
    </row>
    <row r="81" spans="2:6" ht="12.75">
      <c r="B81" s="60" t="s">
        <v>159</v>
      </c>
      <c r="C81" s="1" t="s">
        <v>226</v>
      </c>
      <c r="D81" s="1" t="s">
        <v>202</v>
      </c>
      <c r="E81" s="1" t="s">
        <v>37</v>
      </c>
      <c r="F81" s="33" t="s">
        <v>234</v>
      </c>
    </row>
  </sheetData>
  <sheetProtection/>
  <mergeCells count="19">
    <mergeCell ref="B17:M17"/>
    <mergeCell ref="B22:M22"/>
    <mergeCell ref="B34:M34"/>
    <mergeCell ref="B41:M41"/>
    <mergeCell ref="B47:M47"/>
    <mergeCell ref="N3:N4"/>
    <mergeCell ref="G3:G4"/>
    <mergeCell ref="F3:F4"/>
    <mergeCell ref="B5:M5"/>
    <mergeCell ref="B9:M9"/>
    <mergeCell ref="B13:M13"/>
    <mergeCell ref="E3:E4"/>
    <mergeCell ref="L3:L4"/>
    <mergeCell ref="M3:M4"/>
    <mergeCell ref="B1:N2"/>
    <mergeCell ref="H3:K3"/>
    <mergeCell ref="B3:B4"/>
    <mergeCell ref="C3:C4"/>
    <mergeCell ref="D3:D4"/>
  </mergeCells>
  <printOptions/>
  <pageMargins left="0.19" right="0.47" top="0.45" bottom="0.49" header="0.5" footer="0.5"/>
  <pageSetup fitToHeight="100" fitToWidth="1" horizontalDpi="300" verticalDpi="300" orientation="landscape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F17" sqref="F17"/>
    </sheetView>
  </sheetViews>
  <sheetFormatPr defaultColWidth="8.75390625" defaultRowHeight="12.75"/>
  <cols>
    <col min="1" max="1" width="3.75390625" style="0" customWidth="1"/>
    <col min="2" max="2" width="20.125" style="0" customWidth="1"/>
    <col min="3" max="3" width="28.125" style="0" customWidth="1"/>
    <col min="4" max="4" width="14.00390625" style="0" customWidth="1"/>
    <col min="5" max="5" width="14.375" style="0" customWidth="1"/>
    <col min="6" max="6" width="33.25390625" style="0" customWidth="1"/>
    <col min="7" max="14" width="8.75390625" style="0" customWidth="1"/>
    <col min="15" max="15" width="11.00390625" style="0" customWidth="1"/>
    <col min="16" max="16" width="30.375" style="0" customWidth="1"/>
  </cols>
  <sheetData>
    <row r="1" spans="1:16" ht="12.75">
      <c r="A1" s="33"/>
      <c r="B1" s="147" t="s">
        <v>911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</row>
    <row r="2" spans="1:16" ht="64.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6" ht="13.5">
      <c r="A3" s="2"/>
      <c r="B3" s="153" t="s">
        <v>0</v>
      </c>
      <c r="C3" s="155" t="s">
        <v>9</v>
      </c>
      <c r="D3" s="142" t="s">
        <v>10</v>
      </c>
      <c r="E3" s="142" t="s">
        <v>7</v>
      </c>
      <c r="F3" s="142" t="s">
        <v>663</v>
      </c>
      <c r="G3" s="142" t="s">
        <v>912</v>
      </c>
      <c r="H3" s="142"/>
      <c r="I3" s="142"/>
      <c r="J3" s="142"/>
      <c r="K3" s="142"/>
      <c r="L3" s="142"/>
      <c r="M3" s="142"/>
      <c r="N3" s="142"/>
      <c r="O3" s="142" t="s">
        <v>661</v>
      </c>
      <c r="P3" s="144" t="s">
        <v>5</v>
      </c>
    </row>
    <row r="4" spans="1:16" ht="15" thickBot="1">
      <c r="A4" s="2"/>
      <c r="B4" s="154"/>
      <c r="C4" s="143"/>
      <c r="D4" s="143"/>
      <c r="E4" s="143"/>
      <c r="F4" s="143"/>
      <c r="G4" s="32">
        <v>1</v>
      </c>
      <c r="H4" s="32">
        <v>2</v>
      </c>
      <c r="I4" s="32">
        <v>3</v>
      </c>
      <c r="J4" s="32" t="s">
        <v>843</v>
      </c>
      <c r="K4" s="32" t="s">
        <v>844</v>
      </c>
      <c r="L4" s="32" t="s">
        <v>797</v>
      </c>
      <c r="M4" s="32" t="s">
        <v>845</v>
      </c>
      <c r="N4" s="32" t="s">
        <v>846</v>
      </c>
      <c r="O4" s="143"/>
      <c r="P4" s="145"/>
    </row>
    <row r="5" spans="1:16" ht="15.75">
      <c r="A5" s="34"/>
      <c r="B5" s="156" t="s">
        <v>913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7"/>
    </row>
    <row r="6" spans="1:16" ht="12.75">
      <c r="A6" s="34">
        <v>1</v>
      </c>
      <c r="B6" s="18" t="s">
        <v>13</v>
      </c>
      <c r="C6" s="18" t="s">
        <v>14</v>
      </c>
      <c r="D6" s="102" t="s">
        <v>15</v>
      </c>
      <c r="E6" s="18" t="s">
        <v>685</v>
      </c>
      <c r="F6" s="18" t="s">
        <v>666</v>
      </c>
      <c r="G6" s="37" t="s">
        <v>914</v>
      </c>
      <c r="H6" s="37" t="s">
        <v>915</v>
      </c>
      <c r="I6" s="37" t="s">
        <v>916</v>
      </c>
      <c r="J6" s="37" t="s">
        <v>917</v>
      </c>
      <c r="K6" s="38" t="s">
        <v>918</v>
      </c>
      <c r="L6" s="94"/>
      <c r="M6" s="94"/>
      <c r="N6" s="94"/>
      <c r="O6" s="84">
        <v>22.5</v>
      </c>
      <c r="P6" s="18" t="s">
        <v>669</v>
      </c>
    </row>
    <row r="7" spans="1:16" ht="12.75">
      <c r="A7" s="34">
        <v>2</v>
      </c>
      <c r="B7" s="18" t="s">
        <v>919</v>
      </c>
      <c r="C7" s="18" t="s">
        <v>920</v>
      </c>
      <c r="D7" s="102" t="s">
        <v>921</v>
      </c>
      <c r="E7" s="18" t="s">
        <v>685</v>
      </c>
      <c r="F7" s="18" t="s">
        <v>922</v>
      </c>
      <c r="G7" s="37" t="s">
        <v>923</v>
      </c>
      <c r="H7" s="37" t="s">
        <v>924</v>
      </c>
      <c r="I7" s="37" t="s">
        <v>925</v>
      </c>
      <c r="J7" s="37" t="s">
        <v>914</v>
      </c>
      <c r="K7" s="37" t="s">
        <v>926</v>
      </c>
      <c r="L7" s="38" t="s">
        <v>915</v>
      </c>
      <c r="M7" s="94"/>
      <c r="N7" s="94"/>
      <c r="O7" s="84">
        <v>18.75</v>
      </c>
      <c r="P7" s="18" t="s">
        <v>927</v>
      </c>
    </row>
    <row r="8" spans="1:16" ht="12.75">
      <c r="A8" s="34"/>
      <c r="B8" s="17"/>
      <c r="C8" s="17"/>
      <c r="D8" s="17"/>
      <c r="E8" s="17"/>
      <c r="F8" s="17"/>
      <c r="G8" s="27"/>
      <c r="H8" s="27"/>
      <c r="I8" s="27"/>
      <c r="J8" s="27"/>
      <c r="K8" s="27"/>
      <c r="L8" s="27"/>
      <c r="M8" s="27"/>
      <c r="N8" s="27"/>
      <c r="O8" s="36"/>
      <c r="P8" s="17"/>
    </row>
    <row r="9" spans="1:16" ht="15.75">
      <c r="A9" s="34"/>
      <c r="B9" s="146" t="s">
        <v>928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7"/>
    </row>
    <row r="10" spans="1:16" ht="12.75">
      <c r="A10" s="34">
        <v>1</v>
      </c>
      <c r="B10" s="28" t="s">
        <v>927</v>
      </c>
      <c r="C10" s="28" t="s">
        <v>929</v>
      </c>
      <c r="D10" s="103" t="s">
        <v>930</v>
      </c>
      <c r="E10" s="28" t="s">
        <v>685</v>
      </c>
      <c r="F10" s="18" t="s">
        <v>922</v>
      </c>
      <c r="G10" s="40" t="s">
        <v>914</v>
      </c>
      <c r="H10" s="40" t="s">
        <v>917</v>
      </c>
      <c r="I10" s="40" t="s">
        <v>519</v>
      </c>
      <c r="J10" s="40" t="s">
        <v>931</v>
      </c>
      <c r="K10" s="40" t="s">
        <v>520</v>
      </c>
      <c r="L10" s="40" t="s">
        <v>932</v>
      </c>
      <c r="M10" s="39" t="s">
        <v>262</v>
      </c>
      <c r="N10" s="96"/>
      <c r="O10" s="87">
        <v>31.25</v>
      </c>
      <c r="P10" s="28" t="s">
        <v>933</v>
      </c>
    </row>
    <row r="11" spans="1:16" ht="12.75">
      <c r="A11" s="34">
        <v>2</v>
      </c>
      <c r="B11" s="18" t="s">
        <v>874</v>
      </c>
      <c r="C11" s="18" t="s">
        <v>875</v>
      </c>
      <c r="D11" s="102" t="s">
        <v>876</v>
      </c>
      <c r="E11" s="18" t="s">
        <v>685</v>
      </c>
      <c r="F11" s="12" t="s">
        <v>877</v>
      </c>
      <c r="G11" s="37" t="s">
        <v>914</v>
      </c>
      <c r="H11" s="37" t="s">
        <v>915</v>
      </c>
      <c r="I11" s="37" t="s">
        <v>917</v>
      </c>
      <c r="J11" s="38" t="s">
        <v>519</v>
      </c>
      <c r="K11" s="38"/>
      <c r="L11" s="94"/>
      <c r="M11" s="94"/>
      <c r="N11" s="94"/>
      <c r="O11" s="84">
        <v>22.5</v>
      </c>
      <c r="P11" s="18" t="s">
        <v>81</v>
      </c>
    </row>
    <row r="12" spans="1:16" ht="12.75">
      <c r="A12" s="34">
        <v>3</v>
      </c>
      <c r="B12" s="31" t="s">
        <v>865</v>
      </c>
      <c r="C12" s="6" t="s">
        <v>866</v>
      </c>
      <c r="D12" s="5" t="s">
        <v>867</v>
      </c>
      <c r="E12" s="6" t="s">
        <v>16</v>
      </c>
      <c r="F12" s="6" t="s">
        <v>864</v>
      </c>
      <c r="G12" s="42" t="s">
        <v>914</v>
      </c>
      <c r="H12" s="42" t="s">
        <v>915</v>
      </c>
      <c r="I12" s="42" t="s">
        <v>916</v>
      </c>
      <c r="J12" s="41" t="s">
        <v>917</v>
      </c>
      <c r="K12" s="101"/>
      <c r="L12" s="101"/>
      <c r="M12" s="101"/>
      <c r="N12" s="101"/>
      <c r="O12" s="88">
        <v>21.25</v>
      </c>
      <c r="P12" s="31" t="s">
        <v>81</v>
      </c>
    </row>
    <row r="13" spans="1:16" ht="12.75">
      <c r="A13" s="34">
        <v>4</v>
      </c>
      <c r="B13" s="18" t="s">
        <v>853</v>
      </c>
      <c r="C13" s="18" t="s">
        <v>854</v>
      </c>
      <c r="D13" s="102" t="s">
        <v>626</v>
      </c>
      <c r="E13" s="18" t="s">
        <v>851</v>
      </c>
      <c r="F13" s="18" t="s">
        <v>247</v>
      </c>
      <c r="G13" s="42" t="s">
        <v>914</v>
      </c>
      <c r="H13" s="42" t="s">
        <v>915</v>
      </c>
      <c r="I13" s="41" t="s">
        <v>917</v>
      </c>
      <c r="J13" s="37"/>
      <c r="K13" s="37"/>
      <c r="L13" s="37"/>
      <c r="M13" s="94"/>
      <c r="N13" s="94"/>
      <c r="O13" s="84">
        <v>20</v>
      </c>
      <c r="P13" s="18" t="s">
        <v>81</v>
      </c>
    </row>
  </sheetData>
  <sheetProtection/>
  <mergeCells count="12">
    <mergeCell ref="B1:P2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B5:O5"/>
    <mergeCell ref="B9:O9"/>
  </mergeCells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B9" sqref="B9:D9"/>
    </sheetView>
  </sheetViews>
  <sheetFormatPr defaultColWidth="8.75390625" defaultRowHeight="12.75"/>
  <cols>
    <col min="1" max="1" width="5.125" style="34" customWidth="1"/>
    <col min="2" max="2" width="22.125" style="17" customWidth="1"/>
    <col min="3" max="3" width="28.625" style="17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32.875" style="17" customWidth="1"/>
    <col min="8" max="10" width="5.625" style="17" bestFit="1" customWidth="1"/>
    <col min="11" max="11" width="4.625" style="17" bestFit="1" customWidth="1"/>
    <col min="12" max="12" width="12.625" style="36" customWidth="1"/>
    <col min="13" max="13" width="8.625" style="17" bestFit="1" customWidth="1"/>
    <col min="14" max="14" width="18.375" style="17" customWidth="1"/>
  </cols>
  <sheetData>
    <row r="1" spans="1:14" s="1" customFormat="1" ht="15" customHeight="1">
      <c r="A1" s="33"/>
      <c r="B1" s="147" t="s">
        <v>690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4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1</v>
      </c>
      <c r="I3" s="142"/>
      <c r="J3" s="142"/>
      <c r="K3" s="142"/>
      <c r="L3" s="142" t="s">
        <v>661</v>
      </c>
      <c r="M3" s="142" t="s">
        <v>6</v>
      </c>
      <c r="N3" s="144" t="s">
        <v>5</v>
      </c>
    </row>
    <row r="4" spans="2:14" s="2" customFormat="1" ht="33.75" customHeight="1" thickBot="1">
      <c r="B4" s="154"/>
      <c r="C4" s="143"/>
      <c r="D4" s="143"/>
      <c r="E4" s="143"/>
      <c r="F4" s="143"/>
      <c r="G4" s="143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5"/>
    </row>
    <row r="5" spans="2:13" ht="15.75">
      <c r="B5" s="156" t="s">
        <v>560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34">
        <v>1</v>
      </c>
      <c r="B6" s="18" t="s">
        <v>561</v>
      </c>
      <c r="C6" s="18" t="s">
        <v>562</v>
      </c>
      <c r="D6" s="18" t="s">
        <v>563</v>
      </c>
      <c r="E6" s="18" t="str">
        <f>"1,2846"</f>
        <v>1,2846</v>
      </c>
      <c r="F6" s="18" t="s">
        <v>691</v>
      </c>
      <c r="G6" s="18" t="s">
        <v>564</v>
      </c>
      <c r="H6" s="37" t="s">
        <v>255</v>
      </c>
      <c r="I6" s="37" t="s">
        <v>256</v>
      </c>
      <c r="J6" s="38" t="s">
        <v>361</v>
      </c>
      <c r="K6" s="19"/>
      <c r="L6" s="84">
        <v>75</v>
      </c>
      <c r="M6" s="18" t="str">
        <f>"96,3450"</f>
        <v>96,3450</v>
      </c>
      <c r="N6" s="18" t="s">
        <v>621</v>
      </c>
    </row>
    <row r="8" spans="2:13" ht="15.75">
      <c r="B8" s="146" t="s">
        <v>82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4" ht="12.75">
      <c r="A9" s="34">
        <v>1</v>
      </c>
      <c r="B9" s="28" t="s">
        <v>650</v>
      </c>
      <c r="C9" s="28" t="s">
        <v>651</v>
      </c>
      <c r="D9" s="28" t="s">
        <v>589</v>
      </c>
      <c r="E9" s="28" t="str">
        <f>"0,6121"</f>
        <v>0,6121</v>
      </c>
      <c r="F9" s="18" t="s">
        <v>691</v>
      </c>
      <c r="G9" s="28" t="s">
        <v>564</v>
      </c>
      <c r="H9" s="39" t="s">
        <v>66</v>
      </c>
      <c r="I9" s="40" t="s">
        <v>68</v>
      </c>
      <c r="J9" s="39" t="s">
        <v>108</v>
      </c>
      <c r="K9" s="29"/>
      <c r="L9" s="87">
        <v>180</v>
      </c>
      <c r="M9" s="28" t="str">
        <f>"110,1780"</f>
        <v>110,1780</v>
      </c>
      <c r="N9" s="18" t="s">
        <v>621</v>
      </c>
    </row>
    <row r="10" spans="1:14" ht="12.75">
      <c r="A10" s="34">
        <v>1</v>
      </c>
      <c r="B10" s="18" t="s">
        <v>650</v>
      </c>
      <c r="C10" s="18" t="s">
        <v>652</v>
      </c>
      <c r="D10" s="18" t="s">
        <v>589</v>
      </c>
      <c r="E10" s="18" t="str">
        <f>"0,6121"</f>
        <v>0,6121</v>
      </c>
      <c r="F10" s="18" t="s">
        <v>691</v>
      </c>
      <c r="G10" s="18" t="s">
        <v>564</v>
      </c>
      <c r="H10" s="38" t="s">
        <v>66</v>
      </c>
      <c r="I10" s="37" t="s">
        <v>68</v>
      </c>
      <c r="J10" s="38" t="s">
        <v>108</v>
      </c>
      <c r="K10" s="19"/>
      <c r="L10" s="84">
        <v>180</v>
      </c>
      <c r="M10" s="18" t="str">
        <f>"110,1780"</f>
        <v>110,1780</v>
      </c>
      <c r="N10" s="18" t="s">
        <v>621</v>
      </c>
    </row>
    <row r="12" spans="2:13" ht="15.75">
      <c r="B12" s="146" t="s">
        <v>140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</row>
    <row r="13" spans="1:14" ht="12.75">
      <c r="A13" s="34">
        <v>1</v>
      </c>
      <c r="B13" s="18" t="s">
        <v>653</v>
      </c>
      <c r="C13" s="18" t="s">
        <v>654</v>
      </c>
      <c r="D13" s="18" t="s">
        <v>388</v>
      </c>
      <c r="E13" s="18" t="str">
        <f>"0,6026"</f>
        <v>0,6026</v>
      </c>
      <c r="F13" s="18" t="s">
        <v>16</v>
      </c>
      <c r="G13" s="18" t="s">
        <v>683</v>
      </c>
      <c r="H13" s="37" t="s">
        <v>68</v>
      </c>
      <c r="I13" s="37" t="s">
        <v>87</v>
      </c>
      <c r="J13" s="38" t="s">
        <v>42</v>
      </c>
      <c r="K13" s="19"/>
      <c r="L13" s="84">
        <v>190</v>
      </c>
      <c r="M13" s="18" t="str">
        <f>"114,4940"</f>
        <v>114,4940</v>
      </c>
      <c r="N13" s="18" t="s">
        <v>413</v>
      </c>
    </row>
  </sheetData>
  <sheetProtection/>
  <mergeCells count="14">
    <mergeCell ref="G3:G4"/>
    <mergeCell ref="H3:K3"/>
    <mergeCell ref="L3:L4"/>
    <mergeCell ref="M3:M4"/>
    <mergeCell ref="N3:N4"/>
    <mergeCell ref="B5:M5"/>
    <mergeCell ref="B8:M8"/>
    <mergeCell ref="B12:M12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J14" sqref="J14"/>
    </sheetView>
  </sheetViews>
  <sheetFormatPr defaultColWidth="8.75390625" defaultRowHeight="12.75"/>
  <cols>
    <col min="1" max="1" width="4.375" style="34" customWidth="1"/>
    <col min="2" max="2" width="23.75390625" style="17" customWidth="1"/>
    <col min="3" max="3" width="26.75390625" style="17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33.625" style="17" bestFit="1" customWidth="1"/>
    <col min="8" max="10" width="5.625" style="17" bestFit="1" customWidth="1"/>
    <col min="11" max="11" width="4.625" style="17" bestFit="1" customWidth="1"/>
    <col min="12" max="12" width="11.625" style="17" customWidth="1"/>
    <col min="13" max="13" width="8.625" style="17" bestFit="1" customWidth="1"/>
    <col min="14" max="14" width="16.375" style="17" customWidth="1"/>
  </cols>
  <sheetData>
    <row r="1" spans="1:14" s="1" customFormat="1" ht="15" customHeight="1">
      <c r="A1" s="33"/>
      <c r="B1" s="147" t="s">
        <v>692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4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1</v>
      </c>
      <c r="I3" s="142"/>
      <c r="J3" s="142"/>
      <c r="K3" s="142"/>
      <c r="L3" s="142" t="s">
        <v>661</v>
      </c>
      <c r="M3" s="142" t="s">
        <v>6</v>
      </c>
      <c r="N3" s="144" t="s">
        <v>5</v>
      </c>
    </row>
    <row r="4" spans="2:14" s="2" customFormat="1" ht="33.75" customHeight="1" thickBot="1">
      <c r="B4" s="154"/>
      <c r="C4" s="143"/>
      <c r="D4" s="143"/>
      <c r="E4" s="143"/>
      <c r="F4" s="143"/>
      <c r="G4" s="143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5"/>
    </row>
    <row r="5" spans="2:13" ht="15.75">
      <c r="B5" s="156" t="s">
        <v>140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34">
        <v>1</v>
      </c>
      <c r="B6" s="18" t="s">
        <v>590</v>
      </c>
      <c r="C6" s="18" t="s">
        <v>591</v>
      </c>
      <c r="D6" s="18" t="s">
        <v>592</v>
      </c>
      <c r="E6" s="18" t="str">
        <f>"0,6039"</f>
        <v>0,6039</v>
      </c>
      <c r="F6" s="18" t="s">
        <v>693</v>
      </c>
      <c r="G6" s="18" t="s">
        <v>374</v>
      </c>
      <c r="H6" s="37" t="s">
        <v>445</v>
      </c>
      <c r="I6" s="37" t="s">
        <v>543</v>
      </c>
      <c r="J6" s="37" t="s">
        <v>649</v>
      </c>
      <c r="K6" s="43"/>
      <c r="L6" s="84">
        <v>277.5</v>
      </c>
      <c r="M6" s="18" t="str">
        <f>"167,5823"</f>
        <v>167,5823</v>
      </c>
      <c r="N6" s="18" t="s">
        <v>670</v>
      </c>
    </row>
  </sheetData>
  <sheetProtection/>
  <mergeCells count="1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B6" sqref="B6:D6"/>
    </sheetView>
  </sheetViews>
  <sheetFormatPr defaultColWidth="8.75390625" defaultRowHeight="12.75"/>
  <cols>
    <col min="1" max="1" width="4.125" style="34" customWidth="1"/>
    <col min="2" max="2" width="23.875" style="17" customWidth="1"/>
    <col min="3" max="3" width="26.875" style="17" bestFit="1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27.875" style="17" bestFit="1" customWidth="1"/>
    <col min="8" max="10" width="5.625" style="17" bestFit="1" customWidth="1"/>
    <col min="11" max="11" width="4.625" style="17" bestFit="1" customWidth="1"/>
    <col min="12" max="14" width="5.625" style="17" bestFit="1" customWidth="1"/>
    <col min="15" max="15" width="4.625" style="17" bestFit="1" customWidth="1"/>
    <col min="16" max="16" width="7.875" style="17" bestFit="1" customWidth="1"/>
    <col min="17" max="17" width="8.625" style="17" bestFit="1" customWidth="1"/>
    <col min="18" max="18" width="16.875" style="17" bestFit="1" customWidth="1"/>
  </cols>
  <sheetData>
    <row r="1" spans="1:18" s="1" customFormat="1" ht="15" customHeight="1">
      <c r="A1" s="33"/>
      <c r="B1" s="147" t="s">
        <v>711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</row>
    <row r="2" spans="1:18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2"/>
    </row>
    <row r="3" spans="2:18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2</v>
      </c>
      <c r="I3" s="142"/>
      <c r="J3" s="142"/>
      <c r="K3" s="142"/>
      <c r="L3" s="142" t="s">
        <v>3</v>
      </c>
      <c r="M3" s="142"/>
      <c r="N3" s="142"/>
      <c r="O3" s="142"/>
      <c r="P3" s="142" t="s">
        <v>4</v>
      </c>
      <c r="Q3" s="142" t="s">
        <v>6</v>
      </c>
      <c r="R3" s="144" t="s">
        <v>5</v>
      </c>
    </row>
    <row r="4" spans="2:18" s="2" customFormat="1" ht="33.75" customHeight="1" thickBot="1">
      <c r="B4" s="154"/>
      <c r="C4" s="143"/>
      <c r="D4" s="143"/>
      <c r="E4" s="143"/>
      <c r="F4" s="143"/>
      <c r="G4" s="143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43"/>
      <c r="Q4" s="143"/>
      <c r="R4" s="145"/>
    </row>
    <row r="5" spans="2:17" ht="15.75">
      <c r="B5" s="156" t="s">
        <v>46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8" ht="12.75">
      <c r="A6" s="34">
        <v>1</v>
      </c>
      <c r="B6" s="28" t="s">
        <v>621</v>
      </c>
      <c r="C6" s="28" t="s">
        <v>622</v>
      </c>
      <c r="D6" s="28" t="s">
        <v>623</v>
      </c>
      <c r="E6" s="28" t="str">
        <f>"0,6724"</f>
        <v>0,6724</v>
      </c>
      <c r="F6" s="28" t="s">
        <v>691</v>
      </c>
      <c r="G6" s="28" t="s">
        <v>564</v>
      </c>
      <c r="H6" s="40" t="s">
        <v>26</v>
      </c>
      <c r="I6" s="40" t="s">
        <v>275</v>
      </c>
      <c r="J6" s="39" t="s">
        <v>19</v>
      </c>
      <c r="K6" s="44"/>
      <c r="L6" s="40" t="s">
        <v>87</v>
      </c>
      <c r="M6" s="40" t="s">
        <v>110</v>
      </c>
      <c r="N6" s="39" t="s">
        <v>642</v>
      </c>
      <c r="O6" s="44"/>
      <c r="P6" s="87">
        <v>335</v>
      </c>
      <c r="Q6" s="28" t="str">
        <f>"226,3803"</f>
        <v>226,3803</v>
      </c>
      <c r="R6" s="28" t="s">
        <v>81</v>
      </c>
    </row>
    <row r="7" spans="2:18" ht="12.75">
      <c r="B7" s="18" t="s">
        <v>643</v>
      </c>
      <c r="C7" s="18" t="s">
        <v>622</v>
      </c>
      <c r="D7" s="18" t="s">
        <v>623</v>
      </c>
      <c r="E7" s="18" t="str">
        <f>"0,6724"</f>
        <v>0,6724</v>
      </c>
      <c r="F7" s="18" t="s">
        <v>685</v>
      </c>
      <c r="G7" s="18" t="s">
        <v>644</v>
      </c>
      <c r="H7" s="38" t="s">
        <v>26</v>
      </c>
      <c r="I7" s="38" t="s">
        <v>26</v>
      </c>
      <c r="J7" s="43"/>
      <c r="K7" s="43"/>
      <c r="L7" s="38" t="s">
        <v>87</v>
      </c>
      <c r="M7" s="43"/>
      <c r="N7" s="43"/>
      <c r="O7" s="43"/>
      <c r="P7" s="84">
        <v>0</v>
      </c>
      <c r="Q7" s="18" t="str">
        <f>"0,0000"</f>
        <v>0,0000</v>
      </c>
      <c r="R7" s="18" t="s">
        <v>645</v>
      </c>
    </row>
    <row r="9" spans="2:17" ht="15.75">
      <c r="B9" s="146" t="s">
        <v>140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</row>
    <row r="10" spans="1:18" ht="12.75">
      <c r="A10" s="34">
        <v>1</v>
      </c>
      <c r="B10" s="18" t="s">
        <v>646</v>
      </c>
      <c r="C10" s="18" t="s">
        <v>647</v>
      </c>
      <c r="D10" s="18" t="s">
        <v>648</v>
      </c>
      <c r="E10" s="18" t="str">
        <f>"0,6015"</f>
        <v>0,6015</v>
      </c>
      <c r="F10" s="18" t="s">
        <v>691</v>
      </c>
      <c r="G10" s="18" t="s">
        <v>564</v>
      </c>
      <c r="H10" s="37" t="s">
        <v>131</v>
      </c>
      <c r="I10" s="37" t="s">
        <v>279</v>
      </c>
      <c r="J10" s="37" t="s">
        <v>366</v>
      </c>
      <c r="K10" s="43"/>
      <c r="L10" s="37" t="s">
        <v>110</v>
      </c>
      <c r="M10" s="37" t="s">
        <v>96</v>
      </c>
      <c r="N10" s="37" t="s">
        <v>382</v>
      </c>
      <c r="O10" s="43"/>
      <c r="P10" s="84">
        <v>400</v>
      </c>
      <c r="Q10" s="18" t="str">
        <f>"240,6000"</f>
        <v>240,6000</v>
      </c>
      <c r="R10" s="18" t="s">
        <v>670</v>
      </c>
    </row>
  </sheetData>
  <sheetProtection/>
  <mergeCells count="14">
    <mergeCell ref="H3:K3"/>
    <mergeCell ref="L3:O3"/>
    <mergeCell ref="P3:P4"/>
    <mergeCell ref="Q3:Q4"/>
    <mergeCell ref="R3:R4"/>
    <mergeCell ref="B5:Q5"/>
    <mergeCell ref="B9:Q9"/>
    <mergeCell ref="B1:R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20" sqref="I20"/>
    </sheetView>
  </sheetViews>
  <sheetFormatPr defaultColWidth="8.75390625" defaultRowHeight="12.75"/>
  <cols>
    <col min="1" max="1" width="3.125" style="34" customWidth="1"/>
    <col min="2" max="2" width="20.75390625" style="17" customWidth="1"/>
    <col min="3" max="3" width="27.25390625" style="17" customWidth="1"/>
    <col min="4" max="4" width="13.375" style="17" bestFit="1" customWidth="1"/>
    <col min="5" max="5" width="8.375" style="17" bestFit="1" customWidth="1"/>
    <col min="6" max="6" width="25.625" style="17" customWidth="1"/>
    <col min="7" max="7" width="32.625" style="17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4.625" style="27" bestFit="1" customWidth="1"/>
    <col min="16" max="16" width="7.875" style="36" bestFit="1" customWidth="1"/>
    <col min="17" max="17" width="8.625" style="17" bestFit="1" customWidth="1"/>
    <col min="18" max="18" width="37.875" style="17" customWidth="1"/>
  </cols>
  <sheetData>
    <row r="1" spans="1:18" s="1" customFormat="1" ht="15" customHeight="1">
      <c r="A1" s="33"/>
      <c r="B1" s="147" t="s">
        <v>710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</row>
    <row r="2" spans="1:18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2"/>
    </row>
    <row r="3" spans="2:18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2</v>
      </c>
      <c r="I3" s="142"/>
      <c r="J3" s="142"/>
      <c r="K3" s="142"/>
      <c r="L3" s="142" t="s">
        <v>3</v>
      </c>
      <c r="M3" s="142"/>
      <c r="N3" s="142"/>
      <c r="O3" s="142"/>
      <c r="P3" s="142" t="s">
        <v>4</v>
      </c>
      <c r="Q3" s="142" t="s">
        <v>6</v>
      </c>
      <c r="R3" s="144" t="s">
        <v>5</v>
      </c>
    </row>
    <row r="4" spans="2:18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143"/>
      <c r="Q4" s="143"/>
      <c r="R4" s="145"/>
    </row>
    <row r="5" spans="2:17" ht="15.75">
      <c r="B5" s="156" t="s">
        <v>560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8" ht="12.75">
      <c r="A6" s="34">
        <v>1</v>
      </c>
      <c r="B6" s="18" t="s">
        <v>581</v>
      </c>
      <c r="C6" s="18" t="s">
        <v>582</v>
      </c>
      <c r="D6" s="18" t="s">
        <v>583</v>
      </c>
      <c r="E6" s="18" t="str">
        <f>"1,2466"</f>
        <v>1,2466</v>
      </c>
      <c r="F6" s="18" t="s">
        <v>677</v>
      </c>
      <c r="G6" s="18" t="s">
        <v>584</v>
      </c>
      <c r="H6" s="37" t="s">
        <v>255</v>
      </c>
      <c r="I6" s="37" t="s">
        <v>256</v>
      </c>
      <c r="J6" s="37" t="s">
        <v>522</v>
      </c>
      <c r="K6" s="46"/>
      <c r="L6" s="37" t="s">
        <v>132</v>
      </c>
      <c r="M6" s="37" t="s">
        <v>320</v>
      </c>
      <c r="N6" s="38" t="s">
        <v>67</v>
      </c>
      <c r="O6" s="43"/>
      <c r="P6" s="84">
        <v>245</v>
      </c>
      <c r="Q6" s="18" t="str">
        <f>"305,4170"</f>
        <v>305,4170</v>
      </c>
      <c r="R6" s="18" t="s">
        <v>699</v>
      </c>
    </row>
    <row r="8" spans="2:17" ht="15.75">
      <c r="B8" s="146" t="s">
        <v>46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8" ht="12.75">
      <c r="A9" s="34">
        <v>1</v>
      </c>
      <c r="B9" s="18" t="s">
        <v>585</v>
      </c>
      <c r="C9" s="18" t="s">
        <v>586</v>
      </c>
      <c r="D9" s="18" t="s">
        <v>372</v>
      </c>
      <c r="E9" s="18" t="str">
        <f>"0,6699"</f>
        <v>0,6699</v>
      </c>
      <c r="F9" s="18" t="s">
        <v>677</v>
      </c>
      <c r="G9" s="18" t="s">
        <v>584</v>
      </c>
      <c r="H9" s="37" t="s">
        <v>126</v>
      </c>
      <c r="I9" s="37" t="s">
        <v>157</v>
      </c>
      <c r="J9" s="38" t="s">
        <v>185</v>
      </c>
      <c r="K9" s="43"/>
      <c r="L9" s="37" t="s">
        <v>243</v>
      </c>
      <c r="M9" s="38" t="s">
        <v>394</v>
      </c>
      <c r="N9" s="43"/>
      <c r="O9" s="43"/>
      <c r="P9" s="84">
        <v>477.5</v>
      </c>
      <c r="Q9" s="18" t="str">
        <f>"319,8773"</f>
        <v>319,8773</v>
      </c>
      <c r="R9" s="18" t="s">
        <v>700</v>
      </c>
    </row>
    <row r="11" spans="2:17" ht="15.75">
      <c r="B11" s="146" t="s">
        <v>60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1:18" ht="12.75">
      <c r="A12" s="34">
        <v>1</v>
      </c>
      <c r="B12" s="18" t="s">
        <v>551</v>
      </c>
      <c r="C12" s="18" t="s">
        <v>552</v>
      </c>
      <c r="D12" s="18" t="s">
        <v>553</v>
      </c>
      <c r="E12" s="18" t="str">
        <f>"0,6421"</f>
        <v>0,6421</v>
      </c>
      <c r="F12" s="18" t="s">
        <v>373</v>
      </c>
      <c r="G12" s="18" t="s">
        <v>374</v>
      </c>
      <c r="H12" s="37" t="s">
        <v>126</v>
      </c>
      <c r="I12" s="38" t="s">
        <v>157</v>
      </c>
      <c r="J12" s="38" t="s">
        <v>157</v>
      </c>
      <c r="K12" s="43"/>
      <c r="L12" s="37" t="s">
        <v>180</v>
      </c>
      <c r="M12" s="37" t="s">
        <v>167</v>
      </c>
      <c r="N12" s="37" t="s">
        <v>169</v>
      </c>
      <c r="O12" s="43"/>
      <c r="P12" s="84">
        <v>435</v>
      </c>
      <c r="Q12" s="18" t="str">
        <f>"279,3135"</f>
        <v>279,3135</v>
      </c>
      <c r="R12" s="18" t="s">
        <v>590</v>
      </c>
    </row>
  </sheetData>
  <sheetProtection/>
  <mergeCells count="15">
    <mergeCell ref="H3:K3"/>
    <mergeCell ref="L3:O3"/>
    <mergeCell ref="P3:P4"/>
    <mergeCell ref="Q3:Q4"/>
    <mergeCell ref="R3:R4"/>
    <mergeCell ref="B5:Q5"/>
    <mergeCell ref="B8:Q8"/>
    <mergeCell ref="B11:Q11"/>
    <mergeCell ref="B1:R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F12" sqref="F12"/>
    </sheetView>
  </sheetViews>
  <sheetFormatPr defaultColWidth="8.75390625" defaultRowHeight="12.75"/>
  <cols>
    <col min="1" max="1" width="5.25390625" style="34" customWidth="1"/>
    <col min="2" max="2" width="20.125" style="17" customWidth="1"/>
    <col min="3" max="3" width="28.375" style="17" customWidth="1"/>
    <col min="4" max="4" width="13.375" style="17" bestFit="1" customWidth="1"/>
    <col min="5" max="5" width="8.375" style="17" bestFit="1" customWidth="1"/>
    <col min="6" max="6" width="33.75390625" style="17" customWidth="1"/>
    <col min="7" max="7" width="25.625" style="17" bestFit="1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5.125" style="27" customWidth="1"/>
    <col min="16" max="18" width="5.625" style="27" bestFit="1" customWidth="1"/>
    <col min="19" max="19" width="4.625" style="27" bestFit="1" customWidth="1"/>
    <col min="20" max="20" width="7.875" style="36" bestFit="1" customWidth="1"/>
    <col min="21" max="21" width="8.625" style="17" bestFit="1" customWidth="1"/>
    <col min="22" max="22" width="16.125" style="17" customWidth="1"/>
  </cols>
  <sheetData>
    <row r="1" spans="1:22" s="1" customFormat="1" ht="15" customHeight="1">
      <c r="A1" s="33"/>
      <c r="B1" s="147" t="s">
        <v>672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</row>
    <row r="2" spans="1:22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</row>
    <row r="3" spans="2:22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1</v>
      </c>
      <c r="I3" s="142"/>
      <c r="J3" s="142"/>
      <c r="K3" s="142"/>
      <c r="L3" s="142" t="s">
        <v>2</v>
      </c>
      <c r="M3" s="142"/>
      <c r="N3" s="142"/>
      <c r="O3" s="142"/>
      <c r="P3" s="142" t="s">
        <v>3</v>
      </c>
      <c r="Q3" s="142"/>
      <c r="R3" s="142"/>
      <c r="S3" s="142"/>
      <c r="T3" s="142" t="s">
        <v>4</v>
      </c>
      <c r="U3" s="142" t="s">
        <v>6</v>
      </c>
      <c r="V3" s="144" t="s">
        <v>5</v>
      </c>
    </row>
    <row r="4" spans="2:22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32">
        <v>1</v>
      </c>
      <c r="Q4" s="32">
        <v>2</v>
      </c>
      <c r="R4" s="32">
        <v>3</v>
      </c>
      <c r="S4" s="32" t="s">
        <v>8</v>
      </c>
      <c r="T4" s="143"/>
      <c r="U4" s="143"/>
      <c r="V4" s="145"/>
    </row>
    <row r="5" spans="2:21" ht="15.75">
      <c r="B5" s="156" t="s">
        <v>46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2" ht="12.75">
      <c r="A6" s="34">
        <v>1</v>
      </c>
      <c r="B6" s="18" t="s">
        <v>235</v>
      </c>
      <c r="C6" s="18" t="s">
        <v>236</v>
      </c>
      <c r="D6" s="18" t="s">
        <v>237</v>
      </c>
      <c r="E6" s="18" t="str">
        <f>"0,6816"</f>
        <v>0,6816</v>
      </c>
      <c r="F6" s="18" t="s">
        <v>673</v>
      </c>
      <c r="G6" s="18" t="s">
        <v>238</v>
      </c>
      <c r="H6" s="37" t="s">
        <v>239</v>
      </c>
      <c r="I6" s="37" t="s">
        <v>240</v>
      </c>
      <c r="J6" s="37" t="s">
        <v>241</v>
      </c>
      <c r="K6" s="43"/>
      <c r="L6" s="37" t="s">
        <v>108</v>
      </c>
      <c r="M6" s="37" t="s">
        <v>93</v>
      </c>
      <c r="N6" s="37" t="s">
        <v>180</v>
      </c>
      <c r="O6" s="43"/>
      <c r="P6" s="37" t="s">
        <v>169</v>
      </c>
      <c r="Q6" s="37" t="s">
        <v>242</v>
      </c>
      <c r="R6" s="38" t="s">
        <v>243</v>
      </c>
      <c r="S6" s="43"/>
      <c r="T6" s="84">
        <v>845</v>
      </c>
      <c r="U6" s="18" t="str">
        <f>"575,9520"</f>
        <v>575,9520</v>
      </c>
      <c r="V6" s="18" t="s">
        <v>81</v>
      </c>
    </row>
    <row r="8" spans="2:21" ht="15.75">
      <c r="B8" s="146" t="s">
        <v>163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</row>
    <row r="9" spans="1:22" ht="12.75">
      <c r="A9" s="34">
        <v>1</v>
      </c>
      <c r="B9" s="18" t="s">
        <v>244</v>
      </c>
      <c r="C9" s="18" t="s">
        <v>245</v>
      </c>
      <c r="D9" s="18" t="s">
        <v>246</v>
      </c>
      <c r="E9" s="18" t="str">
        <f>"0,5749"</f>
        <v>0,5749</v>
      </c>
      <c r="F9" s="18" t="s">
        <v>16</v>
      </c>
      <c r="G9" s="18" t="s">
        <v>247</v>
      </c>
      <c r="H9" s="37" t="s">
        <v>108</v>
      </c>
      <c r="I9" s="43"/>
      <c r="J9" s="43"/>
      <c r="K9" s="43"/>
      <c r="L9" s="37" t="s">
        <v>131</v>
      </c>
      <c r="M9" s="43"/>
      <c r="N9" s="43"/>
      <c r="O9" s="43"/>
      <c r="P9" s="37" t="s">
        <v>248</v>
      </c>
      <c r="Q9" s="38" t="s">
        <v>249</v>
      </c>
      <c r="R9" s="43"/>
      <c r="S9" s="43"/>
      <c r="T9" s="84">
        <v>670.5</v>
      </c>
      <c r="U9" s="18" t="str">
        <f>"385,4704"</f>
        <v>385,4704</v>
      </c>
      <c r="V9" s="18" t="s">
        <v>81</v>
      </c>
    </row>
  </sheetData>
  <sheetProtection/>
  <mergeCells count="15">
    <mergeCell ref="L3:O3"/>
    <mergeCell ref="P3:S3"/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T10" sqref="T10"/>
    </sheetView>
  </sheetViews>
  <sheetFormatPr defaultColWidth="8.75390625" defaultRowHeight="12.75"/>
  <cols>
    <col min="1" max="1" width="5.375" style="34" customWidth="1"/>
    <col min="2" max="2" width="24.25390625" style="17" customWidth="1"/>
    <col min="3" max="3" width="26.00390625" style="17" bestFit="1" customWidth="1"/>
    <col min="4" max="4" width="13.375" style="17" bestFit="1" customWidth="1"/>
    <col min="5" max="5" width="8.375" style="17" bestFit="1" customWidth="1"/>
    <col min="6" max="6" width="15.875" style="17" customWidth="1"/>
    <col min="7" max="7" width="33.125" style="17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4.625" style="27" bestFit="1" customWidth="1"/>
    <col min="16" max="18" width="5.625" style="27" bestFit="1" customWidth="1"/>
    <col min="19" max="19" width="4.625" style="27" bestFit="1" customWidth="1"/>
    <col min="20" max="20" width="7.875" style="36" bestFit="1" customWidth="1"/>
    <col min="21" max="21" width="8.625" style="17" bestFit="1" customWidth="1"/>
    <col min="22" max="22" width="15.375" style="17" bestFit="1" customWidth="1"/>
  </cols>
  <sheetData>
    <row r="1" spans="1:22" s="1" customFormat="1" ht="15" customHeight="1">
      <c r="A1" s="33"/>
      <c r="B1" s="147" t="s">
        <v>689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</row>
    <row r="2" spans="1:22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</row>
    <row r="3" spans="2:22" s="2" customFormat="1" ht="12.75" customHeight="1">
      <c r="B3" s="172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1</v>
      </c>
      <c r="I3" s="142"/>
      <c r="J3" s="142"/>
      <c r="K3" s="142"/>
      <c r="L3" s="142" t="s">
        <v>2</v>
      </c>
      <c r="M3" s="142"/>
      <c r="N3" s="142"/>
      <c r="O3" s="142"/>
      <c r="P3" s="142" t="s">
        <v>3</v>
      </c>
      <c r="Q3" s="142"/>
      <c r="R3" s="142"/>
      <c r="S3" s="142"/>
      <c r="T3" s="142" t="s">
        <v>4</v>
      </c>
      <c r="U3" s="142" t="s">
        <v>6</v>
      </c>
      <c r="V3" s="144" t="s">
        <v>5</v>
      </c>
    </row>
    <row r="4" spans="2:22" s="2" customFormat="1" ht="33.75" customHeight="1" thickBot="1">
      <c r="B4" s="173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32">
        <v>1</v>
      </c>
      <c r="Q4" s="32">
        <v>2</v>
      </c>
      <c r="R4" s="32">
        <v>3</v>
      </c>
      <c r="S4" s="32" t="s">
        <v>8</v>
      </c>
      <c r="T4" s="143"/>
      <c r="U4" s="143"/>
      <c r="V4" s="145"/>
    </row>
    <row r="5" spans="2:21" ht="15.75">
      <c r="B5" s="156" t="s">
        <v>46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2" ht="12.75">
      <c r="A6" s="34">
        <v>1</v>
      </c>
      <c r="B6" s="28" t="s">
        <v>496</v>
      </c>
      <c r="C6" s="28" t="s">
        <v>497</v>
      </c>
      <c r="D6" s="28" t="s">
        <v>372</v>
      </c>
      <c r="E6" s="28" t="str">
        <f>"0,6699"</f>
        <v>0,6699</v>
      </c>
      <c r="F6" s="28" t="s">
        <v>16</v>
      </c>
      <c r="G6" s="28" t="s">
        <v>324</v>
      </c>
      <c r="H6" s="40" t="s">
        <v>400</v>
      </c>
      <c r="I6" s="48"/>
      <c r="J6" s="44"/>
      <c r="K6" s="44"/>
      <c r="L6" s="40" t="s">
        <v>108</v>
      </c>
      <c r="M6" s="40" t="s">
        <v>109</v>
      </c>
      <c r="N6" s="39" t="s">
        <v>93</v>
      </c>
      <c r="O6" s="44"/>
      <c r="P6" s="40" t="s">
        <v>445</v>
      </c>
      <c r="Q6" s="39" t="s">
        <v>400</v>
      </c>
      <c r="R6" s="39" t="s">
        <v>400</v>
      </c>
      <c r="S6" s="44"/>
      <c r="T6" s="87">
        <v>737.5</v>
      </c>
      <c r="U6" s="28" t="str">
        <f>"494,0513"</f>
        <v>494,0513</v>
      </c>
      <c r="V6" s="28" t="s">
        <v>81</v>
      </c>
    </row>
    <row r="7" spans="1:22" ht="12.75">
      <c r="A7" s="34">
        <v>2</v>
      </c>
      <c r="B7" s="18" t="s">
        <v>498</v>
      </c>
      <c r="C7" s="18" t="s">
        <v>499</v>
      </c>
      <c r="D7" s="18" t="s">
        <v>500</v>
      </c>
      <c r="E7" s="18" t="str">
        <f>"0,6764"</f>
        <v>0,6764</v>
      </c>
      <c r="F7" s="18" t="s">
        <v>373</v>
      </c>
      <c r="G7" s="18" t="s">
        <v>374</v>
      </c>
      <c r="H7" s="37" t="s">
        <v>102</v>
      </c>
      <c r="I7" s="37" t="s">
        <v>93</v>
      </c>
      <c r="J7" s="38" t="s">
        <v>180</v>
      </c>
      <c r="K7" s="43"/>
      <c r="L7" s="37" t="s">
        <v>19</v>
      </c>
      <c r="M7" s="37" t="s">
        <v>302</v>
      </c>
      <c r="N7" s="38" t="s">
        <v>131</v>
      </c>
      <c r="O7" s="43"/>
      <c r="P7" s="37" t="s">
        <v>87</v>
      </c>
      <c r="Q7" s="37" t="s">
        <v>337</v>
      </c>
      <c r="R7" s="38" t="s">
        <v>109</v>
      </c>
      <c r="S7" s="43"/>
      <c r="T7" s="84">
        <v>560</v>
      </c>
      <c r="U7" s="18" t="str">
        <f>"378,7840"</f>
        <v>378,7840</v>
      </c>
      <c r="V7" s="18" t="s">
        <v>464</v>
      </c>
    </row>
    <row r="9" spans="2:21" ht="15.75">
      <c r="B9" s="146" t="s">
        <v>140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2" ht="12.75">
      <c r="A10" s="34">
        <v>1</v>
      </c>
      <c r="B10" s="18" t="s">
        <v>501</v>
      </c>
      <c r="C10" s="18" t="s">
        <v>502</v>
      </c>
      <c r="D10" s="18" t="s">
        <v>503</v>
      </c>
      <c r="E10" s="18" t="str">
        <f>"0,5964"</f>
        <v>0,5964</v>
      </c>
      <c r="F10" s="18" t="s">
        <v>373</v>
      </c>
      <c r="G10" s="18" t="s">
        <v>504</v>
      </c>
      <c r="H10" s="37" t="s">
        <v>110</v>
      </c>
      <c r="I10" s="37" t="s">
        <v>96</v>
      </c>
      <c r="J10" s="38" t="s">
        <v>175</v>
      </c>
      <c r="K10" s="43"/>
      <c r="L10" s="37" t="s">
        <v>131</v>
      </c>
      <c r="M10" s="38" t="s">
        <v>366</v>
      </c>
      <c r="N10" s="37" t="s">
        <v>366</v>
      </c>
      <c r="O10" s="43"/>
      <c r="P10" s="37" t="s">
        <v>102</v>
      </c>
      <c r="Q10" s="37" t="s">
        <v>505</v>
      </c>
      <c r="R10" s="43"/>
      <c r="S10" s="43"/>
      <c r="T10" s="84">
        <v>600</v>
      </c>
      <c r="U10" s="18" t="str">
        <f>"357,8400"</f>
        <v>357,8400</v>
      </c>
      <c r="V10" s="18" t="s">
        <v>389</v>
      </c>
    </row>
  </sheetData>
  <sheetProtection/>
  <mergeCells count="15">
    <mergeCell ref="L3:O3"/>
    <mergeCell ref="P3:S3"/>
    <mergeCell ref="T3:T4"/>
    <mergeCell ref="U3:U4"/>
    <mergeCell ref="V3:V4"/>
    <mergeCell ref="B5:U5"/>
    <mergeCell ref="B9:U9"/>
    <mergeCell ref="B1:V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selection activeCell="F29" sqref="F29"/>
    </sheetView>
  </sheetViews>
  <sheetFormatPr defaultColWidth="8.75390625" defaultRowHeight="12.75"/>
  <cols>
    <col min="1" max="1" width="5.375" style="34" customWidth="1"/>
    <col min="2" max="2" width="22.00390625" style="17" customWidth="1"/>
    <col min="3" max="3" width="26.375" style="17" customWidth="1"/>
    <col min="4" max="4" width="13.375" style="17" bestFit="1" customWidth="1"/>
    <col min="5" max="5" width="8.375" style="17" bestFit="1" customWidth="1"/>
    <col min="6" max="6" width="33.375" style="17" customWidth="1"/>
    <col min="7" max="7" width="34.625" style="17" bestFit="1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4.625" style="27" bestFit="1" customWidth="1"/>
    <col min="16" max="18" width="5.625" style="27" bestFit="1" customWidth="1"/>
    <col min="19" max="19" width="4.625" style="27" bestFit="1" customWidth="1"/>
    <col min="20" max="20" width="7.875" style="36" bestFit="1" customWidth="1"/>
    <col min="21" max="21" width="8.625" style="17" bestFit="1" customWidth="1"/>
    <col min="22" max="22" width="22.25390625" style="17" bestFit="1" customWidth="1"/>
  </cols>
  <sheetData>
    <row r="1" spans="1:22" s="1" customFormat="1" ht="15" customHeight="1">
      <c r="A1" s="33"/>
      <c r="B1" s="147" t="s">
        <v>687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</row>
    <row r="2" spans="1:22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</row>
    <row r="3" spans="2:22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1</v>
      </c>
      <c r="I3" s="142"/>
      <c r="J3" s="142"/>
      <c r="K3" s="142"/>
      <c r="L3" s="142" t="s">
        <v>2</v>
      </c>
      <c r="M3" s="142"/>
      <c r="N3" s="142"/>
      <c r="O3" s="142"/>
      <c r="P3" s="142" t="s">
        <v>3</v>
      </c>
      <c r="Q3" s="142"/>
      <c r="R3" s="142"/>
      <c r="S3" s="142"/>
      <c r="T3" s="142" t="s">
        <v>4</v>
      </c>
      <c r="U3" s="142" t="s">
        <v>6</v>
      </c>
      <c r="V3" s="144" t="s">
        <v>5</v>
      </c>
    </row>
    <row r="4" spans="2:22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32">
        <v>1</v>
      </c>
      <c r="Q4" s="32">
        <v>2</v>
      </c>
      <c r="R4" s="32">
        <v>3</v>
      </c>
      <c r="S4" s="32" t="s">
        <v>8</v>
      </c>
      <c r="T4" s="143"/>
      <c r="U4" s="143"/>
      <c r="V4" s="145"/>
    </row>
    <row r="5" spans="2:21" ht="15.75">
      <c r="B5" s="156" t="s">
        <v>263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2" ht="12.75">
      <c r="A6" s="34">
        <v>1</v>
      </c>
      <c r="B6" s="18" t="s">
        <v>357</v>
      </c>
      <c r="C6" s="18" t="s">
        <v>358</v>
      </c>
      <c r="D6" s="18" t="s">
        <v>421</v>
      </c>
      <c r="E6" s="18" t="str">
        <f>"1,1295"</f>
        <v>1,1295</v>
      </c>
      <c r="F6" s="18" t="s">
        <v>16</v>
      </c>
      <c r="G6" s="18" t="s">
        <v>360</v>
      </c>
      <c r="H6" s="37" t="s">
        <v>19</v>
      </c>
      <c r="I6" s="38" t="s">
        <v>422</v>
      </c>
      <c r="J6" s="37" t="s">
        <v>422</v>
      </c>
      <c r="K6" s="43"/>
      <c r="L6" s="37" t="s">
        <v>361</v>
      </c>
      <c r="M6" s="37" t="s">
        <v>80</v>
      </c>
      <c r="N6" s="38" t="s">
        <v>26</v>
      </c>
      <c r="O6" s="43"/>
      <c r="P6" s="37" t="s">
        <v>19</v>
      </c>
      <c r="Q6" s="37" t="s">
        <v>422</v>
      </c>
      <c r="R6" s="37" t="s">
        <v>131</v>
      </c>
      <c r="S6" s="43"/>
      <c r="T6" s="84">
        <v>380</v>
      </c>
      <c r="U6" s="18" t="str">
        <f>"429,2100"</f>
        <v>429,2100</v>
      </c>
      <c r="V6" s="18" t="s">
        <v>681</v>
      </c>
    </row>
    <row r="8" spans="2:21" ht="15.75">
      <c r="B8" s="146" t="s">
        <v>30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</row>
    <row r="9" spans="1:22" ht="12.75">
      <c r="A9" s="34">
        <v>1</v>
      </c>
      <c r="B9" s="18" t="s">
        <v>362</v>
      </c>
      <c r="C9" s="18" t="s">
        <v>363</v>
      </c>
      <c r="D9" s="18" t="s">
        <v>364</v>
      </c>
      <c r="E9" s="18" t="str">
        <f>"0,9506"</f>
        <v>0,9506</v>
      </c>
      <c r="F9" s="18" t="s">
        <v>16</v>
      </c>
      <c r="G9" s="18" t="s">
        <v>365</v>
      </c>
      <c r="H9" s="37" t="s">
        <v>109</v>
      </c>
      <c r="I9" s="37" t="s">
        <v>110</v>
      </c>
      <c r="J9" s="38" t="s">
        <v>96</v>
      </c>
      <c r="K9" s="43"/>
      <c r="L9" s="37" t="s">
        <v>131</v>
      </c>
      <c r="M9" s="38" t="s">
        <v>366</v>
      </c>
      <c r="N9" s="38" t="s">
        <v>366</v>
      </c>
      <c r="O9" s="43"/>
      <c r="P9" s="37" t="s">
        <v>132</v>
      </c>
      <c r="Q9" s="37" t="s">
        <v>67</v>
      </c>
      <c r="R9" s="37" t="s">
        <v>87</v>
      </c>
      <c r="S9" s="43"/>
      <c r="T9" s="84">
        <v>560</v>
      </c>
      <c r="U9" s="18" t="str">
        <f>"532,3360"</f>
        <v>532,3360</v>
      </c>
      <c r="V9" s="18" t="s">
        <v>81</v>
      </c>
    </row>
    <row r="11" spans="2:21" ht="15.75">
      <c r="B11" s="146" t="s">
        <v>60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</row>
    <row r="12" spans="1:22" ht="12.75">
      <c r="A12" s="34">
        <v>1</v>
      </c>
      <c r="B12" s="18" t="s">
        <v>423</v>
      </c>
      <c r="C12" s="18" t="s">
        <v>424</v>
      </c>
      <c r="D12" s="18" t="s">
        <v>425</v>
      </c>
      <c r="E12" s="18" t="str">
        <f>"0,8851"</f>
        <v>0,8851</v>
      </c>
      <c r="F12" s="18" t="s">
        <v>685</v>
      </c>
      <c r="G12" s="18" t="s">
        <v>666</v>
      </c>
      <c r="H12" s="37" t="s">
        <v>66</v>
      </c>
      <c r="I12" s="37" t="s">
        <v>68</v>
      </c>
      <c r="J12" s="37" t="s">
        <v>426</v>
      </c>
      <c r="K12" s="43"/>
      <c r="L12" s="37" t="s">
        <v>18</v>
      </c>
      <c r="M12" s="37" t="s">
        <v>56</v>
      </c>
      <c r="N12" s="37" t="s">
        <v>422</v>
      </c>
      <c r="O12" s="43"/>
      <c r="P12" s="37" t="s">
        <v>66</v>
      </c>
      <c r="Q12" s="37" t="s">
        <v>126</v>
      </c>
      <c r="R12" s="38" t="s">
        <v>157</v>
      </c>
      <c r="S12" s="43"/>
      <c r="T12" s="84">
        <v>512.5</v>
      </c>
      <c r="U12" s="18" t="str">
        <f>"453,6138"</f>
        <v>453,6138</v>
      </c>
      <c r="V12" s="18" t="s">
        <v>427</v>
      </c>
    </row>
    <row r="14" spans="2:21" ht="15.75">
      <c r="B14" s="146" t="s">
        <v>46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</row>
    <row r="15" spans="1:22" ht="12.75">
      <c r="A15" s="34">
        <v>1</v>
      </c>
      <c r="B15" s="28" t="s">
        <v>428</v>
      </c>
      <c r="C15" s="28" t="s">
        <v>429</v>
      </c>
      <c r="D15" s="28" t="s">
        <v>372</v>
      </c>
      <c r="E15" s="28" t="str">
        <f>"0,6699"</f>
        <v>0,6699</v>
      </c>
      <c r="F15" s="28" t="s">
        <v>309</v>
      </c>
      <c r="G15" s="28" t="s">
        <v>430</v>
      </c>
      <c r="H15" s="40" t="s">
        <v>167</v>
      </c>
      <c r="I15" s="39" t="s">
        <v>168</v>
      </c>
      <c r="J15" s="39" t="s">
        <v>168</v>
      </c>
      <c r="K15" s="44"/>
      <c r="L15" s="39" t="s">
        <v>132</v>
      </c>
      <c r="M15" s="40" t="s">
        <v>132</v>
      </c>
      <c r="N15" s="40" t="s">
        <v>320</v>
      </c>
      <c r="O15" s="44"/>
      <c r="P15" s="40" t="s">
        <v>175</v>
      </c>
      <c r="Q15" s="40" t="s">
        <v>431</v>
      </c>
      <c r="R15" s="39" t="s">
        <v>432</v>
      </c>
      <c r="S15" s="44"/>
      <c r="T15" s="87">
        <v>667.5</v>
      </c>
      <c r="U15" s="28" t="str">
        <f>"447,1583"</f>
        <v>447,1583</v>
      </c>
      <c r="V15" s="28" t="s">
        <v>81</v>
      </c>
    </row>
    <row r="16" spans="2:22" ht="12.75">
      <c r="B16" s="18" t="s">
        <v>433</v>
      </c>
      <c r="C16" s="18" t="s">
        <v>434</v>
      </c>
      <c r="D16" s="18" t="s">
        <v>435</v>
      </c>
      <c r="E16" s="18" t="str">
        <f>"0,6910"</f>
        <v>0,6910</v>
      </c>
      <c r="F16" s="18" t="s">
        <v>16</v>
      </c>
      <c r="G16" s="18" t="s">
        <v>436</v>
      </c>
      <c r="H16" s="38" t="s">
        <v>242</v>
      </c>
      <c r="I16" s="38" t="s">
        <v>242</v>
      </c>
      <c r="J16" s="38" t="s">
        <v>242</v>
      </c>
      <c r="K16" s="43"/>
      <c r="L16" s="38"/>
      <c r="M16" s="43"/>
      <c r="N16" s="43"/>
      <c r="O16" s="43"/>
      <c r="P16" s="38"/>
      <c r="Q16" s="43"/>
      <c r="R16" s="43"/>
      <c r="S16" s="43"/>
      <c r="T16" s="84">
        <v>0</v>
      </c>
      <c r="U16" s="18" t="str">
        <f>"0,0000"</f>
        <v>0,0000</v>
      </c>
      <c r="V16" s="18" t="s">
        <v>81</v>
      </c>
    </row>
    <row r="18" spans="2:21" ht="15.75">
      <c r="B18" s="146" t="s">
        <v>60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</row>
    <row r="19" spans="1:22" ht="12.75">
      <c r="A19" s="34">
        <v>1</v>
      </c>
      <c r="B19" s="28" t="s">
        <v>437</v>
      </c>
      <c r="C19" s="28" t="s">
        <v>438</v>
      </c>
      <c r="D19" s="28" t="s">
        <v>439</v>
      </c>
      <c r="E19" s="28" t="str">
        <f>"0,6384"</f>
        <v>0,6384</v>
      </c>
      <c r="F19" s="28" t="s">
        <v>16</v>
      </c>
      <c r="G19" s="28" t="s">
        <v>324</v>
      </c>
      <c r="H19" s="40" t="s">
        <v>412</v>
      </c>
      <c r="I19" s="44"/>
      <c r="J19" s="44"/>
      <c r="K19" s="44"/>
      <c r="L19" s="40" t="s">
        <v>167</v>
      </c>
      <c r="M19" s="39" t="s">
        <v>382</v>
      </c>
      <c r="N19" s="39" t="s">
        <v>382</v>
      </c>
      <c r="O19" s="44"/>
      <c r="P19" s="40" t="s">
        <v>242</v>
      </c>
      <c r="Q19" s="40" t="s">
        <v>440</v>
      </c>
      <c r="R19" s="44"/>
      <c r="S19" s="44"/>
      <c r="T19" s="87">
        <v>815</v>
      </c>
      <c r="U19" s="28" t="str">
        <f>"520,2960"</f>
        <v>520,2960</v>
      </c>
      <c r="V19" s="28" t="s">
        <v>670</v>
      </c>
    </row>
    <row r="20" spans="1:22" ht="12.75">
      <c r="A20" s="34">
        <v>2</v>
      </c>
      <c r="B20" s="18" t="s">
        <v>441</v>
      </c>
      <c r="C20" s="18" t="s">
        <v>442</v>
      </c>
      <c r="D20" s="18" t="s">
        <v>443</v>
      </c>
      <c r="E20" s="18" t="str">
        <f>"0,6610"</f>
        <v>0,6610</v>
      </c>
      <c r="F20" s="18" t="s">
        <v>309</v>
      </c>
      <c r="G20" s="18" t="s">
        <v>310</v>
      </c>
      <c r="H20" s="38" t="s">
        <v>169</v>
      </c>
      <c r="I20" s="38" t="s">
        <v>444</v>
      </c>
      <c r="J20" s="37" t="s">
        <v>444</v>
      </c>
      <c r="K20" s="43"/>
      <c r="L20" s="37" t="s">
        <v>67</v>
      </c>
      <c r="M20" s="37" t="s">
        <v>312</v>
      </c>
      <c r="N20" s="37" t="s">
        <v>426</v>
      </c>
      <c r="O20" s="43"/>
      <c r="P20" s="37" t="s">
        <v>445</v>
      </c>
      <c r="Q20" s="37" t="s">
        <v>446</v>
      </c>
      <c r="R20" s="38" t="s">
        <v>242</v>
      </c>
      <c r="S20" s="43"/>
      <c r="T20" s="84">
        <v>710</v>
      </c>
      <c r="U20" s="18" t="str">
        <f>"469,3100"</f>
        <v>469,3100</v>
      </c>
      <c r="V20" s="18" t="s">
        <v>447</v>
      </c>
    </row>
    <row r="22" spans="2:21" ht="15.75">
      <c r="B22" s="146" t="s">
        <v>82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</row>
    <row r="23" spans="1:22" ht="12.75">
      <c r="A23" s="34">
        <v>1</v>
      </c>
      <c r="B23" s="28" t="s">
        <v>448</v>
      </c>
      <c r="C23" s="28" t="s">
        <v>449</v>
      </c>
      <c r="D23" s="28" t="s">
        <v>450</v>
      </c>
      <c r="E23" s="28" t="str">
        <f>"0,6108"</f>
        <v>0,6108</v>
      </c>
      <c r="F23" s="28" t="s">
        <v>309</v>
      </c>
      <c r="G23" s="28" t="s">
        <v>310</v>
      </c>
      <c r="H23" s="40" t="s">
        <v>242</v>
      </c>
      <c r="I23" s="39" t="s">
        <v>243</v>
      </c>
      <c r="J23" s="39" t="s">
        <v>243</v>
      </c>
      <c r="K23" s="44"/>
      <c r="L23" s="39" t="s">
        <v>108</v>
      </c>
      <c r="M23" s="40" t="s">
        <v>108</v>
      </c>
      <c r="N23" s="39" t="s">
        <v>17</v>
      </c>
      <c r="O23" s="44"/>
      <c r="P23" s="40" t="s">
        <v>169</v>
      </c>
      <c r="Q23" s="40" t="s">
        <v>446</v>
      </c>
      <c r="R23" s="39" t="s">
        <v>440</v>
      </c>
      <c r="S23" s="44"/>
      <c r="T23" s="87">
        <v>730</v>
      </c>
      <c r="U23" s="28" t="str">
        <f>"445,8840"</f>
        <v>445,8840</v>
      </c>
      <c r="V23" s="28" t="s">
        <v>447</v>
      </c>
    </row>
    <row r="24" spans="1:22" ht="12.75">
      <c r="A24" s="34">
        <v>2</v>
      </c>
      <c r="B24" s="18" t="s">
        <v>451</v>
      </c>
      <c r="C24" s="18" t="s">
        <v>452</v>
      </c>
      <c r="D24" s="18" t="s">
        <v>453</v>
      </c>
      <c r="E24" s="18" t="str">
        <f>"0,6086"</f>
        <v>0,6086</v>
      </c>
      <c r="F24" s="18" t="s">
        <v>673</v>
      </c>
      <c r="G24" s="18" t="s">
        <v>319</v>
      </c>
      <c r="H24" s="37" t="s">
        <v>175</v>
      </c>
      <c r="I24" s="37" t="s">
        <v>446</v>
      </c>
      <c r="J24" s="38" t="s">
        <v>440</v>
      </c>
      <c r="K24" s="43"/>
      <c r="L24" s="37" t="s">
        <v>132</v>
      </c>
      <c r="M24" s="38" t="s">
        <v>66</v>
      </c>
      <c r="N24" s="37" t="s">
        <v>66</v>
      </c>
      <c r="O24" s="43"/>
      <c r="P24" s="37" t="s">
        <v>168</v>
      </c>
      <c r="Q24" s="37" t="s">
        <v>431</v>
      </c>
      <c r="R24" s="38" t="s">
        <v>432</v>
      </c>
      <c r="S24" s="43"/>
      <c r="T24" s="84">
        <v>695</v>
      </c>
      <c r="U24" s="18" t="str">
        <f>"422,9770"</f>
        <v>422,9770</v>
      </c>
      <c r="V24" s="18" t="s">
        <v>454</v>
      </c>
    </row>
    <row r="26" spans="2:21" ht="15.75">
      <c r="B26" s="146" t="s">
        <v>140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</row>
    <row r="27" spans="1:22" ht="12.75">
      <c r="A27" s="34">
        <v>1</v>
      </c>
      <c r="B27" s="28" t="s">
        <v>455</v>
      </c>
      <c r="C27" s="28" t="s">
        <v>1108</v>
      </c>
      <c r="D27" s="28" t="s">
        <v>456</v>
      </c>
      <c r="E27" s="28" t="str">
        <f>"0,5885"</f>
        <v>0,5885</v>
      </c>
      <c r="F27" s="28" t="s">
        <v>16</v>
      </c>
      <c r="G27" s="28" t="s">
        <v>683</v>
      </c>
      <c r="H27" s="40" t="s">
        <v>240</v>
      </c>
      <c r="I27" s="40" t="s">
        <v>457</v>
      </c>
      <c r="J27" s="40" t="s">
        <v>458</v>
      </c>
      <c r="K27" s="44"/>
      <c r="L27" s="40" t="s">
        <v>431</v>
      </c>
      <c r="M27" s="40" t="s">
        <v>400</v>
      </c>
      <c r="N27" s="39" t="s">
        <v>459</v>
      </c>
      <c r="O27" s="44"/>
      <c r="P27" s="40" t="s">
        <v>412</v>
      </c>
      <c r="Q27" s="40" t="s">
        <v>460</v>
      </c>
      <c r="R27" s="40" t="s">
        <v>461</v>
      </c>
      <c r="S27" s="44"/>
      <c r="T27" s="87">
        <v>975</v>
      </c>
      <c r="U27" s="28" t="str">
        <f>"573,7875"</f>
        <v>573,7875</v>
      </c>
      <c r="V27" s="28" t="s">
        <v>81</v>
      </c>
    </row>
    <row r="28" spans="1:22" ht="12.75">
      <c r="A28" s="34">
        <v>2</v>
      </c>
      <c r="B28" s="18" t="s">
        <v>462</v>
      </c>
      <c r="C28" s="18" t="s">
        <v>463</v>
      </c>
      <c r="D28" s="18" t="s">
        <v>392</v>
      </c>
      <c r="E28" s="18" t="str">
        <f>"0,5923"</f>
        <v>0,5923</v>
      </c>
      <c r="F28" s="18" t="s">
        <v>373</v>
      </c>
      <c r="G28" s="18" t="s">
        <v>374</v>
      </c>
      <c r="H28" s="37" t="s">
        <v>459</v>
      </c>
      <c r="I28" s="38" t="s">
        <v>394</v>
      </c>
      <c r="J28" s="43"/>
      <c r="K28" s="43"/>
      <c r="L28" s="37" t="s">
        <v>102</v>
      </c>
      <c r="M28" s="38" t="s">
        <v>93</v>
      </c>
      <c r="N28" s="37" t="s">
        <v>93</v>
      </c>
      <c r="O28" s="43"/>
      <c r="P28" s="37" t="s">
        <v>446</v>
      </c>
      <c r="Q28" s="37" t="s">
        <v>459</v>
      </c>
      <c r="R28" s="38" t="s">
        <v>394</v>
      </c>
      <c r="S28" s="43"/>
      <c r="T28" s="84">
        <v>780</v>
      </c>
      <c r="U28" s="18" t="str">
        <f>"461,9940"</f>
        <v>461,9940</v>
      </c>
      <c r="V28" s="18" t="s">
        <v>590</v>
      </c>
    </row>
    <row r="30" spans="2:21" ht="15.75">
      <c r="B30" s="146" t="s">
        <v>163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</row>
    <row r="31" spans="1:22" ht="12.75">
      <c r="A31" s="34">
        <v>1</v>
      </c>
      <c r="B31" s="28" t="s">
        <v>465</v>
      </c>
      <c r="C31" s="28" t="s">
        <v>466</v>
      </c>
      <c r="D31" s="28" t="s">
        <v>467</v>
      </c>
      <c r="E31" s="28" t="str">
        <f>"0,5803"</f>
        <v>0,5803</v>
      </c>
      <c r="F31" s="28" t="s">
        <v>24</v>
      </c>
      <c r="G31" s="28" t="s">
        <v>86</v>
      </c>
      <c r="H31" s="40" t="s">
        <v>461</v>
      </c>
      <c r="I31" s="40" t="s">
        <v>468</v>
      </c>
      <c r="J31" s="39" t="s">
        <v>469</v>
      </c>
      <c r="K31" s="44"/>
      <c r="L31" s="39" t="s">
        <v>175</v>
      </c>
      <c r="M31" s="40" t="s">
        <v>175</v>
      </c>
      <c r="N31" s="40" t="s">
        <v>470</v>
      </c>
      <c r="O31" s="44"/>
      <c r="P31" s="40" t="s">
        <v>460</v>
      </c>
      <c r="Q31" s="39" t="s">
        <v>240</v>
      </c>
      <c r="R31" s="44"/>
      <c r="S31" s="44"/>
      <c r="T31" s="35" t="s">
        <v>686</v>
      </c>
      <c r="U31" s="28" t="str">
        <f>"535,6169"</f>
        <v>535,6169</v>
      </c>
      <c r="V31" s="28" t="s">
        <v>29</v>
      </c>
    </row>
    <row r="32" spans="2:22" ht="12.75">
      <c r="B32" s="18" t="s">
        <v>471</v>
      </c>
      <c r="C32" s="18" t="s">
        <v>472</v>
      </c>
      <c r="D32" s="18" t="s">
        <v>473</v>
      </c>
      <c r="E32" s="18" t="str">
        <f>"0,5707"</f>
        <v>0,5707</v>
      </c>
      <c r="F32" s="18" t="s">
        <v>685</v>
      </c>
      <c r="G32" s="18" t="s">
        <v>684</v>
      </c>
      <c r="H32" s="37" t="s">
        <v>474</v>
      </c>
      <c r="I32" s="38" t="s">
        <v>475</v>
      </c>
      <c r="J32" s="38" t="s">
        <v>475</v>
      </c>
      <c r="K32" s="43"/>
      <c r="L32" s="38" t="s">
        <v>459</v>
      </c>
      <c r="M32" s="38" t="s">
        <v>243</v>
      </c>
      <c r="N32" s="38" t="s">
        <v>243</v>
      </c>
      <c r="O32" s="43"/>
      <c r="P32" s="38"/>
      <c r="Q32" s="43"/>
      <c r="R32" s="43"/>
      <c r="S32" s="43"/>
      <c r="T32" s="84">
        <v>0</v>
      </c>
      <c r="U32" s="18" t="str">
        <f>"0,0000"</f>
        <v>0,0000</v>
      </c>
      <c r="V32" s="18" t="s">
        <v>634</v>
      </c>
    </row>
    <row r="34" ht="15.75">
      <c r="F34" s="20"/>
    </row>
    <row r="36" spans="2:3" ht="18">
      <c r="B36" s="21" t="s">
        <v>192</v>
      </c>
      <c r="C36" s="21"/>
    </row>
    <row r="38" spans="2:3" ht="15.75">
      <c r="B38" s="22" t="s">
        <v>201</v>
      </c>
      <c r="C38" s="22"/>
    </row>
    <row r="39" spans="2:3" ht="13.5">
      <c r="B39" s="85" t="s">
        <v>193</v>
      </c>
      <c r="C39" s="25"/>
    </row>
    <row r="40" spans="2:6" ht="13.5">
      <c r="B40" s="26" t="s">
        <v>194</v>
      </c>
      <c r="C40" s="26" t="s">
        <v>195</v>
      </c>
      <c r="D40" s="26" t="s">
        <v>196</v>
      </c>
      <c r="E40" s="26" t="s">
        <v>197</v>
      </c>
      <c r="F40" s="26" t="s">
        <v>198</v>
      </c>
    </row>
    <row r="41" spans="1:6" ht="12.75">
      <c r="A41" s="34">
        <v>1</v>
      </c>
      <c r="B41" s="23" t="s">
        <v>455</v>
      </c>
      <c r="C41" s="86" t="s">
        <v>193</v>
      </c>
      <c r="D41" s="86" t="s">
        <v>202</v>
      </c>
      <c r="E41" s="86" t="s">
        <v>477</v>
      </c>
      <c r="F41" s="36" t="s">
        <v>478</v>
      </c>
    </row>
    <row r="42" spans="1:6" ht="12.75">
      <c r="A42" s="34">
        <v>2</v>
      </c>
      <c r="B42" s="23" t="s">
        <v>465</v>
      </c>
      <c r="C42" s="86" t="s">
        <v>193</v>
      </c>
      <c r="D42" s="86" t="s">
        <v>204</v>
      </c>
      <c r="E42" s="86" t="s">
        <v>479</v>
      </c>
      <c r="F42" s="36" t="s">
        <v>480</v>
      </c>
    </row>
    <row r="43" spans="1:6" ht="12.75">
      <c r="A43" s="34">
        <v>3</v>
      </c>
      <c r="B43" s="23" t="s">
        <v>437</v>
      </c>
      <c r="C43" s="86" t="s">
        <v>193</v>
      </c>
      <c r="D43" s="86" t="s">
        <v>212</v>
      </c>
      <c r="E43" s="86" t="s">
        <v>481</v>
      </c>
      <c r="F43" s="36" t="s">
        <v>482</v>
      </c>
    </row>
    <row r="44" spans="2:6" ht="12.75">
      <c r="B44" s="23" t="s">
        <v>441</v>
      </c>
      <c r="C44" s="86" t="s">
        <v>193</v>
      </c>
      <c r="D44" s="86" t="s">
        <v>212</v>
      </c>
      <c r="E44" s="86" t="s">
        <v>483</v>
      </c>
      <c r="F44" s="36" t="s">
        <v>484</v>
      </c>
    </row>
    <row r="45" spans="2:6" ht="12.75">
      <c r="B45" s="23" t="s">
        <v>462</v>
      </c>
      <c r="C45" s="86" t="s">
        <v>193</v>
      </c>
      <c r="D45" s="86" t="s">
        <v>202</v>
      </c>
      <c r="E45" s="86" t="s">
        <v>485</v>
      </c>
      <c r="F45" s="36" t="s">
        <v>486</v>
      </c>
    </row>
    <row r="46" spans="2:6" ht="12.75">
      <c r="B46" s="23" t="s">
        <v>428</v>
      </c>
      <c r="C46" s="86" t="s">
        <v>193</v>
      </c>
      <c r="D46" s="86" t="s">
        <v>218</v>
      </c>
      <c r="E46" s="86" t="s">
        <v>487</v>
      </c>
      <c r="F46" s="36" t="s">
        <v>488</v>
      </c>
    </row>
    <row r="47" spans="2:6" ht="12.75">
      <c r="B47" s="23" t="s">
        <v>448</v>
      </c>
      <c r="C47" s="86" t="s">
        <v>193</v>
      </c>
      <c r="D47" s="86" t="s">
        <v>203</v>
      </c>
      <c r="E47" s="86" t="s">
        <v>489</v>
      </c>
      <c r="F47" s="36" t="s">
        <v>490</v>
      </c>
    </row>
    <row r="48" spans="2:6" ht="12.75">
      <c r="B48" s="23" t="s">
        <v>451</v>
      </c>
      <c r="C48" s="86" t="s">
        <v>193</v>
      </c>
      <c r="D48" s="86" t="s">
        <v>203</v>
      </c>
      <c r="E48" s="86" t="s">
        <v>491</v>
      </c>
      <c r="F48" s="36" t="s">
        <v>492</v>
      </c>
    </row>
  </sheetData>
  <sheetProtection/>
  <mergeCells count="21">
    <mergeCell ref="B8:U8"/>
    <mergeCell ref="B30:U30"/>
    <mergeCell ref="T3:T4"/>
    <mergeCell ref="U3:U4"/>
    <mergeCell ref="G3:G4"/>
    <mergeCell ref="H3:K3"/>
    <mergeCell ref="L3:O3"/>
    <mergeCell ref="B18:U18"/>
    <mergeCell ref="B22:U22"/>
    <mergeCell ref="P3:S3"/>
    <mergeCell ref="B11:U11"/>
    <mergeCell ref="V3:V4"/>
    <mergeCell ref="B26:U26"/>
    <mergeCell ref="B14:U14"/>
    <mergeCell ref="B1:V2"/>
    <mergeCell ref="B3:B4"/>
    <mergeCell ref="C3:C4"/>
    <mergeCell ref="D3:D4"/>
    <mergeCell ref="E3:E4"/>
    <mergeCell ref="F3:F4"/>
    <mergeCell ref="B5:U5"/>
  </mergeCells>
  <printOptions/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C19" sqref="C19"/>
    </sheetView>
  </sheetViews>
  <sheetFormatPr defaultColWidth="8.75390625" defaultRowHeight="12.75"/>
  <cols>
    <col min="1" max="1" width="3.625" style="34" customWidth="1"/>
    <col min="2" max="2" width="22.25390625" style="17" customWidth="1"/>
    <col min="3" max="3" width="27.125" style="17" bestFit="1" customWidth="1"/>
    <col min="4" max="4" width="13.375" style="17" bestFit="1" customWidth="1"/>
    <col min="5" max="5" width="8.375" style="17" bestFit="1" customWidth="1"/>
    <col min="6" max="6" width="17.25390625" style="17" customWidth="1"/>
    <col min="7" max="7" width="32.625" style="17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4.625" style="27" bestFit="1" customWidth="1"/>
    <col min="16" max="18" width="5.625" style="27" bestFit="1" customWidth="1"/>
    <col min="19" max="19" width="4.625" style="27" bestFit="1" customWidth="1"/>
    <col min="20" max="20" width="7.875" style="36" bestFit="1" customWidth="1"/>
    <col min="21" max="21" width="8.625" style="17" bestFit="1" customWidth="1"/>
    <col min="22" max="22" width="20.25390625" style="17" customWidth="1"/>
  </cols>
  <sheetData>
    <row r="1" spans="1:22" s="1" customFormat="1" ht="15" customHeight="1">
      <c r="A1" s="33"/>
      <c r="B1" s="147" t="s">
        <v>697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</row>
    <row r="2" spans="1:22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</row>
    <row r="3" spans="2:22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1</v>
      </c>
      <c r="I3" s="142"/>
      <c r="J3" s="142"/>
      <c r="K3" s="142"/>
      <c r="L3" s="142" t="s">
        <v>2</v>
      </c>
      <c r="M3" s="142"/>
      <c r="N3" s="142"/>
      <c r="O3" s="142"/>
      <c r="P3" s="142" t="s">
        <v>3</v>
      </c>
      <c r="Q3" s="142"/>
      <c r="R3" s="142"/>
      <c r="S3" s="142"/>
      <c r="T3" s="142" t="s">
        <v>4</v>
      </c>
      <c r="U3" s="142" t="s">
        <v>6</v>
      </c>
      <c r="V3" s="144" t="s">
        <v>5</v>
      </c>
    </row>
    <row r="4" spans="2:22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32">
        <v>1</v>
      </c>
      <c r="Q4" s="32">
        <v>2</v>
      </c>
      <c r="R4" s="32">
        <v>3</v>
      </c>
      <c r="S4" s="32" t="s">
        <v>8</v>
      </c>
      <c r="T4" s="143"/>
      <c r="U4" s="143"/>
      <c r="V4" s="145"/>
    </row>
    <row r="5" spans="2:21" ht="15.75">
      <c r="B5" s="156" t="s">
        <v>560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2" ht="12.75">
      <c r="A6" s="34">
        <v>1</v>
      </c>
      <c r="B6" s="18" t="s">
        <v>561</v>
      </c>
      <c r="C6" s="18" t="s">
        <v>562</v>
      </c>
      <c r="D6" s="18" t="s">
        <v>563</v>
      </c>
      <c r="E6" s="18" t="str">
        <f>"1,2846"</f>
        <v>1,2846</v>
      </c>
      <c r="F6" s="18" t="s">
        <v>691</v>
      </c>
      <c r="G6" s="18" t="s">
        <v>564</v>
      </c>
      <c r="H6" s="37" t="s">
        <v>255</v>
      </c>
      <c r="I6" s="37" t="s">
        <v>256</v>
      </c>
      <c r="J6" s="38" t="s">
        <v>361</v>
      </c>
      <c r="K6" s="43"/>
      <c r="L6" s="37" t="s">
        <v>565</v>
      </c>
      <c r="M6" s="37" t="s">
        <v>517</v>
      </c>
      <c r="N6" s="37" t="s">
        <v>566</v>
      </c>
      <c r="O6" s="43"/>
      <c r="P6" s="37" t="s">
        <v>522</v>
      </c>
      <c r="Q6" s="37" t="s">
        <v>567</v>
      </c>
      <c r="R6" s="38" t="s">
        <v>568</v>
      </c>
      <c r="S6" s="43"/>
      <c r="T6" s="84">
        <v>205</v>
      </c>
      <c r="U6" s="18" t="str">
        <f>"263,3430"</f>
        <v>263,3430</v>
      </c>
      <c r="V6" s="18" t="s">
        <v>621</v>
      </c>
    </row>
    <row r="7" spans="12:14" ht="12.75">
      <c r="L7" s="47"/>
      <c r="M7" s="47"/>
      <c r="N7" s="47"/>
    </row>
    <row r="8" spans="2:21" ht="15.75">
      <c r="B8" s="146" t="s">
        <v>46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</row>
    <row r="9" spans="1:22" ht="12.75">
      <c r="A9" s="34">
        <v>1</v>
      </c>
      <c r="B9" s="18" t="s">
        <v>569</v>
      </c>
      <c r="C9" s="18" t="s">
        <v>354</v>
      </c>
      <c r="D9" s="18" t="s">
        <v>570</v>
      </c>
      <c r="E9" s="18" t="str">
        <f>"0,6922"</f>
        <v>0,6922</v>
      </c>
      <c r="F9" s="18" t="s">
        <v>373</v>
      </c>
      <c r="G9" s="18" t="s">
        <v>374</v>
      </c>
      <c r="H9" s="37" t="s">
        <v>132</v>
      </c>
      <c r="I9" s="38" t="s">
        <v>66</v>
      </c>
      <c r="J9" s="38" t="s">
        <v>67</v>
      </c>
      <c r="K9" s="38"/>
      <c r="L9" s="38" t="s">
        <v>26</v>
      </c>
      <c r="M9" s="38" t="s">
        <v>571</v>
      </c>
      <c r="N9" s="37" t="s">
        <v>290</v>
      </c>
      <c r="O9" s="43"/>
      <c r="P9" s="37" t="s">
        <v>19</v>
      </c>
      <c r="Q9" s="37" t="s">
        <v>572</v>
      </c>
      <c r="R9" s="37" t="s">
        <v>279</v>
      </c>
      <c r="S9" s="43"/>
      <c r="T9" s="84">
        <v>420</v>
      </c>
      <c r="U9" s="18" t="str">
        <f>"290,7240"</f>
        <v>290,7240</v>
      </c>
      <c r="V9" s="18" t="s">
        <v>389</v>
      </c>
    </row>
    <row r="11" spans="2:21" ht="15.75">
      <c r="B11" s="146" t="s">
        <v>140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</row>
    <row r="12" spans="1:22" ht="12.75">
      <c r="A12" s="34">
        <v>1</v>
      </c>
      <c r="B12" s="18" t="s">
        <v>573</v>
      </c>
      <c r="C12" s="18" t="s">
        <v>574</v>
      </c>
      <c r="D12" s="18" t="s">
        <v>575</v>
      </c>
      <c r="E12" s="18" t="str">
        <f>"0,5958"</f>
        <v>0,5958</v>
      </c>
      <c r="F12" s="18" t="s">
        <v>16</v>
      </c>
      <c r="G12" s="18" t="s">
        <v>666</v>
      </c>
      <c r="H12" s="38" t="s">
        <v>96</v>
      </c>
      <c r="I12" s="38" t="s">
        <v>175</v>
      </c>
      <c r="J12" s="37" t="s">
        <v>175</v>
      </c>
      <c r="K12" s="43"/>
      <c r="L12" s="37" t="s">
        <v>295</v>
      </c>
      <c r="M12" s="37" t="s">
        <v>51</v>
      </c>
      <c r="N12" s="37" t="s">
        <v>302</v>
      </c>
      <c r="O12" s="43"/>
      <c r="P12" s="37" t="s">
        <v>93</v>
      </c>
      <c r="Q12" s="38" t="s">
        <v>95</v>
      </c>
      <c r="R12" s="38" t="s">
        <v>95</v>
      </c>
      <c r="S12" s="43"/>
      <c r="T12" s="84">
        <v>597.5</v>
      </c>
      <c r="U12" s="18" t="str">
        <f>"355,9905"</f>
        <v>355,9905</v>
      </c>
      <c r="V12" s="18" t="s">
        <v>81</v>
      </c>
    </row>
    <row r="14" spans="2:21" ht="15.75">
      <c r="B14" s="146" t="s">
        <v>186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</row>
    <row r="15" spans="1:22" ht="12.75">
      <c r="A15" s="34">
        <v>1</v>
      </c>
      <c r="B15" s="18" t="s">
        <v>576</v>
      </c>
      <c r="C15" s="18" t="s">
        <v>577</v>
      </c>
      <c r="D15" s="18" t="s">
        <v>578</v>
      </c>
      <c r="E15" s="18" t="str">
        <f>"0,5593"</f>
        <v>0,5593</v>
      </c>
      <c r="F15" s="18" t="s">
        <v>16</v>
      </c>
      <c r="G15" s="18" t="s">
        <v>579</v>
      </c>
      <c r="H15" s="37" t="s">
        <v>431</v>
      </c>
      <c r="I15" s="37" t="s">
        <v>243</v>
      </c>
      <c r="J15" s="43"/>
      <c r="K15" s="43"/>
      <c r="L15" s="37" t="s">
        <v>74</v>
      </c>
      <c r="M15" s="37" t="s">
        <v>68</v>
      </c>
      <c r="N15" s="43"/>
      <c r="O15" s="43"/>
      <c r="P15" s="37" t="s">
        <v>431</v>
      </c>
      <c r="Q15" s="43"/>
      <c r="R15" s="43"/>
      <c r="S15" s="43"/>
      <c r="T15" s="84">
        <v>730</v>
      </c>
      <c r="U15" s="18" t="str">
        <f>"408,2890"</f>
        <v>408,2890</v>
      </c>
      <c r="V15" s="18" t="s">
        <v>580</v>
      </c>
    </row>
  </sheetData>
  <sheetProtection/>
  <mergeCells count="17">
    <mergeCell ref="B14:U14"/>
    <mergeCell ref="T3:T4"/>
    <mergeCell ref="U3:U4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B23" sqref="B23"/>
    </sheetView>
  </sheetViews>
  <sheetFormatPr defaultColWidth="8.75390625" defaultRowHeight="12.75"/>
  <cols>
    <col min="1" max="1" width="4.00390625" style="34" customWidth="1"/>
    <col min="2" max="2" width="20.125" style="17" customWidth="1"/>
    <col min="3" max="3" width="28.875" style="17" customWidth="1"/>
    <col min="4" max="4" width="13.375" style="17" bestFit="1" customWidth="1"/>
    <col min="5" max="5" width="8.375" style="17" bestFit="1" customWidth="1"/>
    <col min="6" max="6" width="12.75390625" style="17" customWidth="1"/>
    <col min="7" max="7" width="33.625" style="17" bestFit="1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4.625" style="27" bestFit="1" customWidth="1"/>
    <col min="16" max="18" width="5.625" style="27" bestFit="1" customWidth="1"/>
    <col min="19" max="19" width="4.625" style="27" bestFit="1" customWidth="1"/>
    <col min="20" max="20" width="7.875" style="36" bestFit="1" customWidth="1"/>
    <col min="21" max="21" width="8.625" style="17" bestFit="1" customWidth="1"/>
    <col min="22" max="22" width="19.75390625" style="17" customWidth="1"/>
  </cols>
  <sheetData>
    <row r="1" spans="1:22" s="1" customFormat="1" ht="15" customHeight="1">
      <c r="A1" s="33"/>
      <c r="B1" s="147" t="s">
        <v>696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</row>
    <row r="2" spans="1:22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</row>
    <row r="3" spans="2:22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1</v>
      </c>
      <c r="I3" s="142"/>
      <c r="J3" s="142"/>
      <c r="K3" s="142"/>
      <c r="L3" s="142" t="s">
        <v>2</v>
      </c>
      <c r="M3" s="142"/>
      <c r="N3" s="142"/>
      <c r="O3" s="142"/>
      <c r="P3" s="142" t="s">
        <v>3</v>
      </c>
      <c r="Q3" s="142"/>
      <c r="R3" s="142"/>
      <c r="S3" s="142"/>
      <c r="T3" s="142" t="s">
        <v>4</v>
      </c>
      <c r="U3" s="142" t="s">
        <v>6</v>
      </c>
      <c r="V3" s="144" t="s">
        <v>5</v>
      </c>
    </row>
    <row r="4" spans="2:22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32">
        <v>1</v>
      </c>
      <c r="Q4" s="32">
        <v>2</v>
      </c>
      <c r="R4" s="32">
        <v>3</v>
      </c>
      <c r="S4" s="32" t="s">
        <v>8</v>
      </c>
      <c r="T4" s="143"/>
      <c r="U4" s="143"/>
      <c r="V4" s="145"/>
    </row>
    <row r="5" spans="2:21" ht="15.75">
      <c r="B5" s="156" t="s">
        <v>46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2" ht="12.75">
      <c r="A6" s="34">
        <v>1</v>
      </c>
      <c r="B6" s="28" t="s">
        <v>544</v>
      </c>
      <c r="C6" s="28" t="s">
        <v>545</v>
      </c>
      <c r="D6" s="28" t="s">
        <v>546</v>
      </c>
      <c r="E6" s="28" t="str">
        <f>"0,6999"</f>
        <v>0,6999</v>
      </c>
      <c r="F6" s="28" t="s">
        <v>34</v>
      </c>
      <c r="G6" s="28" t="s">
        <v>35</v>
      </c>
      <c r="H6" s="40" t="s">
        <v>110</v>
      </c>
      <c r="I6" s="40" t="s">
        <v>96</v>
      </c>
      <c r="J6" s="40" t="s">
        <v>382</v>
      </c>
      <c r="K6" s="44"/>
      <c r="L6" s="40" t="s">
        <v>302</v>
      </c>
      <c r="M6" s="40" t="s">
        <v>547</v>
      </c>
      <c r="N6" s="40" t="s">
        <v>131</v>
      </c>
      <c r="O6" s="44"/>
      <c r="P6" s="40" t="s">
        <v>110</v>
      </c>
      <c r="Q6" s="40" t="s">
        <v>96</v>
      </c>
      <c r="R6" s="40" t="s">
        <v>175</v>
      </c>
      <c r="S6" s="44"/>
      <c r="T6" s="87">
        <v>632.5</v>
      </c>
      <c r="U6" s="28" t="str">
        <f>"442,6867"</f>
        <v>442,6867</v>
      </c>
      <c r="V6" s="28" t="s">
        <v>670</v>
      </c>
    </row>
    <row r="7" spans="1:22" ht="12.75">
      <c r="A7" s="34">
        <v>2</v>
      </c>
      <c r="B7" s="18" t="s">
        <v>548</v>
      </c>
      <c r="C7" s="18" t="s">
        <v>549</v>
      </c>
      <c r="D7" s="18" t="s">
        <v>550</v>
      </c>
      <c r="E7" s="18" t="str">
        <f>"0,6865"</f>
        <v>0,6865</v>
      </c>
      <c r="F7" s="18" t="s">
        <v>16</v>
      </c>
      <c r="G7" s="18" t="s">
        <v>666</v>
      </c>
      <c r="H7" s="37" t="s">
        <v>93</v>
      </c>
      <c r="I7" s="37" t="s">
        <v>180</v>
      </c>
      <c r="J7" s="38" t="s">
        <v>96</v>
      </c>
      <c r="K7" s="43"/>
      <c r="L7" s="37" t="s">
        <v>19</v>
      </c>
      <c r="M7" s="37" t="s">
        <v>51</v>
      </c>
      <c r="N7" s="38" t="s">
        <v>422</v>
      </c>
      <c r="O7" s="43"/>
      <c r="P7" s="37" t="s">
        <v>108</v>
      </c>
      <c r="Q7" s="37" t="s">
        <v>93</v>
      </c>
      <c r="R7" s="38" t="s">
        <v>110</v>
      </c>
      <c r="S7" s="43"/>
      <c r="T7" s="84">
        <v>577.5</v>
      </c>
      <c r="U7" s="18" t="str">
        <f>"396,4538"</f>
        <v>396,4538</v>
      </c>
      <c r="V7" s="18" t="s">
        <v>670</v>
      </c>
    </row>
    <row r="9" spans="2:21" ht="15.75">
      <c r="B9" s="146" t="s">
        <v>60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2:22" ht="12.75">
      <c r="B10" s="18" t="s">
        <v>551</v>
      </c>
      <c r="C10" s="18" t="s">
        <v>552</v>
      </c>
      <c r="D10" s="18" t="s">
        <v>553</v>
      </c>
      <c r="E10" s="18" t="str">
        <f>"0,6421"</f>
        <v>0,6421</v>
      </c>
      <c r="F10" s="18" t="s">
        <v>373</v>
      </c>
      <c r="G10" s="18" t="s">
        <v>374</v>
      </c>
      <c r="H10" s="38" t="s">
        <v>432</v>
      </c>
      <c r="I10" s="38" t="s">
        <v>432</v>
      </c>
      <c r="J10" s="38" t="s">
        <v>432</v>
      </c>
      <c r="K10" s="43"/>
      <c r="L10" s="43"/>
      <c r="M10" s="43"/>
      <c r="N10" s="43"/>
      <c r="O10" s="43"/>
      <c r="P10" s="38"/>
      <c r="Q10" s="38"/>
      <c r="R10" s="43"/>
      <c r="S10" s="43"/>
      <c r="T10" s="84">
        <v>0</v>
      </c>
      <c r="U10" s="18" t="str">
        <f>"0,0000"</f>
        <v>0,0000</v>
      </c>
      <c r="V10" s="18" t="s">
        <v>590</v>
      </c>
    </row>
    <row r="12" spans="2:21" ht="15.75">
      <c r="B12" s="146" t="s">
        <v>82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</row>
    <row r="13" spans="1:22" ht="12.75">
      <c r="A13" s="34">
        <v>1</v>
      </c>
      <c r="B13" s="18" t="s">
        <v>554</v>
      </c>
      <c r="C13" s="18" t="s">
        <v>555</v>
      </c>
      <c r="D13" s="18" t="s">
        <v>453</v>
      </c>
      <c r="E13" s="18" t="str">
        <f>"0,6086"</f>
        <v>0,6086</v>
      </c>
      <c r="F13" s="18" t="s">
        <v>309</v>
      </c>
      <c r="G13" s="18" t="s">
        <v>430</v>
      </c>
      <c r="H13" s="37" t="s">
        <v>96</v>
      </c>
      <c r="I13" s="38" t="s">
        <v>169</v>
      </c>
      <c r="J13" s="37" t="s">
        <v>556</v>
      </c>
      <c r="K13" s="43"/>
      <c r="L13" s="37" t="s">
        <v>66</v>
      </c>
      <c r="M13" s="37" t="s">
        <v>75</v>
      </c>
      <c r="N13" s="38" t="s">
        <v>68</v>
      </c>
      <c r="O13" s="43"/>
      <c r="P13" s="37" t="s">
        <v>167</v>
      </c>
      <c r="Q13" s="37" t="s">
        <v>556</v>
      </c>
      <c r="R13" s="37" t="s">
        <v>444</v>
      </c>
      <c r="S13" s="43"/>
      <c r="T13" s="84">
        <v>695</v>
      </c>
      <c r="U13" s="18" t="str">
        <f>"422,9770"</f>
        <v>422,9770</v>
      </c>
      <c r="V13" s="18" t="s">
        <v>447</v>
      </c>
    </row>
    <row r="15" spans="2:21" ht="15.75">
      <c r="B15" s="146" t="s">
        <v>140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</row>
    <row r="16" spans="1:22" ht="12.75">
      <c r="A16" s="34">
        <v>1</v>
      </c>
      <c r="B16" s="18" t="s">
        <v>557</v>
      </c>
      <c r="C16" s="18" t="s">
        <v>558</v>
      </c>
      <c r="D16" s="18" t="s">
        <v>559</v>
      </c>
      <c r="E16" s="18" t="str">
        <f>"0,5928"</f>
        <v>0,5928</v>
      </c>
      <c r="F16" s="18" t="s">
        <v>16</v>
      </c>
      <c r="G16" s="18" t="s">
        <v>666</v>
      </c>
      <c r="H16" s="37" t="s">
        <v>242</v>
      </c>
      <c r="I16" s="37" t="s">
        <v>394</v>
      </c>
      <c r="J16" s="38" t="s">
        <v>395</v>
      </c>
      <c r="K16" s="43"/>
      <c r="L16" s="37" t="s">
        <v>108</v>
      </c>
      <c r="M16" s="38" t="s">
        <v>43</v>
      </c>
      <c r="N16" s="38" t="s">
        <v>43</v>
      </c>
      <c r="O16" s="43"/>
      <c r="P16" s="37" t="s">
        <v>446</v>
      </c>
      <c r="Q16" s="37" t="s">
        <v>432</v>
      </c>
      <c r="R16" s="38" t="s">
        <v>440</v>
      </c>
      <c r="S16" s="43"/>
      <c r="T16" s="84">
        <v>762.5</v>
      </c>
      <c r="U16" s="18" t="str">
        <f>"452,0100"</f>
        <v>452,0100</v>
      </c>
      <c r="V16" s="18" t="s">
        <v>670</v>
      </c>
    </row>
  </sheetData>
  <sheetProtection/>
  <mergeCells count="17">
    <mergeCell ref="B15:U15"/>
    <mergeCell ref="T3:T4"/>
    <mergeCell ref="U3:U4"/>
    <mergeCell ref="V3:V4"/>
    <mergeCell ref="B5:U5"/>
    <mergeCell ref="B9:U9"/>
    <mergeCell ref="B12:U12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F9" sqref="F9"/>
    </sheetView>
  </sheetViews>
  <sheetFormatPr defaultColWidth="8.75390625" defaultRowHeight="12.75"/>
  <cols>
    <col min="1" max="1" width="4.625" style="34" customWidth="1"/>
    <col min="2" max="2" width="23.375" style="17" customWidth="1"/>
    <col min="3" max="3" width="27.125" style="17" bestFit="1" customWidth="1"/>
    <col min="4" max="4" width="13.375" style="17" bestFit="1" customWidth="1"/>
    <col min="5" max="5" width="8.375" style="17" bestFit="1" customWidth="1"/>
    <col min="6" max="6" width="32.375" style="17" customWidth="1"/>
    <col min="7" max="7" width="38.25390625" style="17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5.875" style="27" customWidth="1"/>
    <col min="16" max="18" width="5.625" style="27" bestFit="1" customWidth="1"/>
    <col min="19" max="19" width="7.00390625" style="27" customWidth="1"/>
    <col min="20" max="20" width="7.875" style="27" bestFit="1" customWidth="1"/>
    <col min="21" max="21" width="8.625" style="17" bestFit="1" customWidth="1"/>
    <col min="22" max="22" width="19.00390625" style="17" customWidth="1"/>
  </cols>
  <sheetData>
    <row r="1" spans="1:22" s="1" customFormat="1" ht="15" customHeight="1">
      <c r="A1" s="33"/>
      <c r="B1" s="147" t="s">
        <v>694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</row>
    <row r="2" spans="1:22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</row>
    <row r="3" spans="2:22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1</v>
      </c>
      <c r="I3" s="142"/>
      <c r="J3" s="142"/>
      <c r="K3" s="142"/>
      <c r="L3" s="142" t="s">
        <v>2</v>
      </c>
      <c r="M3" s="142"/>
      <c r="N3" s="142"/>
      <c r="O3" s="142"/>
      <c r="P3" s="142" t="s">
        <v>3</v>
      </c>
      <c r="Q3" s="142"/>
      <c r="R3" s="142"/>
      <c r="S3" s="142"/>
      <c r="T3" s="142" t="s">
        <v>4</v>
      </c>
      <c r="U3" s="142" t="s">
        <v>6</v>
      </c>
      <c r="V3" s="144" t="s">
        <v>5</v>
      </c>
    </row>
    <row r="4" spans="2:22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32">
        <v>1</v>
      </c>
      <c r="Q4" s="32">
        <v>2</v>
      </c>
      <c r="R4" s="32">
        <v>3</v>
      </c>
      <c r="S4" s="32" t="s">
        <v>8</v>
      </c>
      <c r="T4" s="143"/>
      <c r="U4" s="143"/>
      <c r="V4" s="145"/>
    </row>
    <row r="5" spans="2:21" ht="15.75">
      <c r="B5" s="156" t="s">
        <v>257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2" ht="12.75">
      <c r="A6" s="34">
        <v>1</v>
      </c>
      <c r="B6" s="18" t="s">
        <v>514</v>
      </c>
      <c r="C6" s="18" t="s">
        <v>515</v>
      </c>
      <c r="D6" s="18" t="s">
        <v>516</v>
      </c>
      <c r="E6" s="18" t="str">
        <f>"1,3995"</f>
        <v>1,3995</v>
      </c>
      <c r="F6" s="18" t="s">
        <v>16</v>
      </c>
      <c r="G6" s="18" t="s">
        <v>333</v>
      </c>
      <c r="H6" s="37" t="s">
        <v>517</v>
      </c>
      <c r="I6" s="37" t="s">
        <v>518</v>
      </c>
      <c r="J6" s="37" t="s">
        <v>269</v>
      </c>
      <c r="K6" s="43"/>
      <c r="L6" s="37" t="s">
        <v>519</v>
      </c>
      <c r="M6" s="37" t="s">
        <v>520</v>
      </c>
      <c r="N6" s="37" t="s">
        <v>262</v>
      </c>
      <c r="O6" s="38" t="s">
        <v>521</v>
      </c>
      <c r="P6" s="37" t="s">
        <v>270</v>
      </c>
      <c r="Q6" s="37" t="s">
        <v>255</v>
      </c>
      <c r="R6" s="37" t="s">
        <v>256</v>
      </c>
      <c r="S6" s="38" t="s">
        <v>522</v>
      </c>
      <c r="T6" s="84">
        <v>162.5</v>
      </c>
      <c r="U6" s="18" t="str">
        <f>"227,4188"</f>
        <v>227,4188</v>
      </c>
      <c r="V6" s="18" t="s">
        <v>523</v>
      </c>
    </row>
    <row r="8" spans="2:21" ht="15.75">
      <c r="B8" s="146" t="s">
        <v>46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</row>
    <row r="9" spans="1:22" ht="12.75">
      <c r="A9" s="34">
        <v>1</v>
      </c>
      <c r="B9" s="18" t="s">
        <v>524</v>
      </c>
      <c r="C9" s="18" t="s">
        <v>525</v>
      </c>
      <c r="D9" s="18" t="s">
        <v>55</v>
      </c>
      <c r="E9" s="18" t="str">
        <f>"0,6744"</f>
        <v>0,6744</v>
      </c>
      <c r="F9" s="18" t="s">
        <v>673</v>
      </c>
      <c r="G9" s="18" t="s">
        <v>666</v>
      </c>
      <c r="H9" s="37" t="s">
        <v>526</v>
      </c>
      <c r="I9" s="37" t="s">
        <v>527</v>
      </c>
      <c r="J9" s="37" t="s">
        <v>528</v>
      </c>
      <c r="K9" s="43"/>
      <c r="L9" s="37" t="s">
        <v>74</v>
      </c>
      <c r="M9" s="38" t="s">
        <v>311</v>
      </c>
      <c r="N9" s="38" t="s">
        <v>311</v>
      </c>
      <c r="O9" s="43"/>
      <c r="P9" s="38" t="s">
        <v>407</v>
      </c>
      <c r="Q9" s="37" t="s">
        <v>407</v>
      </c>
      <c r="R9" s="38" t="s">
        <v>460</v>
      </c>
      <c r="S9" s="43"/>
      <c r="T9" s="84">
        <v>785</v>
      </c>
      <c r="U9" s="18" t="str">
        <f>"529,4040"</f>
        <v>529,4040</v>
      </c>
      <c r="V9" s="18" t="s">
        <v>529</v>
      </c>
    </row>
    <row r="11" spans="2:21" ht="15.75">
      <c r="B11" s="146" t="s">
        <v>82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</row>
    <row r="12" spans="1:22" ht="12.75">
      <c r="A12" s="34">
        <v>1</v>
      </c>
      <c r="B12" s="18" t="s">
        <v>530</v>
      </c>
      <c r="C12" s="18" t="s">
        <v>531</v>
      </c>
      <c r="D12" s="18" t="s">
        <v>532</v>
      </c>
      <c r="E12" s="18" t="str">
        <f>"0,6250"</f>
        <v>0,6250</v>
      </c>
      <c r="F12" s="18" t="s">
        <v>34</v>
      </c>
      <c r="G12" s="18" t="s">
        <v>35</v>
      </c>
      <c r="H12" s="37" t="s">
        <v>126</v>
      </c>
      <c r="I12" s="37" t="s">
        <v>157</v>
      </c>
      <c r="J12" s="37" t="s">
        <v>108</v>
      </c>
      <c r="K12" s="43"/>
      <c r="L12" s="37" t="s">
        <v>51</v>
      </c>
      <c r="M12" s="37" t="s">
        <v>302</v>
      </c>
      <c r="N12" s="37" t="s">
        <v>131</v>
      </c>
      <c r="O12" s="43"/>
      <c r="P12" s="37" t="s">
        <v>93</v>
      </c>
      <c r="Q12" s="37" t="s">
        <v>96</v>
      </c>
      <c r="R12" s="37" t="s">
        <v>167</v>
      </c>
      <c r="S12" s="43"/>
      <c r="T12" s="84">
        <v>585</v>
      </c>
      <c r="U12" s="18" t="str">
        <f>"365,6250"</f>
        <v>365,6250</v>
      </c>
      <c r="V12" s="18" t="s">
        <v>544</v>
      </c>
    </row>
    <row r="14" spans="2:21" ht="15.75">
      <c r="B14" s="146" t="s">
        <v>140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</row>
    <row r="15" spans="1:22" ht="12.75">
      <c r="A15" s="34">
        <v>1</v>
      </c>
      <c r="B15" s="28" t="s">
        <v>533</v>
      </c>
      <c r="C15" s="28" t="s">
        <v>534</v>
      </c>
      <c r="D15" s="28" t="s">
        <v>535</v>
      </c>
      <c r="E15" s="28" t="str">
        <f>"0,5970"</f>
        <v>0,5970</v>
      </c>
      <c r="F15" s="28" t="s">
        <v>16</v>
      </c>
      <c r="G15" s="28" t="s">
        <v>536</v>
      </c>
      <c r="H15" s="40" t="s">
        <v>96</v>
      </c>
      <c r="I15" s="40" t="s">
        <v>168</v>
      </c>
      <c r="J15" s="40" t="s">
        <v>445</v>
      </c>
      <c r="K15" s="44"/>
      <c r="L15" s="40" t="s">
        <v>157</v>
      </c>
      <c r="M15" s="40" t="s">
        <v>337</v>
      </c>
      <c r="N15" s="40" t="s">
        <v>109</v>
      </c>
      <c r="O15" s="44"/>
      <c r="P15" s="40" t="s">
        <v>446</v>
      </c>
      <c r="Q15" s="40" t="s">
        <v>440</v>
      </c>
      <c r="R15" s="39" t="s">
        <v>537</v>
      </c>
      <c r="S15" s="44"/>
      <c r="T15" s="87">
        <v>742.5</v>
      </c>
      <c r="U15" s="28" t="str">
        <f>"443,2725"</f>
        <v>443,2725</v>
      </c>
      <c r="V15" s="28" t="s">
        <v>538</v>
      </c>
    </row>
    <row r="16" spans="1:22" ht="12.75">
      <c r="A16" s="34">
        <v>1</v>
      </c>
      <c r="B16" s="18" t="s">
        <v>533</v>
      </c>
      <c r="C16" s="18" t="s">
        <v>539</v>
      </c>
      <c r="D16" s="18" t="s">
        <v>535</v>
      </c>
      <c r="E16" s="18" t="str">
        <f>"0,5970"</f>
        <v>0,5970</v>
      </c>
      <c r="F16" s="18" t="s">
        <v>16</v>
      </c>
      <c r="G16" s="18" t="s">
        <v>536</v>
      </c>
      <c r="H16" s="37" t="s">
        <v>96</v>
      </c>
      <c r="I16" s="37" t="s">
        <v>168</v>
      </c>
      <c r="J16" s="37" t="s">
        <v>445</v>
      </c>
      <c r="K16" s="43"/>
      <c r="L16" s="37" t="s">
        <v>157</v>
      </c>
      <c r="M16" s="37" t="s">
        <v>337</v>
      </c>
      <c r="N16" s="37" t="s">
        <v>109</v>
      </c>
      <c r="O16" s="43"/>
      <c r="P16" s="37" t="s">
        <v>446</v>
      </c>
      <c r="Q16" s="37" t="s">
        <v>440</v>
      </c>
      <c r="R16" s="38" t="s">
        <v>537</v>
      </c>
      <c r="S16" s="43"/>
      <c r="T16" s="84">
        <v>742.5</v>
      </c>
      <c r="U16" s="18" t="str">
        <f>"443,2725"</f>
        <v>443,2725</v>
      </c>
      <c r="V16" s="18" t="s">
        <v>538</v>
      </c>
    </row>
  </sheetData>
  <sheetProtection/>
  <mergeCells count="17">
    <mergeCell ref="B14:U14"/>
    <mergeCell ref="T3:T4"/>
    <mergeCell ref="U3:U4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K23" sqref="K23"/>
    </sheetView>
  </sheetViews>
  <sheetFormatPr defaultColWidth="8.75390625" defaultRowHeight="12.75"/>
  <cols>
    <col min="1" max="1" width="4.625" style="0" customWidth="1"/>
    <col min="2" max="2" width="21.75390625" style="0" customWidth="1"/>
    <col min="3" max="3" width="25.25390625" style="0" customWidth="1"/>
    <col min="4" max="4" width="15.00390625" style="0" customWidth="1"/>
    <col min="5" max="5" width="18.375" style="0" customWidth="1"/>
    <col min="6" max="6" width="32.625" style="0" customWidth="1"/>
    <col min="7" max="14" width="8.75390625" style="0" customWidth="1"/>
    <col min="15" max="15" width="14.125" style="0" customWidth="1"/>
    <col min="16" max="16" width="21.00390625" style="0" customWidth="1"/>
  </cols>
  <sheetData>
    <row r="1" spans="1:16" ht="12.75">
      <c r="A1" s="33"/>
      <c r="B1" s="147" t="s">
        <v>889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</row>
    <row r="2" spans="1:16" ht="89.2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6" ht="13.5">
      <c r="A3" s="2"/>
      <c r="B3" s="153" t="s">
        <v>0</v>
      </c>
      <c r="C3" s="155" t="s">
        <v>9</v>
      </c>
      <c r="D3" s="142" t="s">
        <v>10</v>
      </c>
      <c r="E3" s="142" t="s">
        <v>7</v>
      </c>
      <c r="F3" s="142" t="s">
        <v>663</v>
      </c>
      <c r="G3" s="142" t="s">
        <v>890</v>
      </c>
      <c r="H3" s="142"/>
      <c r="I3" s="142"/>
      <c r="J3" s="142"/>
      <c r="K3" s="142"/>
      <c r="L3" s="142"/>
      <c r="M3" s="142"/>
      <c r="N3" s="142"/>
      <c r="O3" s="142" t="s">
        <v>661</v>
      </c>
      <c r="P3" s="144" t="s">
        <v>5</v>
      </c>
    </row>
    <row r="4" spans="1:16" ht="15" thickBot="1">
      <c r="A4" s="2"/>
      <c r="B4" s="154"/>
      <c r="C4" s="143"/>
      <c r="D4" s="143"/>
      <c r="E4" s="143"/>
      <c r="F4" s="143"/>
      <c r="G4" s="32">
        <v>1</v>
      </c>
      <c r="H4" s="32">
        <v>2</v>
      </c>
      <c r="I4" s="32">
        <v>3</v>
      </c>
      <c r="J4" s="32" t="s">
        <v>843</v>
      </c>
      <c r="K4" s="32" t="s">
        <v>844</v>
      </c>
      <c r="L4" s="32" t="s">
        <v>797</v>
      </c>
      <c r="M4" s="32" t="s">
        <v>845</v>
      </c>
      <c r="N4" s="32" t="s">
        <v>846</v>
      </c>
      <c r="O4" s="143"/>
      <c r="P4" s="145"/>
    </row>
    <row r="5" spans="1:16" ht="15.75">
      <c r="A5" s="33"/>
      <c r="B5" s="157" t="s">
        <v>60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4"/>
    </row>
    <row r="6" spans="1:16" ht="12.75">
      <c r="A6" s="33" t="s">
        <v>658</v>
      </c>
      <c r="B6" s="52" t="s">
        <v>891</v>
      </c>
      <c r="C6" s="5" t="s">
        <v>892</v>
      </c>
      <c r="D6" s="5" t="s">
        <v>893</v>
      </c>
      <c r="E6" s="6" t="s">
        <v>16</v>
      </c>
      <c r="F6" s="6" t="s">
        <v>894</v>
      </c>
      <c r="G6" s="72" t="s">
        <v>895</v>
      </c>
      <c r="H6" s="72" t="s">
        <v>896</v>
      </c>
      <c r="I6" s="72" t="s">
        <v>897</v>
      </c>
      <c r="J6" s="72" t="s">
        <v>898</v>
      </c>
      <c r="K6" s="72" t="s">
        <v>899</v>
      </c>
      <c r="L6" s="72" t="s">
        <v>900</v>
      </c>
      <c r="M6" s="62"/>
      <c r="N6" s="62"/>
      <c r="O6" s="62" t="s">
        <v>901</v>
      </c>
      <c r="P6" s="6" t="s">
        <v>81</v>
      </c>
    </row>
    <row r="7" spans="1:16" ht="12.75">
      <c r="A7" s="33" t="s">
        <v>658</v>
      </c>
      <c r="B7" s="55" t="s">
        <v>853</v>
      </c>
      <c r="C7" s="11" t="s">
        <v>854</v>
      </c>
      <c r="D7" s="11" t="s">
        <v>626</v>
      </c>
      <c r="E7" s="12" t="s">
        <v>851</v>
      </c>
      <c r="F7" s="12" t="s">
        <v>247</v>
      </c>
      <c r="G7" s="76" t="s">
        <v>895</v>
      </c>
      <c r="H7" s="76" t="s">
        <v>899</v>
      </c>
      <c r="I7" s="76" t="s">
        <v>902</v>
      </c>
      <c r="J7" s="76" t="s">
        <v>903</v>
      </c>
      <c r="K7" s="67"/>
      <c r="L7" s="67"/>
      <c r="M7" s="67"/>
      <c r="N7" s="67"/>
      <c r="O7" s="67" t="s">
        <v>904</v>
      </c>
      <c r="P7" s="12" t="s">
        <v>81</v>
      </c>
    </row>
    <row r="8" spans="1:16" ht="12.75">
      <c r="A8" s="33" t="s">
        <v>658</v>
      </c>
      <c r="B8" s="53" t="s">
        <v>856</v>
      </c>
      <c r="C8" s="7" t="s">
        <v>857</v>
      </c>
      <c r="D8" s="7" t="s">
        <v>858</v>
      </c>
      <c r="E8" s="8" t="s">
        <v>267</v>
      </c>
      <c r="F8" s="8" t="s">
        <v>268</v>
      </c>
      <c r="G8" s="76" t="s">
        <v>895</v>
      </c>
      <c r="H8" s="76" t="s">
        <v>897</v>
      </c>
      <c r="I8" s="76" t="s">
        <v>898</v>
      </c>
      <c r="J8" s="76" t="s">
        <v>899</v>
      </c>
      <c r="K8" s="77" t="s">
        <v>902</v>
      </c>
      <c r="L8" s="63"/>
      <c r="M8" s="63"/>
      <c r="N8" s="63"/>
      <c r="O8" s="63" t="s">
        <v>905</v>
      </c>
      <c r="P8" s="8" t="s">
        <v>81</v>
      </c>
    </row>
    <row r="9" spans="1:16" ht="12.75">
      <c r="A9" s="33"/>
      <c r="B9" s="56"/>
      <c r="C9" s="1"/>
      <c r="D9" s="1"/>
      <c r="E9" s="4"/>
      <c r="F9" s="4"/>
      <c r="G9" s="33"/>
      <c r="H9" s="33"/>
      <c r="I9" s="33"/>
      <c r="J9" s="33"/>
      <c r="K9" s="33"/>
      <c r="L9" s="33"/>
      <c r="M9" s="33"/>
      <c r="N9" s="33"/>
      <c r="O9" s="33"/>
      <c r="P9" s="4"/>
    </row>
    <row r="10" spans="1:16" ht="15.75">
      <c r="A10" s="33"/>
      <c r="B10" s="159" t="s">
        <v>140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4"/>
    </row>
    <row r="11" spans="1:16" ht="12.75">
      <c r="A11" s="33" t="s">
        <v>658</v>
      </c>
      <c r="B11" s="52" t="s">
        <v>865</v>
      </c>
      <c r="C11" s="5" t="s">
        <v>866</v>
      </c>
      <c r="D11" s="5" t="s">
        <v>867</v>
      </c>
      <c r="E11" s="6" t="s">
        <v>16</v>
      </c>
      <c r="F11" s="6" t="s">
        <v>864</v>
      </c>
      <c r="G11" s="72" t="s">
        <v>895</v>
      </c>
      <c r="H11" s="72" t="s">
        <v>898</v>
      </c>
      <c r="I11" s="72" t="s">
        <v>899</v>
      </c>
      <c r="J11" s="72" t="s">
        <v>900</v>
      </c>
      <c r="K11" s="72" t="s">
        <v>902</v>
      </c>
      <c r="L11" s="72" t="s">
        <v>903</v>
      </c>
      <c r="M11" s="72" t="s">
        <v>906</v>
      </c>
      <c r="N11" s="62"/>
      <c r="O11" s="62" t="s">
        <v>907</v>
      </c>
      <c r="P11" s="6" t="s">
        <v>670</v>
      </c>
    </row>
    <row r="12" spans="1:16" ht="12.75">
      <c r="A12" s="33" t="s">
        <v>658</v>
      </c>
      <c r="B12" s="55" t="s">
        <v>865</v>
      </c>
      <c r="C12" s="11" t="s">
        <v>868</v>
      </c>
      <c r="D12" s="11" t="s">
        <v>867</v>
      </c>
      <c r="E12" s="12" t="s">
        <v>16</v>
      </c>
      <c r="F12" s="12" t="s">
        <v>864</v>
      </c>
      <c r="G12" s="76" t="s">
        <v>895</v>
      </c>
      <c r="H12" s="76" t="s">
        <v>898</v>
      </c>
      <c r="I12" s="76" t="s">
        <v>899</v>
      </c>
      <c r="J12" s="76" t="s">
        <v>900</v>
      </c>
      <c r="K12" s="76" t="s">
        <v>902</v>
      </c>
      <c r="L12" s="76" t="s">
        <v>903</v>
      </c>
      <c r="M12" s="76" t="s">
        <v>906</v>
      </c>
      <c r="N12" s="67"/>
      <c r="O12" s="67" t="s">
        <v>907</v>
      </c>
      <c r="P12" s="12" t="s">
        <v>670</v>
      </c>
    </row>
    <row r="13" spans="1:16" ht="12.75">
      <c r="A13" s="33" t="s">
        <v>659</v>
      </c>
      <c r="B13" s="54" t="s">
        <v>869</v>
      </c>
      <c r="C13" s="9" t="s">
        <v>857</v>
      </c>
      <c r="D13" s="9" t="s">
        <v>908</v>
      </c>
      <c r="E13" s="10" t="s">
        <v>267</v>
      </c>
      <c r="F13" s="10" t="s">
        <v>253</v>
      </c>
      <c r="G13" s="75" t="s">
        <v>895</v>
      </c>
      <c r="H13" s="75" t="s">
        <v>897</v>
      </c>
      <c r="I13" s="75" t="s">
        <v>898</v>
      </c>
      <c r="J13" s="75" t="s">
        <v>899</v>
      </c>
      <c r="K13" s="71" t="s">
        <v>902</v>
      </c>
      <c r="L13" s="65"/>
      <c r="M13" s="65"/>
      <c r="N13" s="65"/>
      <c r="O13" s="65" t="s">
        <v>905</v>
      </c>
      <c r="P13" s="10" t="s">
        <v>271</v>
      </c>
    </row>
    <row r="14" spans="1:16" ht="12.75">
      <c r="A14" s="33" t="s">
        <v>660</v>
      </c>
      <c r="B14" s="55" t="s">
        <v>870</v>
      </c>
      <c r="C14" s="11" t="s">
        <v>871</v>
      </c>
      <c r="D14" s="11" t="s">
        <v>872</v>
      </c>
      <c r="E14" s="12" t="s">
        <v>16</v>
      </c>
      <c r="F14" s="12" t="s">
        <v>873</v>
      </c>
      <c r="G14" s="76" t="s">
        <v>895</v>
      </c>
      <c r="H14" s="67"/>
      <c r="I14" s="67"/>
      <c r="J14" s="67"/>
      <c r="K14" s="67"/>
      <c r="L14" s="67"/>
      <c r="M14" s="67"/>
      <c r="N14" s="67"/>
      <c r="O14" s="67" t="s">
        <v>909</v>
      </c>
      <c r="P14" s="12" t="s">
        <v>271</v>
      </c>
    </row>
    <row r="15" spans="1:16" ht="12.75">
      <c r="A15" s="33"/>
      <c r="B15" s="56"/>
      <c r="C15" s="1"/>
      <c r="D15" s="1"/>
      <c r="E15" s="4"/>
      <c r="F15" s="4"/>
      <c r="G15" s="33"/>
      <c r="H15" s="33"/>
      <c r="I15" s="33"/>
      <c r="J15" s="33"/>
      <c r="K15" s="33"/>
      <c r="L15" s="33"/>
      <c r="M15" s="33"/>
      <c r="N15" s="33"/>
      <c r="O15" s="33"/>
      <c r="P15" s="4"/>
    </row>
    <row r="16" spans="1:16" ht="15.75">
      <c r="A16" s="33"/>
      <c r="B16" s="159" t="s">
        <v>163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4"/>
    </row>
    <row r="17" spans="1:16" ht="12.75">
      <c r="A17" s="33" t="s">
        <v>658</v>
      </c>
      <c r="B17" s="52" t="s">
        <v>874</v>
      </c>
      <c r="C17" s="5" t="s">
        <v>875</v>
      </c>
      <c r="D17" s="5" t="s">
        <v>876</v>
      </c>
      <c r="E17" s="6" t="s">
        <v>16</v>
      </c>
      <c r="F17" s="6" t="s">
        <v>877</v>
      </c>
      <c r="G17" s="72" t="s">
        <v>895</v>
      </c>
      <c r="H17" s="72" t="s">
        <v>898</v>
      </c>
      <c r="I17" s="72" t="s">
        <v>899</v>
      </c>
      <c r="J17" s="72" t="s">
        <v>900</v>
      </c>
      <c r="K17" s="72" t="s">
        <v>902</v>
      </c>
      <c r="L17" s="72" t="s">
        <v>903</v>
      </c>
      <c r="M17" s="72" t="s">
        <v>906</v>
      </c>
      <c r="N17" s="62"/>
      <c r="O17" s="62" t="s">
        <v>907</v>
      </c>
      <c r="P17" s="6" t="s">
        <v>81</v>
      </c>
    </row>
    <row r="18" spans="1:16" ht="12.75">
      <c r="A18" s="33" t="s">
        <v>658</v>
      </c>
      <c r="B18" s="55" t="s">
        <v>874</v>
      </c>
      <c r="C18" s="11" t="s">
        <v>878</v>
      </c>
      <c r="D18" s="11" t="s">
        <v>876</v>
      </c>
      <c r="E18" s="12" t="s">
        <v>16</v>
      </c>
      <c r="F18" s="12" t="s">
        <v>877</v>
      </c>
      <c r="G18" s="76" t="s">
        <v>895</v>
      </c>
      <c r="H18" s="76" t="s">
        <v>898</v>
      </c>
      <c r="I18" s="76" t="s">
        <v>899</v>
      </c>
      <c r="J18" s="76" t="s">
        <v>900</v>
      </c>
      <c r="K18" s="76" t="s">
        <v>902</v>
      </c>
      <c r="L18" s="76" t="s">
        <v>903</v>
      </c>
      <c r="M18" s="76" t="s">
        <v>906</v>
      </c>
      <c r="N18" s="67"/>
      <c r="O18" s="67" t="s">
        <v>907</v>
      </c>
      <c r="P18" s="12" t="s">
        <v>81</v>
      </c>
    </row>
    <row r="19" spans="1:16" ht="12.75">
      <c r="A19" s="33"/>
      <c r="B19" s="56"/>
      <c r="C19" s="1"/>
      <c r="D19" s="1"/>
      <c r="E19" s="4"/>
      <c r="F19" s="4"/>
      <c r="G19" s="33"/>
      <c r="H19" s="33"/>
      <c r="I19" s="33"/>
      <c r="J19" s="33"/>
      <c r="K19" s="33"/>
      <c r="L19" s="33"/>
      <c r="M19" s="33"/>
      <c r="N19" s="33"/>
      <c r="O19" s="33"/>
      <c r="P19" s="4"/>
    </row>
    <row r="20" spans="1:16" ht="15.75">
      <c r="A20" s="33"/>
      <c r="B20" s="159" t="s">
        <v>879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4"/>
    </row>
    <row r="21" spans="1:16" ht="12.75">
      <c r="A21" s="33" t="s">
        <v>658</v>
      </c>
      <c r="B21" s="55" t="s">
        <v>880</v>
      </c>
      <c r="C21" s="11" t="s">
        <v>881</v>
      </c>
      <c r="D21" s="11" t="s">
        <v>882</v>
      </c>
      <c r="E21" s="12" t="s">
        <v>691</v>
      </c>
      <c r="F21" s="12" t="s">
        <v>564</v>
      </c>
      <c r="G21" s="76" t="s">
        <v>895</v>
      </c>
      <c r="H21" s="76" t="s">
        <v>896</v>
      </c>
      <c r="I21" s="67"/>
      <c r="J21" s="67"/>
      <c r="K21" s="67"/>
      <c r="L21" s="67"/>
      <c r="M21" s="67"/>
      <c r="N21" s="67"/>
      <c r="O21" s="67" t="s">
        <v>910</v>
      </c>
      <c r="P21" s="12" t="s">
        <v>81</v>
      </c>
    </row>
    <row r="22" spans="1:16" ht="12.75">
      <c r="A22" s="33"/>
      <c r="B22" s="56"/>
      <c r="C22" s="1"/>
      <c r="D22" s="1"/>
      <c r="E22" s="4"/>
      <c r="F22" s="4"/>
      <c r="G22" s="33"/>
      <c r="H22" s="33"/>
      <c r="I22" s="33"/>
      <c r="J22" s="33"/>
      <c r="K22" s="33"/>
      <c r="L22" s="33"/>
      <c r="M22" s="33"/>
      <c r="N22" s="33"/>
      <c r="O22" s="33"/>
      <c r="P22" s="4"/>
    </row>
  </sheetData>
  <sheetProtection/>
  <mergeCells count="14">
    <mergeCell ref="G3:J3"/>
    <mergeCell ref="K3:N3"/>
    <mergeCell ref="O3:O4"/>
    <mergeCell ref="P3:P4"/>
    <mergeCell ref="B5:O5"/>
    <mergeCell ref="B10:O10"/>
    <mergeCell ref="B16:O16"/>
    <mergeCell ref="B20:O20"/>
    <mergeCell ref="B1:P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N4" sqref="N4:N5"/>
    </sheetView>
  </sheetViews>
  <sheetFormatPr defaultColWidth="8.75390625" defaultRowHeight="12.75"/>
  <cols>
    <col min="1" max="12" width="8.75390625" style="0" customWidth="1"/>
    <col min="13" max="13" width="61.75390625" style="0" customWidth="1"/>
  </cols>
  <sheetData>
    <row r="1" spans="1:13" ht="12.75">
      <c r="A1" s="147" t="s">
        <v>1087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133.5" customHeight="1" thickBo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4" spans="1:13" ht="15.75">
      <c r="A4" s="133" t="s">
        <v>1082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5.75">
      <c r="A5" s="133" t="s">
        <v>1083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15.75">
      <c r="A6" s="133" t="s">
        <v>1088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15.75">
      <c r="A7" s="133" t="s">
        <v>1084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5.75">
      <c r="A8" s="133" t="s">
        <v>1089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133" t="s">
        <v>1095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15.75">
      <c r="A10" s="133" t="s">
        <v>1090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ht="15.75">
      <c r="A11" s="133"/>
    </row>
    <row r="12" ht="13.5" thickBot="1"/>
    <row r="13" spans="1:13" ht="12.75">
      <c r="A13" s="147" t="s">
        <v>1091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5"/>
    </row>
    <row r="14" spans="1:13" ht="94.5" customHeight="1" thickBot="1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8"/>
    </row>
    <row r="16" spans="1:12" ht="15.75">
      <c r="A16" s="133" t="s">
        <v>1082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  <row r="17" spans="1:12" ht="15.75">
      <c r="A17" s="133" t="s">
        <v>1085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1:12" ht="15.75">
      <c r="A18" s="133" t="s">
        <v>1086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20" ht="13.5" thickBot="1"/>
    <row r="21" spans="1:13" ht="12.75">
      <c r="A21" s="147" t="s">
        <v>1092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5"/>
    </row>
    <row r="22" spans="1:13" ht="77.25" customHeight="1" thickBo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8"/>
    </row>
    <row r="24" spans="1:13" ht="15.75">
      <c r="A24" s="133" t="s">
        <v>1082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ht="15.75">
      <c r="A25" s="133" t="s">
        <v>1083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133" t="s">
        <v>1084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5.75">
      <c r="A27" s="133" t="s">
        <v>1089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3" ht="15.75">
      <c r="A28" s="133" t="s">
        <v>1093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13" ht="15.75">
      <c r="A29" s="133" t="s">
        <v>1094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</sheetData>
  <sheetProtection/>
  <mergeCells count="3">
    <mergeCell ref="A1:M2"/>
    <mergeCell ref="A13:M14"/>
    <mergeCell ref="A21:M22"/>
  </mergeCells>
  <printOptions/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G19" sqref="G19"/>
    </sheetView>
  </sheetViews>
  <sheetFormatPr defaultColWidth="8.75390625" defaultRowHeight="12.75"/>
  <cols>
    <col min="1" max="1" width="17.00390625" style="0" customWidth="1"/>
  </cols>
  <sheetData>
    <row r="1" spans="1:13" ht="12.75">
      <c r="A1" s="147" t="s">
        <v>1098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160.5" customHeight="1" thickBo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5" spans="1:4" ht="12.75">
      <c r="A5" t="s">
        <v>947</v>
      </c>
      <c r="D5">
        <v>46</v>
      </c>
    </row>
    <row r="6" spans="1:4" ht="12.75">
      <c r="A6" t="s">
        <v>673</v>
      </c>
      <c r="D6">
        <v>32</v>
      </c>
    </row>
    <row r="7" spans="1:4" ht="12.75">
      <c r="A7" t="s">
        <v>693</v>
      </c>
      <c r="D7">
        <v>29</v>
      </c>
    </row>
    <row r="8" spans="1:4" ht="12.75">
      <c r="A8" t="s">
        <v>679</v>
      </c>
      <c r="D8">
        <v>24</v>
      </c>
    </row>
    <row r="9" spans="1:4" ht="12.75">
      <c r="A9" t="s">
        <v>1096</v>
      </c>
      <c r="D9">
        <v>23</v>
      </c>
    </row>
    <row r="10" spans="1:4" ht="12.75">
      <c r="A10" t="s">
        <v>709</v>
      </c>
      <c r="D10">
        <v>22</v>
      </c>
    </row>
    <row r="11" spans="1:4" ht="12.75">
      <c r="A11" t="s">
        <v>671</v>
      </c>
      <c r="D11">
        <v>19</v>
      </c>
    </row>
    <row r="12" spans="1:4" ht="12.75">
      <c r="A12" t="s">
        <v>1103</v>
      </c>
      <c r="D12">
        <v>15</v>
      </c>
    </row>
    <row r="13" spans="1:4" ht="12.75">
      <c r="A13" t="s">
        <v>1104</v>
      </c>
      <c r="D13">
        <v>12</v>
      </c>
    </row>
    <row r="14" spans="1:4" ht="12.75">
      <c r="A14" t="s">
        <v>1097</v>
      </c>
      <c r="D14">
        <v>12</v>
      </c>
    </row>
    <row r="15" spans="1:4" ht="12.75">
      <c r="A15" t="s">
        <v>665</v>
      </c>
      <c r="D15">
        <v>8</v>
      </c>
    </row>
    <row r="16" spans="1:4" ht="12.75">
      <c r="A16" t="s">
        <v>1106</v>
      </c>
      <c r="D16">
        <v>4</v>
      </c>
    </row>
    <row r="17" spans="1:4" ht="12.75">
      <c r="A17" t="s">
        <v>1105</v>
      </c>
      <c r="D17">
        <v>2</v>
      </c>
    </row>
  </sheetData>
  <sheetProtection/>
  <mergeCells count="1">
    <mergeCell ref="A1:M2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R13" sqref="R13"/>
    </sheetView>
  </sheetViews>
  <sheetFormatPr defaultColWidth="8.75390625" defaultRowHeight="12.75"/>
  <cols>
    <col min="1" max="1" width="4.25390625" style="0" customWidth="1"/>
    <col min="2" max="2" width="20.25390625" style="0" customWidth="1"/>
    <col min="3" max="3" width="25.25390625" style="0" customWidth="1"/>
    <col min="4" max="4" width="10.25390625" style="0" customWidth="1"/>
    <col min="5" max="5" width="19.125" style="0" customWidth="1"/>
    <col min="6" max="6" width="32.125" style="0" customWidth="1"/>
    <col min="7" max="14" width="8.75390625" style="0" customWidth="1"/>
    <col min="15" max="15" width="12.00390625" style="0" customWidth="1"/>
    <col min="16" max="16" width="22.125" style="0" customWidth="1"/>
  </cols>
  <sheetData>
    <row r="1" spans="1:16" ht="12.75">
      <c r="A1" s="33"/>
      <c r="B1" s="147" t="s">
        <v>841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</row>
    <row r="2" spans="1:16" ht="77.2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6" ht="13.5">
      <c r="A3" s="2"/>
      <c r="B3" s="153" t="s">
        <v>0</v>
      </c>
      <c r="C3" s="155" t="s">
        <v>9</v>
      </c>
      <c r="D3" s="142" t="s">
        <v>10</v>
      </c>
      <c r="E3" s="142" t="s">
        <v>7</v>
      </c>
      <c r="F3" s="142" t="s">
        <v>663</v>
      </c>
      <c r="G3" s="142" t="s">
        <v>842</v>
      </c>
      <c r="H3" s="142"/>
      <c r="I3" s="142"/>
      <c r="J3" s="142"/>
      <c r="K3" s="142"/>
      <c r="L3" s="142"/>
      <c r="M3" s="142"/>
      <c r="N3" s="142"/>
      <c r="O3" s="142" t="s">
        <v>661</v>
      </c>
      <c r="P3" s="144" t="s">
        <v>5</v>
      </c>
    </row>
    <row r="4" spans="1:16" ht="15" thickBot="1">
      <c r="A4" s="2"/>
      <c r="B4" s="154"/>
      <c r="C4" s="143"/>
      <c r="D4" s="143"/>
      <c r="E4" s="143"/>
      <c r="F4" s="143"/>
      <c r="G4" s="32">
        <v>1</v>
      </c>
      <c r="H4" s="32">
        <v>2</v>
      </c>
      <c r="I4" s="32">
        <v>3</v>
      </c>
      <c r="J4" s="32" t="s">
        <v>843</v>
      </c>
      <c r="K4" s="32" t="s">
        <v>844</v>
      </c>
      <c r="L4" s="32" t="s">
        <v>797</v>
      </c>
      <c r="M4" s="32" t="s">
        <v>845</v>
      </c>
      <c r="N4" s="32" t="s">
        <v>846</v>
      </c>
      <c r="O4" s="143"/>
      <c r="P4" s="145"/>
    </row>
    <row r="5" spans="1:16" ht="15.75">
      <c r="A5" s="34"/>
      <c r="B5" s="156" t="s">
        <v>847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7"/>
    </row>
    <row r="6" spans="1:16" ht="12.75">
      <c r="A6" s="34">
        <v>1</v>
      </c>
      <c r="B6" s="18" t="s">
        <v>848</v>
      </c>
      <c r="C6" s="18" t="s">
        <v>849</v>
      </c>
      <c r="D6" s="102" t="s">
        <v>850</v>
      </c>
      <c r="E6" s="18" t="s">
        <v>851</v>
      </c>
      <c r="F6" s="18" t="s">
        <v>247</v>
      </c>
      <c r="G6" s="37" t="s">
        <v>80</v>
      </c>
      <c r="H6" s="37" t="s">
        <v>37</v>
      </c>
      <c r="I6" s="37" t="s">
        <v>422</v>
      </c>
      <c r="J6" s="94"/>
      <c r="K6" s="94"/>
      <c r="L6" s="94"/>
      <c r="M6" s="94"/>
      <c r="N6" s="94"/>
      <c r="O6" s="84">
        <v>140</v>
      </c>
      <c r="P6" s="18" t="s">
        <v>852</v>
      </c>
    </row>
    <row r="7" spans="1:16" ht="12.75">
      <c r="A7" s="34"/>
      <c r="B7" s="17"/>
      <c r="C7" s="17"/>
      <c r="D7" s="17"/>
      <c r="E7" s="17"/>
      <c r="F7" s="17"/>
      <c r="G7" s="27"/>
      <c r="H7" s="27"/>
      <c r="I7" s="27"/>
      <c r="J7" s="27"/>
      <c r="K7" s="27"/>
      <c r="L7" s="27"/>
      <c r="M7" s="27"/>
      <c r="N7" s="27"/>
      <c r="O7" s="36"/>
      <c r="P7" s="17"/>
    </row>
    <row r="8" spans="1:16" ht="15.75">
      <c r="A8" s="34"/>
      <c r="B8" s="146" t="s">
        <v>60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7"/>
    </row>
    <row r="9" spans="1:16" ht="12.75">
      <c r="A9" s="34">
        <v>1</v>
      </c>
      <c r="B9" s="28" t="s">
        <v>853</v>
      </c>
      <c r="C9" s="28" t="s">
        <v>854</v>
      </c>
      <c r="D9" s="103" t="s">
        <v>626</v>
      </c>
      <c r="E9" s="28" t="s">
        <v>851</v>
      </c>
      <c r="F9" s="28" t="s">
        <v>247</v>
      </c>
      <c r="G9" s="40" t="s">
        <v>80</v>
      </c>
      <c r="H9" s="40" t="s">
        <v>37</v>
      </c>
      <c r="I9" s="40" t="s">
        <v>422</v>
      </c>
      <c r="J9" s="40" t="s">
        <v>132</v>
      </c>
      <c r="K9" s="40" t="s">
        <v>66</v>
      </c>
      <c r="L9" s="40" t="s">
        <v>855</v>
      </c>
      <c r="M9" s="96"/>
      <c r="N9" s="96"/>
      <c r="O9" s="87">
        <v>175</v>
      </c>
      <c r="P9" s="28" t="s">
        <v>81</v>
      </c>
    </row>
    <row r="10" spans="1:16" ht="12.75">
      <c r="A10" s="34">
        <v>1</v>
      </c>
      <c r="B10" s="18" t="s">
        <v>856</v>
      </c>
      <c r="C10" s="18" t="s">
        <v>857</v>
      </c>
      <c r="D10" s="102" t="s">
        <v>858</v>
      </c>
      <c r="E10" s="18" t="s">
        <v>267</v>
      </c>
      <c r="F10" s="18" t="s">
        <v>268</v>
      </c>
      <c r="G10" s="37" t="s">
        <v>80</v>
      </c>
      <c r="H10" s="37" t="s">
        <v>19</v>
      </c>
      <c r="I10" s="37" t="s">
        <v>422</v>
      </c>
      <c r="J10" s="37" t="s">
        <v>131</v>
      </c>
      <c r="K10" s="38" t="s">
        <v>279</v>
      </c>
      <c r="L10" s="94"/>
      <c r="M10" s="94"/>
      <c r="N10" s="94"/>
      <c r="O10" s="84">
        <v>150</v>
      </c>
      <c r="P10" s="18" t="s">
        <v>81</v>
      </c>
    </row>
    <row r="11" spans="1:16" ht="12.75">
      <c r="A11" s="34">
        <v>2</v>
      </c>
      <c r="B11" s="31" t="s">
        <v>731</v>
      </c>
      <c r="C11" s="31" t="s">
        <v>859</v>
      </c>
      <c r="D11" s="104" t="s">
        <v>735</v>
      </c>
      <c r="E11" s="31" t="s">
        <v>685</v>
      </c>
      <c r="F11" s="31" t="s">
        <v>729</v>
      </c>
      <c r="G11" s="42" t="s">
        <v>80</v>
      </c>
      <c r="H11" s="42" t="s">
        <v>26</v>
      </c>
      <c r="I11" s="42" t="s">
        <v>37</v>
      </c>
      <c r="J11" s="42" t="s">
        <v>19</v>
      </c>
      <c r="K11" s="101"/>
      <c r="L11" s="101"/>
      <c r="M11" s="101"/>
      <c r="N11" s="101"/>
      <c r="O11" s="88">
        <v>130</v>
      </c>
      <c r="P11" s="31" t="s">
        <v>81</v>
      </c>
    </row>
    <row r="12" spans="1:16" ht="12.75">
      <c r="A12" s="34"/>
      <c r="B12" s="17"/>
      <c r="C12" s="17"/>
      <c r="D12" s="17"/>
      <c r="E12" s="17"/>
      <c r="F12" s="17"/>
      <c r="G12" s="27"/>
      <c r="H12" s="27"/>
      <c r="I12" s="27"/>
      <c r="J12" s="27"/>
      <c r="K12" s="27"/>
      <c r="L12" s="27"/>
      <c r="M12" s="27"/>
      <c r="N12" s="27"/>
      <c r="O12" s="36"/>
      <c r="P12" s="17"/>
    </row>
    <row r="13" spans="1:16" ht="15.75">
      <c r="A13" s="34"/>
      <c r="B13" s="146" t="s">
        <v>82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7"/>
    </row>
    <row r="14" spans="1:16" ht="12.75">
      <c r="A14" s="34">
        <v>1</v>
      </c>
      <c r="B14" s="28" t="s">
        <v>650</v>
      </c>
      <c r="C14" s="28" t="s">
        <v>651</v>
      </c>
      <c r="D14" s="103" t="s">
        <v>589</v>
      </c>
      <c r="E14" s="12" t="s">
        <v>691</v>
      </c>
      <c r="F14" s="28" t="s">
        <v>564</v>
      </c>
      <c r="G14" s="40" t="s">
        <v>80</v>
      </c>
      <c r="H14" s="40" t="s">
        <v>26</v>
      </c>
      <c r="I14" s="40" t="s">
        <v>36</v>
      </c>
      <c r="J14" s="96"/>
      <c r="K14" s="96"/>
      <c r="L14" s="96"/>
      <c r="M14" s="96"/>
      <c r="N14" s="96"/>
      <c r="O14" s="87">
        <v>110</v>
      </c>
      <c r="P14" s="28" t="s">
        <v>737</v>
      </c>
    </row>
    <row r="15" spans="1:16" ht="12.75">
      <c r="A15" s="34">
        <v>1</v>
      </c>
      <c r="B15" s="18" t="s">
        <v>650</v>
      </c>
      <c r="C15" s="18" t="s">
        <v>860</v>
      </c>
      <c r="D15" s="102" t="s">
        <v>589</v>
      </c>
      <c r="E15" s="12" t="s">
        <v>691</v>
      </c>
      <c r="F15" s="18" t="s">
        <v>564</v>
      </c>
      <c r="G15" s="37" t="s">
        <v>80</v>
      </c>
      <c r="H15" s="37" t="s">
        <v>26</v>
      </c>
      <c r="I15" s="37" t="s">
        <v>36</v>
      </c>
      <c r="J15" s="94"/>
      <c r="K15" s="94"/>
      <c r="L15" s="94"/>
      <c r="M15" s="94"/>
      <c r="N15" s="94"/>
      <c r="O15" s="84">
        <v>110</v>
      </c>
      <c r="P15" s="18" t="s">
        <v>737</v>
      </c>
    </row>
    <row r="16" spans="1:16" ht="12.75">
      <c r="A16" s="34"/>
      <c r="B16" s="17"/>
      <c r="C16" s="17"/>
      <c r="D16" s="17"/>
      <c r="E16" s="17"/>
      <c r="F16" s="17"/>
      <c r="G16" s="27"/>
      <c r="H16" s="27"/>
      <c r="I16" s="27"/>
      <c r="J16" s="27"/>
      <c r="K16" s="27"/>
      <c r="L16" s="27"/>
      <c r="M16" s="27"/>
      <c r="N16" s="27"/>
      <c r="O16" s="36"/>
      <c r="P16" s="17"/>
    </row>
    <row r="17" spans="1:16" ht="15.75">
      <c r="A17" s="34"/>
      <c r="B17" s="146" t="s">
        <v>140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7"/>
    </row>
    <row r="18" spans="1:16" ht="12.75">
      <c r="A18" s="34">
        <v>1</v>
      </c>
      <c r="B18" s="28" t="s">
        <v>861</v>
      </c>
      <c r="C18" s="28" t="s">
        <v>862</v>
      </c>
      <c r="D18" s="103" t="s">
        <v>863</v>
      </c>
      <c r="E18" s="28" t="s">
        <v>16</v>
      </c>
      <c r="F18" s="28" t="s">
        <v>864</v>
      </c>
      <c r="G18" s="40" t="s">
        <v>80</v>
      </c>
      <c r="H18" s="40" t="s">
        <v>36</v>
      </c>
      <c r="I18" s="40" t="s">
        <v>19</v>
      </c>
      <c r="J18" s="40" t="s">
        <v>131</v>
      </c>
      <c r="K18" s="40" t="s">
        <v>279</v>
      </c>
      <c r="L18" s="40" t="s">
        <v>132</v>
      </c>
      <c r="M18" s="96"/>
      <c r="N18" s="96"/>
      <c r="O18" s="87">
        <v>160</v>
      </c>
      <c r="P18" s="28" t="s">
        <v>81</v>
      </c>
    </row>
    <row r="19" spans="1:16" ht="12.75">
      <c r="A19" s="34">
        <v>2</v>
      </c>
      <c r="B19" s="18" t="s">
        <v>865</v>
      </c>
      <c r="C19" s="18" t="s">
        <v>866</v>
      </c>
      <c r="D19" s="102" t="s">
        <v>867</v>
      </c>
      <c r="E19" s="18" t="s">
        <v>16</v>
      </c>
      <c r="F19" s="18" t="s">
        <v>864</v>
      </c>
      <c r="G19" s="37" t="s">
        <v>80</v>
      </c>
      <c r="H19" s="37" t="s">
        <v>37</v>
      </c>
      <c r="I19" s="37" t="s">
        <v>19</v>
      </c>
      <c r="J19" s="37" t="s">
        <v>422</v>
      </c>
      <c r="K19" s="37" t="s">
        <v>131</v>
      </c>
      <c r="L19" s="37" t="s">
        <v>279</v>
      </c>
      <c r="M19" s="38" t="s">
        <v>132</v>
      </c>
      <c r="N19" s="94"/>
      <c r="O19" s="84">
        <v>155</v>
      </c>
      <c r="P19" s="18" t="s">
        <v>81</v>
      </c>
    </row>
    <row r="20" spans="1:16" ht="12.75">
      <c r="A20" s="34">
        <v>1</v>
      </c>
      <c r="B20" s="30" t="s">
        <v>865</v>
      </c>
      <c r="C20" s="30" t="s">
        <v>868</v>
      </c>
      <c r="D20" s="105" t="s">
        <v>867</v>
      </c>
      <c r="E20" s="30" t="s">
        <v>16</v>
      </c>
      <c r="F20" s="30" t="s">
        <v>864</v>
      </c>
      <c r="G20" s="37" t="s">
        <v>80</v>
      </c>
      <c r="H20" s="37" t="s">
        <v>37</v>
      </c>
      <c r="I20" s="37" t="s">
        <v>19</v>
      </c>
      <c r="J20" s="37" t="s">
        <v>422</v>
      </c>
      <c r="K20" s="37" t="s">
        <v>131</v>
      </c>
      <c r="L20" s="37" t="s">
        <v>279</v>
      </c>
      <c r="M20" s="38" t="s">
        <v>132</v>
      </c>
      <c r="N20" s="99"/>
      <c r="O20" s="89">
        <v>155</v>
      </c>
      <c r="P20" s="30" t="s">
        <v>81</v>
      </c>
    </row>
    <row r="21" spans="1:16" ht="12.75">
      <c r="A21" s="34">
        <v>2</v>
      </c>
      <c r="B21" s="18" t="s">
        <v>869</v>
      </c>
      <c r="C21" s="18" t="s">
        <v>857</v>
      </c>
      <c r="D21" s="102" t="s">
        <v>456</v>
      </c>
      <c r="E21" s="18" t="s">
        <v>267</v>
      </c>
      <c r="F21" s="18" t="s">
        <v>253</v>
      </c>
      <c r="G21" s="37" t="s">
        <v>80</v>
      </c>
      <c r="H21" s="37" t="s">
        <v>36</v>
      </c>
      <c r="I21" s="37" t="s">
        <v>37</v>
      </c>
      <c r="J21" s="37" t="s">
        <v>19</v>
      </c>
      <c r="K21" s="37" t="s">
        <v>422</v>
      </c>
      <c r="L21" s="94"/>
      <c r="M21" s="94"/>
      <c r="N21" s="94"/>
      <c r="O21" s="84">
        <v>140</v>
      </c>
      <c r="P21" s="18" t="s">
        <v>271</v>
      </c>
    </row>
    <row r="22" spans="1:16" ht="12.75">
      <c r="A22" s="34">
        <v>3</v>
      </c>
      <c r="B22" s="31" t="s">
        <v>870</v>
      </c>
      <c r="C22" s="31" t="s">
        <v>871</v>
      </c>
      <c r="D22" s="104" t="s">
        <v>872</v>
      </c>
      <c r="E22" s="31" t="s">
        <v>267</v>
      </c>
      <c r="F22" s="31" t="s">
        <v>873</v>
      </c>
      <c r="G22" s="37" t="s">
        <v>80</v>
      </c>
      <c r="H22" s="37" t="s">
        <v>26</v>
      </c>
      <c r="I22" s="37" t="s">
        <v>36</v>
      </c>
      <c r="J22" s="101"/>
      <c r="K22" s="101"/>
      <c r="L22" s="101"/>
      <c r="M22" s="101"/>
      <c r="N22" s="101"/>
      <c r="O22" s="88">
        <v>110</v>
      </c>
      <c r="P22" s="31" t="s">
        <v>271</v>
      </c>
    </row>
    <row r="23" spans="1:16" ht="12.75">
      <c r="A23" s="34"/>
      <c r="B23" s="17"/>
      <c r="C23" s="17"/>
      <c r="D23" s="17"/>
      <c r="E23" s="17"/>
      <c r="F23" s="17"/>
      <c r="G23" s="27"/>
      <c r="H23" s="27"/>
      <c r="I23" s="27"/>
      <c r="J23" s="27"/>
      <c r="K23" s="27"/>
      <c r="L23" s="27"/>
      <c r="M23" s="27"/>
      <c r="N23" s="27"/>
      <c r="O23" s="36"/>
      <c r="P23" s="17"/>
    </row>
    <row r="24" spans="1:16" ht="15.75">
      <c r="A24" s="34"/>
      <c r="B24" s="146" t="s">
        <v>163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7"/>
    </row>
    <row r="25" spans="1:16" ht="12.75">
      <c r="A25" s="34">
        <v>1</v>
      </c>
      <c r="B25" s="28" t="s">
        <v>874</v>
      </c>
      <c r="C25" s="28" t="s">
        <v>875</v>
      </c>
      <c r="D25" s="103" t="s">
        <v>876</v>
      </c>
      <c r="E25" s="28" t="s">
        <v>16</v>
      </c>
      <c r="F25" s="28" t="s">
        <v>877</v>
      </c>
      <c r="G25" s="40" t="s">
        <v>80</v>
      </c>
      <c r="H25" s="40" t="s">
        <v>422</v>
      </c>
      <c r="I25" s="40" t="s">
        <v>132</v>
      </c>
      <c r="J25" s="40" t="s">
        <v>74</v>
      </c>
      <c r="K25" s="40" t="s">
        <v>66</v>
      </c>
      <c r="L25" s="96"/>
      <c r="M25" s="96"/>
      <c r="N25" s="96"/>
      <c r="O25" s="87">
        <v>170</v>
      </c>
      <c r="P25" s="28" t="s">
        <v>81</v>
      </c>
    </row>
    <row r="26" spans="1:16" ht="12.75">
      <c r="A26" s="34">
        <v>1</v>
      </c>
      <c r="B26" s="18" t="s">
        <v>874</v>
      </c>
      <c r="C26" s="18" t="s">
        <v>878</v>
      </c>
      <c r="D26" s="102" t="s">
        <v>876</v>
      </c>
      <c r="E26" s="18" t="s">
        <v>16</v>
      </c>
      <c r="F26" s="18" t="s">
        <v>877</v>
      </c>
      <c r="G26" s="94"/>
      <c r="H26" s="94"/>
      <c r="I26" s="94"/>
      <c r="J26" s="94"/>
      <c r="K26" s="94"/>
      <c r="L26" s="94"/>
      <c r="M26" s="94"/>
      <c r="N26" s="94"/>
      <c r="O26" s="84">
        <v>170</v>
      </c>
      <c r="P26" s="18" t="s">
        <v>81</v>
      </c>
    </row>
    <row r="27" spans="1:16" ht="12.75">
      <c r="A27" s="34"/>
      <c r="B27" s="17"/>
      <c r="C27" s="17"/>
      <c r="D27" s="17"/>
      <c r="E27" s="17"/>
      <c r="F27" s="17"/>
      <c r="G27" s="27"/>
      <c r="H27" s="27"/>
      <c r="I27" s="27"/>
      <c r="J27" s="27"/>
      <c r="K27" s="27"/>
      <c r="L27" s="27"/>
      <c r="M27" s="27"/>
      <c r="N27" s="27"/>
      <c r="O27" s="36"/>
      <c r="P27" s="17"/>
    </row>
    <row r="28" spans="1:16" ht="15.75">
      <c r="A28" s="34"/>
      <c r="B28" s="146" t="s">
        <v>879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7"/>
    </row>
    <row r="29" spans="1:16" ht="12.75">
      <c r="A29" s="34">
        <v>1</v>
      </c>
      <c r="B29" s="18" t="s">
        <v>880</v>
      </c>
      <c r="C29" s="18" t="s">
        <v>881</v>
      </c>
      <c r="D29" s="102" t="s">
        <v>882</v>
      </c>
      <c r="E29" s="12" t="s">
        <v>691</v>
      </c>
      <c r="F29" s="18" t="s">
        <v>564</v>
      </c>
      <c r="G29" s="37" t="s">
        <v>80</v>
      </c>
      <c r="H29" s="37" t="s">
        <v>26</v>
      </c>
      <c r="I29" s="37" t="s">
        <v>36</v>
      </c>
      <c r="J29" s="37" t="s">
        <v>37</v>
      </c>
      <c r="K29" s="38" t="s">
        <v>19</v>
      </c>
      <c r="L29" s="94"/>
      <c r="M29" s="94"/>
      <c r="N29" s="94"/>
      <c r="O29" s="84">
        <v>120</v>
      </c>
      <c r="P29" s="18" t="s">
        <v>81</v>
      </c>
    </row>
    <row r="30" spans="1:16" ht="12.75">
      <c r="A30" s="34"/>
      <c r="B30" s="17"/>
      <c r="C30" s="17"/>
      <c r="D30" s="17"/>
      <c r="E30" s="17"/>
      <c r="F30" s="17"/>
      <c r="G30" s="27"/>
      <c r="H30" s="27"/>
      <c r="I30" s="27"/>
      <c r="J30" s="27"/>
      <c r="K30" s="27"/>
      <c r="L30" s="27"/>
      <c r="M30" s="27"/>
      <c r="N30" s="27"/>
      <c r="O30" s="36"/>
      <c r="P30" s="17"/>
    </row>
    <row r="31" spans="1:16" ht="12.75">
      <c r="A31" s="34"/>
      <c r="B31" s="17"/>
      <c r="C31" s="17"/>
      <c r="D31" s="17"/>
      <c r="E31" s="17"/>
      <c r="F31" s="17"/>
      <c r="G31" s="27"/>
      <c r="H31" s="27"/>
      <c r="I31" s="27"/>
      <c r="J31" s="27"/>
      <c r="K31" s="27"/>
      <c r="L31" s="27"/>
      <c r="M31" s="27"/>
      <c r="N31" s="27"/>
      <c r="O31" s="36"/>
      <c r="P31" s="17"/>
    </row>
    <row r="32" spans="1:16" ht="18">
      <c r="A32" s="34"/>
      <c r="B32" s="21" t="s">
        <v>192</v>
      </c>
      <c r="C32" s="21"/>
      <c r="D32" s="17"/>
      <c r="E32" s="17"/>
      <c r="F32" s="17"/>
      <c r="G32" s="27"/>
      <c r="H32" s="27"/>
      <c r="I32" s="27"/>
      <c r="J32" s="27"/>
      <c r="K32" s="27"/>
      <c r="L32" s="27"/>
      <c r="M32" s="27"/>
      <c r="N32" s="27"/>
      <c r="O32" s="36"/>
      <c r="P32" s="17"/>
    </row>
    <row r="33" spans="1:16" ht="15.75">
      <c r="A33" s="34"/>
      <c r="B33" s="22" t="s">
        <v>201</v>
      </c>
      <c r="C33" s="22"/>
      <c r="D33" s="17"/>
      <c r="E33" s="17"/>
      <c r="F33" s="17"/>
      <c r="G33" s="27"/>
      <c r="H33" s="27"/>
      <c r="I33" s="27"/>
      <c r="J33" s="27"/>
      <c r="K33" s="27"/>
      <c r="L33" s="27"/>
      <c r="M33" s="27"/>
      <c r="N33" s="27"/>
      <c r="O33" s="36"/>
      <c r="P33" s="17"/>
    </row>
    <row r="34" spans="1:16" ht="13.5">
      <c r="A34" s="34"/>
      <c r="B34" s="85" t="s">
        <v>193</v>
      </c>
      <c r="C34" s="25"/>
      <c r="D34" s="17"/>
      <c r="E34" s="17"/>
      <c r="F34" s="17"/>
      <c r="G34" s="27"/>
      <c r="H34" s="27"/>
      <c r="I34" s="27"/>
      <c r="J34" s="27"/>
      <c r="K34" s="27"/>
      <c r="L34" s="27"/>
      <c r="M34" s="27"/>
      <c r="N34" s="27"/>
      <c r="O34" s="36"/>
      <c r="P34" s="17"/>
    </row>
    <row r="35" spans="1:16" ht="13.5">
      <c r="A35" s="34"/>
      <c r="B35" s="26" t="s">
        <v>194</v>
      </c>
      <c r="C35" s="26" t="s">
        <v>195</v>
      </c>
      <c r="D35" s="26" t="s">
        <v>196</v>
      </c>
      <c r="E35" s="26" t="s">
        <v>661</v>
      </c>
      <c r="F35" s="17"/>
      <c r="G35" s="27"/>
      <c r="H35" s="27"/>
      <c r="I35" s="27"/>
      <c r="J35" s="27"/>
      <c r="K35" s="27"/>
      <c r="L35" s="27"/>
      <c r="M35" s="27"/>
      <c r="N35" s="27"/>
      <c r="O35" s="36"/>
      <c r="P35" s="17"/>
    </row>
    <row r="36" spans="1:16" ht="12.75">
      <c r="A36" s="34">
        <v>1</v>
      </c>
      <c r="B36" s="106" t="s">
        <v>853</v>
      </c>
      <c r="C36" s="106" t="s">
        <v>854</v>
      </c>
      <c r="D36" s="86" t="s">
        <v>883</v>
      </c>
      <c r="E36" s="107">
        <v>175</v>
      </c>
      <c r="F36" s="17"/>
      <c r="G36" s="27"/>
      <c r="H36" s="27"/>
      <c r="I36" s="27"/>
      <c r="J36" s="27"/>
      <c r="K36" s="27"/>
      <c r="L36" s="27"/>
      <c r="M36" s="27"/>
      <c r="N36" s="27"/>
      <c r="O36" s="36"/>
      <c r="P36" s="17"/>
    </row>
    <row r="37" spans="1:16" ht="12.75">
      <c r="A37" s="34">
        <v>2</v>
      </c>
      <c r="B37" s="106" t="s">
        <v>874</v>
      </c>
      <c r="C37" s="106" t="s">
        <v>875</v>
      </c>
      <c r="D37" s="86" t="s">
        <v>884</v>
      </c>
      <c r="E37" s="107">
        <v>170</v>
      </c>
      <c r="F37" s="17"/>
      <c r="G37" s="27"/>
      <c r="H37" s="27"/>
      <c r="I37" s="27"/>
      <c r="J37" s="27"/>
      <c r="K37" s="27"/>
      <c r="L37" s="27"/>
      <c r="M37" s="27"/>
      <c r="N37" s="27"/>
      <c r="O37" s="36"/>
      <c r="P37" s="17"/>
    </row>
    <row r="38" spans="1:16" ht="12.75">
      <c r="A38" s="34">
        <v>3</v>
      </c>
      <c r="B38" s="106" t="s">
        <v>861</v>
      </c>
      <c r="C38" s="106" t="s">
        <v>862</v>
      </c>
      <c r="D38" s="86" t="s">
        <v>885</v>
      </c>
      <c r="E38" s="107">
        <v>160</v>
      </c>
      <c r="F38" s="17"/>
      <c r="G38" s="27"/>
      <c r="H38" s="27"/>
      <c r="I38" s="27"/>
      <c r="J38" s="27"/>
      <c r="K38" s="27"/>
      <c r="L38" s="27"/>
      <c r="M38" s="27"/>
      <c r="N38" s="27"/>
      <c r="O38" s="36"/>
      <c r="P38" s="17"/>
    </row>
    <row r="39" spans="1:16" ht="12.75">
      <c r="A39" s="34"/>
      <c r="B39" s="17"/>
      <c r="C39" s="106"/>
      <c r="D39" s="17"/>
      <c r="E39" s="17"/>
      <c r="F39" s="17"/>
      <c r="G39" s="27"/>
      <c r="H39" s="27"/>
      <c r="I39" s="27"/>
      <c r="J39" s="27"/>
      <c r="K39" s="27"/>
      <c r="L39" s="27"/>
      <c r="M39" s="27"/>
      <c r="N39" s="27"/>
      <c r="O39" s="36"/>
      <c r="P39" s="17"/>
    </row>
    <row r="40" spans="1:16" ht="13.5">
      <c r="A40" s="34"/>
      <c r="B40" s="85" t="s">
        <v>199</v>
      </c>
      <c r="C40" s="25"/>
      <c r="D40" s="17"/>
      <c r="E40" s="17"/>
      <c r="F40" s="17"/>
      <c r="G40" s="27"/>
      <c r="H40" s="27"/>
      <c r="I40" s="27"/>
      <c r="J40" s="27"/>
      <c r="K40" s="27"/>
      <c r="L40" s="27"/>
      <c r="M40" s="27"/>
      <c r="N40" s="27"/>
      <c r="O40" s="36"/>
      <c r="P40" s="17"/>
    </row>
    <row r="41" spans="1:16" ht="13.5">
      <c r="A41" s="34"/>
      <c r="B41" s="26" t="s">
        <v>194</v>
      </c>
      <c r="C41" s="26" t="s">
        <v>195</v>
      </c>
      <c r="D41" s="26" t="s">
        <v>196</v>
      </c>
      <c r="E41" s="26" t="s">
        <v>661</v>
      </c>
      <c r="F41" s="17"/>
      <c r="G41" s="27"/>
      <c r="H41" s="27"/>
      <c r="I41" s="27"/>
      <c r="J41" s="27"/>
      <c r="K41" s="27"/>
      <c r="L41" s="27"/>
      <c r="M41" s="27"/>
      <c r="N41" s="27"/>
      <c r="O41" s="36"/>
      <c r="P41" s="17"/>
    </row>
    <row r="42" spans="1:16" ht="12.75">
      <c r="A42" s="34">
        <v>1</v>
      </c>
      <c r="B42" s="106" t="s">
        <v>874</v>
      </c>
      <c r="C42" s="108" t="s">
        <v>878</v>
      </c>
      <c r="D42" s="109" t="s">
        <v>884</v>
      </c>
      <c r="E42" s="109" t="s">
        <v>886</v>
      </c>
      <c r="F42" s="17"/>
      <c r="G42" s="27"/>
      <c r="H42" s="27"/>
      <c r="I42" s="27"/>
      <c r="J42" s="27"/>
      <c r="K42" s="27"/>
      <c r="L42" s="27"/>
      <c r="M42" s="27"/>
      <c r="N42" s="27"/>
      <c r="O42" s="36"/>
      <c r="P42" s="17"/>
    </row>
    <row r="43" spans="1:16" ht="12.75">
      <c r="A43" s="34">
        <v>2</v>
      </c>
      <c r="B43" s="106" t="s">
        <v>865</v>
      </c>
      <c r="C43" s="106" t="s">
        <v>868</v>
      </c>
      <c r="D43" s="36" t="s">
        <v>885</v>
      </c>
      <c r="E43" s="36" t="s">
        <v>887</v>
      </c>
      <c r="F43" s="17"/>
      <c r="G43" s="27"/>
      <c r="H43" s="27"/>
      <c r="I43" s="27"/>
      <c r="J43" s="27"/>
      <c r="K43" s="27"/>
      <c r="L43" s="27"/>
      <c r="M43" s="27"/>
      <c r="N43" s="27"/>
      <c r="O43" s="36"/>
      <c r="P43" s="17"/>
    </row>
    <row r="44" spans="1:16" ht="12.75">
      <c r="A44" s="34">
        <v>3</v>
      </c>
      <c r="B44" s="106" t="s">
        <v>856</v>
      </c>
      <c r="C44" s="106" t="s">
        <v>857</v>
      </c>
      <c r="D44" s="36" t="s">
        <v>883</v>
      </c>
      <c r="E44" s="36" t="s">
        <v>888</v>
      </c>
      <c r="F44" s="17"/>
      <c r="G44" s="27"/>
      <c r="H44" s="27"/>
      <c r="I44" s="27"/>
      <c r="J44" s="27"/>
      <c r="K44" s="27"/>
      <c r="L44" s="27"/>
      <c r="M44" s="27"/>
      <c r="N44" s="27"/>
      <c r="O44" s="36"/>
      <c r="P44" s="17"/>
    </row>
    <row r="45" spans="1:16" ht="12.75">
      <c r="A45" s="34"/>
      <c r="B45" s="17"/>
      <c r="C45" s="17"/>
      <c r="D45" s="17"/>
      <c r="E45" s="17"/>
      <c r="F45" s="17"/>
      <c r="G45" s="27"/>
      <c r="H45" s="27"/>
      <c r="I45" s="27"/>
      <c r="J45" s="27"/>
      <c r="K45" s="27"/>
      <c r="L45" s="27"/>
      <c r="M45" s="27"/>
      <c r="N45" s="27"/>
      <c r="O45" s="36"/>
      <c r="P45" s="17"/>
    </row>
    <row r="46" spans="1:16" ht="12.75">
      <c r="A46" s="34"/>
      <c r="B46" s="17"/>
      <c r="C46" s="17"/>
      <c r="D46" s="17"/>
      <c r="E46" s="17"/>
      <c r="F46" s="17"/>
      <c r="G46" s="27"/>
      <c r="H46" s="27"/>
      <c r="I46" s="27"/>
      <c r="J46" s="27"/>
      <c r="K46" s="27"/>
      <c r="L46" s="27"/>
      <c r="M46" s="27"/>
      <c r="N46" s="27"/>
      <c r="O46" s="36"/>
      <c r="P46" s="17"/>
    </row>
  </sheetData>
  <sheetProtection/>
  <mergeCells count="16">
    <mergeCell ref="B1:P2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B5:O5"/>
    <mergeCell ref="B8:O8"/>
    <mergeCell ref="B13:O13"/>
    <mergeCell ref="B17:O17"/>
    <mergeCell ref="B24:O24"/>
    <mergeCell ref="B28:O28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13" sqref="A13"/>
    </sheetView>
  </sheetViews>
  <sheetFormatPr defaultColWidth="8.75390625" defaultRowHeight="12.75"/>
  <cols>
    <col min="1" max="1" width="3.625" style="0" customWidth="1"/>
    <col min="2" max="2" width="20.25390625" style="0" customWidth="1"/>
    <col min="3" max="3" width="27.625" style="0" customWidth="1"/>
    <col min="4" max="4" width="13.25390625" style="0" customWidth="1"/>
    <col min="5" max="5" width="9.25390625" style="0" customWidth="1"/>
    <col min="6" max="6" width="19.875" style="0" customWidth="1"/>
    <col min="7" max="7" width="38.75390625" style="0" customWidth="1"/>
    <col min="8" max="8" width="6.375" style="0" customWidth="1"/>
    <col min="9" max="9" width="6.125" style="0" customWidth="1"/>
    <col min="10" max="10" width="7.00390625" style="0" customWidth="1"/>
    <col min="11" max="11" width="6.875" style="0" customWidth="1"/>
    <col min="12" max="12" width="6.125" style="0" customWidth="1"/>
    <col min="13" max="14" width="6.00390625" style="0" customWidth="1"/>
    <col min="15" max="15" width="7.00390625" style="0" customWidth="1"/>
    <col min="16" max="17" width="8.75390625" style="0" customWidth="1"/>
    <col min="18" max="18" width="20.875" style="0" customWidth="1"/>
  </cols>
  <sheetData>
    <row r="1" spans="1:18" ht="12.75">
      <c r="A1" s="33"/>
      <c r="B1" s="147" t="s">
        <v>712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</row>
    <row r="2" spans="1:18" ht="72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2"/>
    </row>
    <row r="3" spans="1:18" ht="13.5">
      <c r="A3" s="2"/>
      <c r="B3" s="153" t="s">
        <v>0</v>
      </c>
      <c r="C3" s="155" t="s">
        <v>9</v>
      </c>
      <c r="D3" s="142" t="s">
        <v>10</v>
      </c>
      <c r="E3" s="142" t="s">
        <v>713</v>
      </c>
      <c r="F3" s="142" t="s">
        <v>7</v>
      </c>
      <c r="G3" s="142" t="s">
        <v>663</v>
      </c>
      <c r="H3" s="142" t="s">
        <v>714</v>
      </c>
      <c r="I3" s="142"/>
      <c r="J3" s="142"/>
      <c r="K3" s="142"/>
      <c r="L3" s="142" t="s">
        <v>715</v>
      </c>
      <c r="M3" s="142"/>
      <c r="N3" s="142"/>
      <c r="O3" s="142"/>
      <c r="P3" s="142" t="s">
        <v>4</v>
      </c>
      <c r="Q3" s="142" t="s">
        <v>6</v>
      </c>
      <c r="R3" s="144" t="s">
        <v>5</v>
      </c>
    </row>
    <row r="4" spans="1:18" ht="15" thickBot="1">
      <c r="A4" s="2"/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143"/>
      <c r="Q4" s="143"/>
      <c r="R4" s="145"/>
    </row>
    <row r="5" spans="1:18" ht="15.75">
      <c r="A5" s="34"/>
      <c r="B5" s="156" t="s">
        <v>30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7"/>
    </row>
    <row r="6" spans="1:18" ht="12.75">
      <c r="A6" s="34">
        <v>1</v>
      </c>
      <c r="B6" s="18" t="s">
        <v>716</v>
      </c>
      <c r="C6" s="18" t="s">
        <v>717</v>
      </c>
      <c r="D6" s="18" t="s">
        <v>718</v>
      </c>
      <c r="E6" s="18" t="str">
        <f>"1,1336"</f>
        <v>1,1336</v>
      </c>
      <c r="F6" s="18" t="s">
        <v>16</v>
      </c>
      <c r="G6" s="18" t="s">
        <v>719</v>
      </c>
      <c r="H6" s="37" t="s">
        <v>270</v>
      </c>
      <c r="I6" s="37" t="s">
        <v>720</v>
      </c>
      <c r="J6" s="38" t="s">
        <v>255</v>
      </c>
      <c r="K6" s="43"/>
      <c r="L6" s="37" t="s">
        <v>270</v>
      </c>
      <c r="M6" s="37" t="s">
        <v>254</v>
      </c>
      <c r="N6" s="37" t="s">
        <v>720</v>
      </c>
      <c r="O6" s="43"/>
      <c r="P6" s="84">
        <v>135</v>
      </c>
      <c r="Q6" s="18" t="str">
        <f>"153,0360"</f>
        <v>153,0360</v>
      </c>
      <c r="R6" s="18" t="s">
        <v>721</v>
      </c>
    </row>
    <row r="7" spans="1:18" ht="12.75">
      <c r="A7" s="34"/>
      <c r="B7" s="17"/>
      <c r="C7" s="17"/>
      <c r="D7" s="17"/>
      <c r="E7" s="17"/>
      <c r="F7" s="17"/>
      <c r="G7" s="17"/>
      <c r="H7" s="27"/>
      <c r="I7" s="27"/>
      <c r="J7" s="27"/>
      <c r="K7" s="27"/>
      <c r="L7" s="27"/>
      <c r="M7" s="27"/>
      <c r="N7" s="27"/>
      <c r="O7" s="27"/>
      <c r="P7" s="36"/>
      <c r="Q7" s="17"/>
      <c r="R7" s="17"/>
    </row>
    <row r="8" spans="1:18" ht="15.75">
      <c r="A8" s="34"/>
      <c r="B8" s="146" t="s">
        <v>46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7"/>
    </row>
    <row r="9" spans="1:18" ht="12.75">
      <c r="A9" s="34">
        <v>1</v>
      </c>
      <c r="B9" s="28" t="s">
        <v>722</v>
      </c>
      <c r="C9" s="28" t="s">
        <v>354</v>
      </c>
      <c r="D9" s="28" t="s">
        <v>298</v>
      </c>
      <c r="E9" s="28" t="str">
        <f>"1,0732"</f>
        <v>1,0732</v>
      </c>
      <c r="F9" s="28" t="s">
        <v>16</v>
      </c>
      <c r="G9" s="28" t="s">
        <v>723</v>
      </c>
      <c r="H9" s="40" t="s">
        <v>270</v>
      </c>
      <c r="I9" s="40" t="s">
        <v>254</v>
      </c>
      <c r="J9" s="39" t="s">
        <v>720</v>
      </c>
      <c r="K9" s="44"/>
      <c r="L9" s="40" t="s">
        <v>518</v>
      </c>
      <c r="M9" s="40" t="s">
        <v>269</v>
      </c>
      <c r="N9" s="40" t="s">
        <v>724</v>
      </c>
      <c r="O9" s="44"/>
      <c r="P9" s="87">
        <v>122.5</v>
      </c>
      <c r="Q9" s="28" t="str">
        <f>"131,4670"</f>
        <v>131,4670</v>
      </c>
      <c r="R9" s="28" t="s">
        <v>81</v>
      </c>
    </row>
    <row r="10" spans="1:18" ht="12.75">
      <c r="A10" s="34">
        <v>1</v>
      </c>
      <c r="B10" s="18" t="s">
        <v>621</v>
      </c>
      <c r="C10" s="18" t="s">
        <v>725</v>
      </c>
      <c r="D10" s="18" t="s">
        <v>623</v>
      </c>
      <c r="E10" s="18" t="str">
        <f>"1,0340"</f>
        <v>1,0340</v>
      </c>
      <c r="F10" s="18" t="s">
        <v>691</v>
      </c>
      <c r="G10" s="18" t="s">
        <v>564</v>
      </c>
      <c r="H10" s="37" t="s">
        <v>254</v>
      </c>
      <c r="I10" s="38" t="s">
        <v>255</v>
      </c>
      <c r="J10" s="38" t="s">
        <v>255</v>
      </c>
      <c r="K10" s="43"/>
      <c r="L10" s="37" t="s">
        <v>518</v>
      </c>
      <c r="M10" s="37" t="s">
        <v>269</v>
      </c>
      <c r="N10" s="38" t="s">
        <v>724</v>
      </c>
      <c r="O10" s="43"/>
      <c r="P10" s="84">
        <v>120</v>
      </c>
      <c r="Q10" s="18" t="str">
        <f>"125,3208"</f>
        <v>125,3208</v>
      </c>
      <c r="R10" s="18" t="s">
        <v>81</v>
      </c>
    </row>
    <row r="11" spans="1:18" ht="12.75">
      <c r="A11" s="34"/>
      <c r="B11" s="17"/>
      <c r="C11" s="17"/>
      <c r="D11" s="17"/>
      <c r="E11" s="17"/>
      <c r="F11" s="17"/>
      <c r="G11" s="17"/>
      <c r="H11" s="27"/>
      <c r="I11" s="27"/>
      <c r="J11" s="27"/>
      <c r="K11" s="27"/>
      <c r="L11" s="27"/>
      <c r="M11" s="27"/>
      <c r="N11" s="27"/>
      <c r="O11" s="27"/>
      <c r="P11" s="36"/>
      <c r="Q11" s="17"/>
      <c r="R11" s="17"/>
    </row>
    <row r="12" spans="1:18" ht="15.75">
      <c r="A12" s="34"/>
      <c r="B12" s="146" t="s">
        <v>60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7"/>
    </row>
    <row r="13" spans="1:18" ht="12.75">
      <c r="A13" s="141" t="s">
        <v>1111</v>
      </c>
      <c r="B13" s="28" t="s">
        <v>1112</v>
      </c>
      <c r="C13" s="18" t="s">
        <v>1113</v>
      </c>
      <c r="D13" s="18" t="s">
        <v>761</v>
      </c>
      <c r="E13" s="18" t="str">
        <f>"1,0158"</f>
        <v>1,0158</v>
      </c>
      <c r="F13" s="28" t="s">
        <v>16</v>
      </c>
      <c r="G13" s="12" t="s">
        <v>666</v>
      </c>
      <c r="H13" s="38" t="s">
        <v>255</v>
      </c>
      <c r="I13" s="40" t="s">
        <v>256</v>
      </c>
      <c r="J13" s="39" t="s">
        <v>522</v>
      </c>
      <c r="K13" s="44"/>
      <c r="L13" s="40" t="s">
        <v>518</v>
      </c>
      <c r="M13" s="40" t="s">
        <v>269</v>
      </c>
      <c r="N13" s="40" t="s">
        <v>1114</v>
      </c>
      <c r="O13" s="44"/>
      <c r="P13" s="87">
        <v>137.5</v>
      </c>
      <c r="Q13" s="28" t="s">
        <v>1115</v>
      </c>
      <c r="R13" s="28" t="s">
        <v>81</v>
      </c>
    </row>
    <row r="14" spans="1:18" ht="12.75">
      <c r="A14" s="34">
        <v>1</v>
      </c>
      <c r="B14" s="28" t="s">
        <v>726</v>
      </c>
      <c r="C14" s="28" t="s">
        <v>727</v>
      </c>
      <c r="D14" s="28" t="s">
        <v>728</v>
      </c>
      <c r="E14" s="28" t="str">
        <f>"0,9900"</f>
        <v>0,9900</v>
      </c>
      <c r="F14" s="28" t="s">
        <v>16</v>
      </c>
      <c r="G14" s="28" t="s">
        <v>729</v>
      </c>
      <c r="H14" s="39" t="s">
        <v>361</v>
      </c>
      <c r="I14" s="40" t="s">
        <v>730</v>
      </c>
      <c r="J14" s="40" t="s">
        <v>568</v>
      </c>
      <c r="K14" s="44"/>
      <c r="L14" s="40" t="s">
        <v>270</v>
      </c>
      <c r="M14" s="40" t="s">
        <v>254</v>
      </c>
      <c r="N14" s="39" t="s">
        <v>255</v>
      </c>
      <c r="O14" s="44"/>
      <c r="P14" s="87">
        <v>152.5</v>
      </c>
      <c r="Q14" s="28" t="str">
        <f>"150,9750"</f>
        <v>150,9750</v>
      </c>
      <c r="R14" s="28" t="s">
        <v>81</v>
      </c>
    </row>
    <row r="15" spans="1:18" ht="12.75">
      <c r="A15" s="34">
        <v>2</v>
      </c>
      <c r="B15" s="18" t="s">
        <v>731</v>
      </c>
      <c r="C15" s="18" t="s">
        <v>732</v>
      </c>
      <c r="D15" s="18" t="s">
        <v>733</v>
      </c>
      <c r="E15" s="18" t="str">
        <f>"0,9980"</f>
        <v>0,9980</v>
      </c>
      <c r="F15" s="18" t="s">
        <v>16</v>
      </c>
      <c r="G15" s="18" t="s">
        <v>729</v>
      </c>
      <c r="H15" s="42" t="s">
        <v>361</v>
      </c>
      <c r="I15" s="42" t="s">
        <v>730</v>
      </c>
      <c r="J15" s="41" t="s">
        <v>568</v>
      </c>
      <c r="K15" s="45"/>
      <c r="L15" s="42" t="s">
        <v>518</v>
      </c>
      <c r="M15" s="42" t="s">
        <v>269</v>
      </c>
      <c r="N15" s="41" t="s">
        <v>270</v>
      </c>
      <c r="O15" s="43"/>
      <c r="P15" s="84">
        <v>140</v>
      </c>
      <c r="Q15" s="18" t="str">
        <f>"139,7200"</f>
        <v>139,7200</v>
      </c>
      <c r="R15" s="18" t="s">
        <v>81</v>
      </c>
    </row>
    <row r="16" spans="1:18" ht="12.75">
      <c r="A16" s="34">
        <v>1</v>
      </c>
      <c r="B16" s="31" t="s">
        <v>731</v>
      </c>
      <c r="C16" s="31" t="s">
        <v>734</v>
      </c>
      <c r="D16" s="31" t="s">
        <v>735</v>
      </c>
      <c r="E16" s="31" t="str">
        <f>"0,9964"</f>
        <v>0,9964</v>
      </c>
      <c r="F16" s="31" t="s">
        <v>16</v>
      </c>
      <c r="G16" s="31" t="s">
        <v>729</v>
      </c>
      <c r="H16" s="42" t="s">
        <v>361</v>
      </c>
      <c r="I16" s="42" t="s">
        <v>730</v>
      </c>
      <c r="J16" s="41" t="s">
        <v>568</v>
      </c>
      <c r="K16" s="45"/>
      <c r="L16" s="42" t="s">
        <v>518</v>
      </c>
      <c r="M16" s="42" t="s">
        <v>269</v>
      </c>
      <c r="N16" s="41" t="s">
        <v>270</v>
      </c>
      <c r="O16" s="45"/>
      <c r="P16" s="88">
        <v>140</v>
      </c>
      <c r="Q16" s="31" t="str">
        <f>"140,8910"</f>
        <v>140,8910</v>
      </c>
      <c r="R16" s="31" t="s">
        <v>81</v>
      </c>
    </row>
    <row r="17" spans="1:18" ht="12.75">
      <c r="A17" s="34"/>
      <c r="B17" s="17"/>
      <c r="C17" s="17"/>
      <c r="D17" s="17"/>
      <c r="E17" s="17"/>
      <c r="F17" s="17"/>
      <c r="G17" s="17"/>
      <c r="H17" s="27"/>
      <c r="I17" s="27"/>
      <c r="J17" s="27"/>
      <c r="K17" s="27"/>
      <c r="L17" s="27"/>
      <c r="M17" s="47"/>
      <c r="N17" s="27"/>
      <c r="O17" s="27"/>
      <c r="P17" s="36"/>
      <c r="Q17" s="17"/>
      <c r="R17" s="17"/>
    </row>
    <row r="18" spans="1:18" ht="15.75">
      <c r="A18" s="34"/>
      <c r="B18" s="146" t="s">
        <v>82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7"/>
    </row>
    <row r="19" spans="1:18" ht="12.75">
      <c r="A19" s="34">
        <v>1</v>
      </c>
      <c r="B19" s="28" t="s">
        <v>650</v>
      </c>
      <c r="C19" s="28" t="s">
        <v>651</v>
      </c>
      <c r="D19" s="28" t="s">
        <v>589</v>
      </c>
      <c r="E19" s="28" t="str">
        <f>"0,9206"</f>
        <v>0,9206</v>
      </c>
      <c r="F19" s="18" t="s">
        <v>691</v>
      </c>
      <c r="G19" s="28" t="s">
        <v>564</v>
      </c>
      <c r="H19" s="40" t="s">
        <v>269</v>
      </c>
      <c r="I19" s="40" t="s">
        <v>254</v>
      </c>
      <c r="J19" s="39" t="s">
        <v>736</v>
      </c>
      <c r="K19" s="44"/>
      <c r="L19" s="40" t="s">
        <v>517</v>
      </c>
      <c r="M19" s="40" t="s">
        <v>518</v>
      </c>
      <c r="N19" s="39" t="s">
        <v>269</v>
      </c>
      <c r="O19" s="44"/>
      <c r="P19" s="87">
        <v>115</v>
      </c>
      <c r="Q19" s="28" t="str">
        <f>"105,8690"</f>
        <v>105,8690</v>
      </c>
      <c r="R19" s="28" t="s">
        <v>737</v>
      </c>
    </row>
    <row r="20" spans="1:18" ht="12.75">
      <c r="A20" s="34">
        <v>1</v>
      </c>
      <c r="B20" s="18" t="s">
        <v>650</v>
      </c>
      <c r="C20" s="18" t="s">
        <v>738</v>
      </c>
      <c r="D20" s="18" t="s">
        <v>589</v>
      </c>
      <c r="E20" s="18" t="str">
        <f>"0,9206"</f>
        <v>0,9206</v>
      </c>
      <c r="F20" s="18" t="s">
        <v>691</v>
      </c>
      <c r="G20" s="18" t="s">
        <v>564</v>
      </c>
      <c r="H20" s="37" t="s">
        <v>269</v>
      </c>
      <c r="I20" s="37" t="s">
        <v>254</v>
      </c>
      <c r="J20" s="38" t="s">
        <v>736</v>
      </c>
      <c r="K20" s="43"/>
      <c r="L20" s="37" t="s">
        <v>517</v>
      </c>
      <c r="M20" s="37" t="s">
        <v>518</v>
      </c>
      <c r="N20" s="38" t="s">
        <v>269</v>
      </c>
      <c r="O20" s="43"/>
      <c r="P20" s="84">
        <v>115</v>
      </c>
      <c r="Q20" s="18" t="str">
        <f>"105,8690"</f>
        <v>105,8690</v>
      </c>
      <c r="R20" s="18" t="s">
        <v>737</v>
      </c>
    </row>
    <row r="21" spans="1:18" ht="12.75">
      <c r="A21" s="34"/>
      <c r="B21" s="17"/>
      <c r="C21" s="17"/>
      <c r="D21" s="17"/>
      <c r="E21" s="17"/>
      <c r="F21" s="17"/>
      <c r="G21" s="17"/>
      <c r="H21" s="27"/>
      <c r="I21" s="27"/>
      <c r="J21" s="27"/>
      <c r="K21" s="27"/>
      <c r="L21" s="27"/>
      <c r="M21" s="27"/>
      <c r="N21" s="27"/>
      <c r="O21" s="27"/>
      <c r="P21" s="36"/>
      <c r="Q21" s="17"/>
      <c r="R21" s="17"/>
    </row>
    <row r="22" spans="1:18" ht="12.75">
      <c r="A22" s="34"/>
      <c r="B22" s="17"/>
      <c r="C22" s="17"/>
      <c r="D22" s="17"/>
      <c r="E22" s="17"/>
      <c r="F22" s="17"/>
      <c r="G22" s="17"/>
      <c r="H22" s="27"/>
      <c r="I22" s="27"/>
      <c r="J22" s="27"/>
      <c r="K22" s="27"/>
      <c r="L22" s="27"/>
      <c r="M22" s="27"/>
      <c r="N22" s="27"/>
      <c r="O22" s="27"/>
      <c r="P22" s="36"/>
      <c r="Q22" s="17"/>
      <c r="R22" s="17"/>
    </row>
    <row r="23" spans="1:18" ht="12.75">
      <c r="A23" s="34"/>
      <c r="B23" s="17"/>
      <c r="C23" s="17"/>
      <c r="D23" s="17"/>
      <c r="E23" s="17"/>
      <c r="F23" s="17"/>
      <c r="G23" s="17"/>
      <c r="H23" s="27"/>
      <c r="I23" s="27"/>
      <c r="J23" s="27"/>
      <c r="K23" s="27"/>
      <c r="L23" s="27"/>
      <c r="M23" s="27"/>
      <c r="N23" s="27"/>
      <c r="O23" s="27"/>
      <c r="P23" s="36"/>
      <c r="Q23" s="17"/>
      <c r="R23" s="17"/>
    </row>
  </sheetData>
  <sheetProtection/>
  <mergeCells count="16">
    <mergeCell ref="Q3:Q4"/>
    <mergeCell ref="R3:R4"/>
    <mergeCell ref="B5:Q5"/>
    <mergeCell ref="B8:Q8"/>
    <mergeCell ref="B12:Q12"/>
    <mergeCell ref="B18:Q18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G9" sqref="G9"/>
    </sheetView>
  </sheetViews>
  <sheetFormatPr defaultColWidth="8.75390625" defaultRowHeight="12.75"/>
  <cols>
    <col min="1" max="1" width="3.375" style="0" customWidth="1"/>
    <col min="2" max="2" width="20.25390625" style="0" customWidth="1"/>
    <col min="3" max="3" width="28.25390625" style="0" customWidth="1"/>
    <col min="4" max="4" width="14.00390625" style="0" customWidth="1"/>
    <col min="5" max="5" width="8.75390625" style="0" customWidth="1"/>
    <col min="6" max="6" width="14.75390625" style="0" customWidth="1"/>
    <col min="7" max="7" width="29.00390625" style="0" customWidth="1"/>
    <col min="8" max="8" width="6.875" style="0" customWidth="1"/>
    <col min="9" max="10" width="6.375" style="0" customWidth="1"/>
    <col min="11" max="11" width="6.00390625" style="0" customWidth="1"/>
    <col min="12" max="12" width="7.00390625" style="0" customWidth="1"/>
    <col min="13" max="13" width="6.375" style="0" customWidth="1"/>
    <col min="14" max="14" width="7.00390625" style="0" customWidth="1"/>
    <col min="15" max="15" width="6.375" style="0" customWidth="1"/>
    <col min="16" max="17" width="8.75390625" style="0" customWidth="1"/>
    <col min="18" max="18" width="31.125" style="0" customWidth="1"/>
  </cols>
  <sheetData>
    <row r="1" spans="1:19" ht="12.75">
      <c r="A1" s="33"/>
      <c r="B1" s="147" t="s">
        <v>739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  <c r="S1" s="1"/>
    </row>
    <row r="2" spans="1:19" ht="72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2"/>
      <c r="S2" s="1"/>
    </row>
    <row r="3" spans="1:19" ht="13.5">
      <c r="A3" s="2"/>
      <c r="B3" s="161" t="s">
        <v>0</v>
      </c>
      <c r="C3" s="155" t="s">
        <v>9</v>
      </c>
      <c r="D3" s="142" t="s">
        <v>10</v>
      </c>
      <c r="E3" s="142" t="s">
        <v>713</v>
      </c>
      <c r="F3" s="142" t="s">
        <v>7</v>
      </c>
      <c r="G3" s="142" t="s">
        <v>663</v>
      </c>
      <c r="H3" s="142" t="s">
        <v>714</v>
      </c>
      <c r="I3" s="142"/>
      <c r="J3" s="142"/>
      <c r="K3" s="142"/>
      <c r="L3" s="142" t="s">
        <v>715</v>
      </c>
      <c r="M3" s="142"/>
      <c r="N3" s="142"/>
      <c r="O3" s="142"/>
      <c r="P3" s="142" t="s">
        <v>4</v>
      </c>
      <c r="Q3" s="142" t="s">
        <v>6</v>
      </c>
      <c r="R3" s="144" t="s">
        <v>5</v>
      </c>
      <c r="S3" s="2"/>
    </row>
    <row r="4" spans="1:19" ht="15" thickBot="1">
      <c r="A4" s="2"/>
      <c r="B4" s="162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32">
        <v>1</v>
      </c>
      <c r="M4" s="32">
        <v>2</v>
      </c>
      <c r="N4" s="32">
        <v>3</v>
      </c>
      <c r="O4" s="32" t="s">
        <v>8</v>
      </c>
      <c r="P4" s="143"/>
      <c r="Q4" s="143"/>
      <c r="R4" s="145"/>
      <c r="S4" s="2"/>
    </row>
    <row r="5" spans="1:19" ht="15.75">
      <c r="A5" s="33"/>
      <c r="B5" s="157" t="s">
        <v>12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4"/>
      <c r="S5" s="1"/>
    </row>
    <row r="6" spans="1:19" ht="12.75">
      <c r="A6" s="33" t="s">
        <v>658</v>
      </c>
      <c r="B6" s="55" t="s">
        <v>13</v>
      </c>
      <c r="C6" s="11" t="s">
        <v>14</v>
      </c>
      <c r="D6" s="11" t="s">
        <v>15</v>
      </c>
      <c r="E6" s="11" t="str">
        <f>"1,6720"</f>
        <v>1,6720</v>
      </c>
      <c r="F6" s="12" t="s">
        <v>16</v>
      </c>
      <c r="G6" s="12" t="s">
        <v>666</v>
      </c>
      <c r="H6" s="76" t="s">
        <v>269</v>
      </c>
      <c r="I6" s="76" t="s">
        <v>270</v>
      </c>
      <c r="J6" s="76" t="s">
        <v>254</v>
      </c>
      <c r="K6" s="68"/>
      <c r="L6" s="77" t="s">
        <v>517</v>
      </c>
      <c r="M6" s="76" t="s">
        <v>517</v>
      </c>
      <c r="N6" s="76" t="s">
        <v>566</v>
      </c>
      <c r="O6" s="68"/>
      <c r="P6" s="67" t="s">
        <v>740</v>
      </c>
      <c r="Q6" s="11" t="str">
        <f>"188,1000"</f>
        <v>188,1000</v>
      </c>
      <c r="R6" s="12" t="s">
        <v>669</v>
      </c>
      <c r="S6" s="1"/>
    </row>
    <row r="7" spans="1:19" ht="12.75">
      <c r="A7" s="33"/>
      <c r="B7" s="56"/>
      <c r="C7" s="1"/>
      <c r="D7" s="1"/>
      <c r="E7" s="1"/>
      <c r="F7" s="4"/>
      <c r="G7" s="4"/>
      <c r="H7" s="33"/>
      <c r="I7" s="33"/>
      <c r="J7" s="33"/>
      <c r="K7" s="33"/>
      <c r="L7" s="33"/>
      <c r="M7" s="33"/>
      <c r="N7" s="33"/>
      <c r="O7" s="33"/>
      <c r="P7" s="33"/>
      <c r="Q7" s="1"/>
      <c r="R7" s="4"/>
      <c r="S7" s="1"/>
    </row>
    <row r="8" spans="1:19" ht="15.75">
      <c r="A8" s="33"/>
      <c r="B8" s="159" t="s">
        <v>186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4"/>
      <c r="S8" s="1"/>
    </row>
    <row r="9" spans="1:19" ht="12.75">
      <c r="A9" s="33" t="s">
        <v>658</v>
      </c>
      <c r="B9" s="55" t="s">
        <v>741</v>
      </c>
      <c r="C9" s="11" t="s">
        <v>354</v>
      </c>
      <c r="D9" s="11" t="s">
        <v>742</v>
      </c>
      <c r="E9" s="11" t="str">
        <f>"0,8496"</f>
        <v>0,8496</v>
      </c>
      <c r="F9" s="12" t="s">
        <v>16</v>
      </c>
      <c r="G9" s="12" t="s">
        <v>666</v>
      </c>
      <c r="H9" s="76" t="s">
        <v>36</v>
      </c>
      <c r="I9" s="76" t="s">
        <v>37</v>
      </c>
      <c r="J9" s="77" t="s">
        <v>19</v>
      </c>
      <c r="K9" s="68"/>
      <c r="L9" s="76" t="s">
        <v>518</v>
      </c>
      <c r="M9" s="76" t="s">
        <v>254</v>
      </c>
      <c r="N9" s="77" t="s">
        <v>256</v>
      </c>
      <c r="O9" s="68"/>
      <c r="P9" s="67" t="s">
        <v>191</v>
      </c>
      <c r="Q9" s="11" t="str">
        <f>"157,1760"</f>
        <v>157,1760</v>
      </c>
      <c r="R9" s="12" t="s">
        <v>743</v>
      </c>
      <c r="S9" s="1"/>
    </row>
    <row r="10" spans="1:19" ht="12.75">
      <c r="A10" s="33"/>
      <c r="B10" s="56"/>
      <c r="C10" s="1"/>
      <c r="D10" s="1"/>
      <c r="E10" s="1"/>
      <c r="F10" s="4"/>
      <c r="G10" s="4"/>
      <c r="H10" s="33"/>
      <c r="I10" s="33"/>
      <c r="J10" s="33"/>
      <c r="K10" s="33"/>
      <c r="L10" s="33"/>
      <c r="M10" s="33"/>
      <c r="N10" s="33"/>
      <c r="O10" s="33"/>
      <c r="P10" s="33"/>
      <c r="Q10" s="1"/>
      <c r="R10" s="4"/>
      <c r="S10" s="1"/>
    </row>
    <row r="11" spans="1:19" ht="12.75">
      <c r="A11" s="33"/>
      <c r="B11" s="56"/>
      <c r="C11" s="1"/>
      <c r="D11" s="1"/>
      <c r="E11" s="1"/>
      <c r="F11" s="4"/>
      <c r="G11" s="4"/>
      <c r="H11" s="33"/>
      <c r="I11" s="33"/>
      <c r="J11" s="33"/>
      <c r="K11" s="33"/>
      <c r="L11" s="33"/>
      <c r="M11" s="33"/>
      <c r="N11" s="33"/>
      <c r="O11" s="33"/>
      <c r="P11" s="33"/>
      <c r="Q11" s="1"/>
      <c r="R11" s="4"/>
      <c r="S11" s="1"/>
    </row>
    <row r="12" spans="1:19" ht="12.75">
      <c r="A12" s="33"/>
      <c r="B12" s="56"/>
      <c r="C12" s="1"/>
      <c r="D12" s="1"/>
      <c r="E12" s="1"/>
      <c r="F12" s="4"/>
      <c r="G12" s="4"/>
      <c r="H12" s="33"/>
      <c r="I12" s="33"/>
      <c r="J12" s="33"/>
      <c r="K12" s="33"/>
      <c r="L12" s="33"/>
      <c r="M12" s="33"/>
      <c r="N12" s="33"/>
      <c r="O12" s="33"/>
      <c r="P12" s="33"/>
      <c r="Q12" s="1"/>
      <c r="R12" s="4"/>
      <c r="S12" s="1"/>
    </row>
    <row r="13" spans="1:19" ht="12.75">
      <c r="A13" s="33"/>
      <c r="B13" s="56"/>
      <c r="C13" s="1"/>
      <c r="D13" s="1"/>
      <c r="E13" s="1"/>
      <c r="F13" s="4"/>
      <c r="G13" s="4"/>
      <c r="H13" s="33"/>
      <c r="I13" s="33"/>
      <c r="J13" s="33"/>
      <c r="K13" s="33"/>
      <c r="L13" s="33"/>
      <c r="M13" s="33"/>
      <c r="N13" s="33"/>
      <c r="O13" s="33"/>
      <c r="P13" s="33"/>
      <c r="Q13" s="1"/>
      <c r="R13" s="4"/>
      <c r="S13" s="1"/>
    </row>
  </sheetData>
  <sheetProtection/>
  <mergeCells count="14">
    <mergeCell ref="B5:Q5"/>
    <mergeCell ref="B8:Q8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C23" sqref="C23"/>
    </sheetView>
  </sheetViews>
  <sheetFormatPr defaultColWidth="8.75390625" defaultRowHeight="12.75"/>
  <cols>
    <col min="1" max="1" width="3.125" style="0" customWidth="1"/>
    <col min="2" max="2" width="22.375" style="0" customWidth="1"/>
    <col min="3" max="3" width="20.125" style="0" customWidth="1"/>
    <col min="4" max="4" width="9.625" style="0" customWidth="1"/>
    <col min="5" max="5" width="19.375" style="0" customWidth="1"/>
    <col min="6" max="6" width="32.625" style="0" customWidth="1"/>
    <col min="7" max="10" width="8.75390625" style="0" customWidth="1"/>
    <col min="11" max="11" width="19.25390625" style="0" customWidth="1"/>
  </cols>
  <sheetData>
    <row r="1" spans="1:11" ht="12.75">
      <c r="A1" s="33"/>
      <c r="B1" s="147" t="s">
        <v>952</v>
      </c>
      <c r="C1" s="148"/>
      <c r="D1" s="148"/>
      <c r="E1" s="148"/>
      <c r="F1" s="148"/>
      <c r="G1" s="148"/>
      <c r="H1" s="148"/>
      <c r="I1" s="148"/>
      <c r="J1" s="148"/>
      <c r="K1" s="149"/>
    </row>
    <row r="2" spans="1:11" ht="66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2"/>
    </row>
    <row r="3" spans="1:11" ht="13.5">
      <c r="A3" s="2"/>
      <c r="B3" s="153" t="s">
        <v>0</v>
      </c>
      <c r="C3" s="155" t="s">
        <v>941</v>
      </c>
      <c r="D3" s="142" t="s">
        <v>746</v>
      </c>
      <c r="E3" s="142" t="s">
        <v>7</v>
      </c>
      <c r="F3" s="142" t="s">
        <v>663</v>
      </c>
      <c r="G3" s="163" t="s">
        <v>3</v>
      </c>
      <c r="H3" s="142"/>
      <c r="I3" s="142"/>
      <c r="J3" s="142" t="s">
        <v>4</v>
      </c>
      <c r="K3" s="144" t="s">
        <v>5</v>
      </c>
    </row>
    <row r="4" spans="1:11" ht="15" thickBot="1">
      <c r="A4" s="2"/>
      <c r="B4" s="154"/>
      <c r="C4" s="143"/>
      <c r="D4" s="143"/>
      <c r="E4" s="143"/>
      <c r="F4" s="143"/>
      <c r="G4" s="115">
        <v>1</v>
      </c>
      <c r="H4" s="3">
        <v>2</v>
      </c>
      <c r="I4" s="3">
        <v>3</v>
      </c>
      <c r="J4" s="143"/>
      <c r="K4" s="145"/>
    </row>
    <row r="5" spans="1:11" ht="15.75">
      <c r="A5" s="111"/>
      <c r="B5" s="146" t="s">
        <v>950</v>
      </c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2.75">
      <c r="A6" s="111">
        <v>1</v>
      </c>
      <c r="B6" s="28" t="s">
        <v>544</v>
      </c>
      <c r="C6" s="28" t="s">
        <v>545</v>
      </c>
      <c r="D6" s="28" t="s">
        <v>546</v>
      </c>
      <c r="E6" s="18" t="s">
        <v>679</v>
      </c>
      <c r="F6" s="18" t="s">
        <v>35</v>
      </c>
      <c r="G6" s="118" t="s">
        <v>943</v>
      </c>
      <c r="H6" s="118" t="s">
        <v>944</v>
      </c>
      <c r="I6" s="119" t="s">
        <v>945</v>
      </c>
      <c r="J6" s="116" t="s">
        <v>949</v>
      </c>
      <c r="K6" s="112" t="s">
        <v>81</v>
      </c>
    </row>
    <row r="7" spans="1:11" ht="12.75">
      <c r="A7" s="111">
        <v>1</v>
      </c>
      <c r="B7" s="18" t="s">
        <v>530</v>
      </c>
      <c r="C7" s="18" t="s">
        <v>531</v>
      </c>
      <c r="D7" s="18" t="s">
        <v>532</v>
      </c>
      <c r="E7" s="18" t="s">
        <v>679</v>
      </c>
      <c r="F7" s="18" t="s">
        <v>35</v>
      </c>
      <c r="G7" s="113"/>
      <c r="H7" s="19"/>
      <c r="I7" s="19"/>
      <c r="J7" s="43"/>
      <c r="K7" s="18" t="s">
        <v>544</v>
      </c>
    </row>
    <row r="8" spans="1:11" ht="12.75">
      <c r="A8" s="111">
        <v>2</v>
      </c>
      <c r="B8" s="28" t="s">
        <v>621</v>
      </c>
      <c r="C8" s="28" t="s">
        <v>946</v>
      </c>
      <c r="D8" s="28" t="s">
        <v>623</v>
      </c>
      <c r="E8" s="18" t="s">
        <v>947</v>
      </c>
      <c r="F8" s="18" t="s">
        <v>948</v>
      </c>
      <c r="G8" s="119" t="s">
        <v>412</v>
      </c>
      <c r="H8" s="119" t="s">
        <v>241</v>
      </c>
      <c r="I8" s="119" t="s">
        <v>474</v>
      </c>
      <c r="J8" s="117" t="s">
        <v>951</v>
      </c>
      <c r="K8" s="113" t="s">
        <v>81</v>
      </c>
    </row>
    <row r="9" spans="1:11" ht="12.75">
      <c r="A9" s="111">
        <v>2</v>
      </c>
      <c r="B9" s="18" t="s">
        <v>650</v>
      </c>
      <c r="C9" s="18" t="s">
        <v>651</v>
      </c>
      <c r="D9" s="18" t="s">
        <v>589</v>
      </c>
      <c r="E9" s="18" t="s">
        <v>947</v>
      </c>
      <c r="F9" s="18" t="s">
        <v>948</v>
      </c>
      <c r="G9" s="114"/>
      <c r="H9" s="114"/>
      <c r="I9" s="114"/>
      <c r="J9" s="45"/>
      <c r="K9" s="31" t="s">
        <v>621</v>
      </c>
    </row>
  </sheetData>
  <sheetProtection/>
  <mergeCells count="10">
    <mergeCell ref="G3:I3"/>
    <mergeCell ref="J3:J4"/>
    <mergeCell ref="K3:K4"/>
    <mergeCell ref="B5:K5"/>
    <mergeCell ref="B1:K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2"/>
    </sheetView>
  </sheetViews>
  <sheetFormatPr defaultColWidth="8.75390625" defaultRowHeight="12.75"/>
  <cols>
    <col min="1" max="1" width="4.625" style="34" customWidth="1"/>
    <col min="2" max="2" width="21.375" style="17" customWidth="1"/>
    <col min="3" max="3" width="26.75390625" style="17" customWidth="1"/>
    <col min="4" max="4" width="13.375" style="17" bestFit="1" customWidth="1"/>
    <col min="5" max="5" width="8.375" style="17" bestFit="1" customWidth="1"/>
    <col min="6" max="6" width="22.75390625" style="17" bestFit="1" customWidth="1"/>
    <col min="7" max="7" width="28.625" style="17" bestFit="1" customWidth="1"/>
    <col min="8" max="10" width="5.625" style="27" bestFit="1" customWidth="1"/>
    <col min="11" max="11" width="4.625" style="27" bestFit="1" customWidth="1"/>
    <col min="12" max="12" width="13.375" style="36" customWidth="1"/>
    <col min="13" max="13" width="8.625" style="17" bestFit="1" customWidth="1"/>
    <col min="14" max="14" width="22.25390625" style="17" bestFit="1" customWidth="1"/>
  </cols>
  <sheetData>
    <row r="1" spans="1:14" s="1" customFormat="1" ht="15" customHeight="1">
      <c r="A1" s="33"/>
      <c r="B1" s="147" t="s">
        <v>708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4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3</v>
      </c>
      <c r="I3" s="142"/>
      <c r="J3" s="142"/>
      <c r="K3" s="142"/>
      <c r="L3" s="142" t="s">
        <v>661</v>
      </c>
      <c r="M3" s="142" t="s">
        <v>6</v>
      </c>
      <c r="N3" s="144" t="s">
        <v>5</v>
      </c>
    </row>
    <row r="4" spans="2:14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143"/>
      <c r="M4" s="143"/>
      <c r="N4" s="145"/>
    </row>
    <row r="5" spans="2:13" ht="15.75">
      <c r="B5" s="156" t="s">
        <v>560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34">
        <v>1</v>
      </c>
      <c r="B6" s="18" t="s">
        <v>640</v>
      </c>
      <c r="C6" s="18" t="s">
        <v>641</v>
      </c>
      <c r="D6" s="18" t="s">
        <v>583</v>
      </c>
      <c r="E6" s="18" t="str">
        <f>"1,2466"</f>
        <v>1,2466</v>
      </c>
      <c r="F6" s="18" t="s">
        <v>709</v>
      </c>
      <c r="G6" s="18" t="s">
        <v>25</v>
      </c>
      <c r="H6" s="37" t="s">
        <v>303</v>
      </c>
      <c r="I6" s="38" t="s">
        <v>132</v>
      </c>
      <c r="J6" s="37" t="s">
        <v>132</v>
      </c>
      <c r="K6" s="43"/>
      <c r="L6" s="84">
        <v>160</v>
      </c>
      <c r="M6" s="18" t="str">
        <f>"199,4560"</f>
        <v>199,4560</v>
      </c>
      <c r="N6" s="18" t="s">
        <v>29</v>
      </c>
    </row>
  </sheetData>
  <sheetProtection/>
  <mergeCells count="1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C21" sqref="C21"/>
    </sheetView>
  </sheetViews>
  <sheetFormatPr defaultColWidth="8.75390625" defaultRowHeight="12.75"/>
  <cols>
    <col min="1" max="1" width="4.875" style="34" customWidth="1"/>
    <col min="2" max="2" width="21.875" style="17" customWidth="1"/>
    <col min="3" max="3" width="25.875" style="17" customWidth="1"/>
    <col min="4" max="4" width="13.375" style="17" bestFit="1" customWidth="1"/>
    <col min="5" max="5" width="8.375" style="17" bestFit="1" customWidth="1"/>
    <col min="6" max="6" width="33.125" style="17" customWidth="1"/>
    <col min="7" max="7" width="33.625" style="17" bestFit="1" customWidth="1"/>
    <col min="8" max="10" width="5.625" style="27" bestFit="1" customWidth="1"/>
    <col min="11" max="11" width="4.625" style="27" bestFit="1" customWidth="1"/>
    <col min="12" max="12" width="12.00390625" style="36" customWidth="1"/>
    <col min="13" max="13" width="8.625" style="17" bestFit="1" customWidth="1"/>
    <col min="14" max="14" width="19.625" style="17" customWidth="1"/>
  </cols>
  <sheetData>
    <row r="1" spans="1:14" s="1" customFormat="1" ht="15" customHeight="1">
      <c r="A1" s="33"/>
      <c r="B1" s="147" t="s">
        <v>706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s="1" customFormat="1" ht="81.75" customHeight="1" thickBot="1">
      <c r="A2" s="33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2:14" s="2" customFormat="1" ht="12.75" customHeight="1">
      <c r="B3" s="153" t="s">
        <v>0</v>
      </c>
      <c r="C3" s="155" t="s">
        <v>9</v>
      </c>
      <c r="D3" s="142" t="s">
        <v>10</v>
      </c>
      <c r="E3" s="142" t="s">
        <v>11</v>
      </c>
      <c r="F3" s="142" t="s">
        <v>7</v>
      </c>
      <c r="G3" s="142" t="s">
        <v>663</v>
      </c>
      <c r="H3" s="142" t="s">
        <v>3</v>
      </c>
      <c r="I3" s="142"/>
      <c r="J3" s="142"/>
      <c r="K3" s="142"/>
      <c r="L3" s="142" t="s">
        <v>661</v>
      </c>
      <c r="M3" s="142" t="s">
        <v>6</v>
      </c>
      <c r="N3" s="144" t="s">
        <v>5</v>
      </c>
    </row>
    <row r="4" spans="2:14" s="2" customFormat="1" ht="33.75" customHeight="1" thickBot="1">
      <c r="B4" s="154"/>
      <c r="C4" s="143"/>
      <c r="D4" s="143"/>
      <c r="E4" s="143"/>
      <c r="F4" s="143"/>
      <c r="G4" s="143"/>
      <c r="H4" s="32">
        <v>1</v>
      </c>
      <c r="I4" s="32">
        <v>2</v>
      </c>
      <c r="J4" s="32">
        <v>3</v>
      </c>
      <c r="K4" s="32" t="s">
        <v>8</v>
      </c>
      <c r="L4" s="143"/>
      <c r="M4" s="143"/>
      <c r="N4" s="145"/>
    </row>
    <row r="5" spans="2:13" ht="15.75">
      <c r="B5" s="156" t="s">
        <v>263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4" ht="12.75">
      <c r="A6" s="34">
        <v>1</v>
      </c>
      <c r="B6" s="18" t="s">
        <v>357</v>
      </c>
      <c r="C6" s="18" t="s">
        <v>358</v>
      </c>
      <c r="D6" s="18" t="s">
        <v>359</v>
      </c>
      <c r="E6" s="18" t="str">
        <f>"1,1207"</f>
        <v>1,1207</v>
      </c>
      <c r="F6" s="18" t="s">
        <v>707</v>
      </c>
      <c r="G6" s="18" t="s">
        <v>360</v>
      </c>
      <c r="H6" s="37" t="s">
        <v>19</v>
      </c>
      <c r="I6" s="37" t="s">
        <v>422</v>
      </c>
      <c r="J6" s="37" t="s">
        <v>131</v>
      </c>
      <c r="K6" s="43"/>
      <c r="L6" s="84">
        <v>150</v>
      </c>
      <c r="M6" s="18" t="str">
        <f>"168,1050"</f>
        <v>168,1050</v>
      </c>
      <c r="N6" s="18" t="s">
        <v>681</v>
      </c>
    </row>
    <row r="8" spans="2:13" ht="15.75">
      <c r="B8" s="146" t="s">
        <v>60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4" ht="12.75">
      <c r="A9" s="34">
        <v>1</v>
      </c>
      <c r="B9" s="18" t="s">
        <v>634</v>
      </c>
      <c r="C9" s="18" t="s">
        <v>635</v>
      </c>
      <c r="D9" s="18" t="s">
        <v>306</v>
      </c>
      <c r="E9" s="18" t="str">
        <f>"0,6424"</f>
        <v>0,6424</v>
      </c>
      <c r="F9" s="18" t="s">
        <v>16</v>
      </c>
      <c r="G9" s="18" t="s">
        <v>666</v>
      </c>
      <c r="H9" s="37" t="s">
        <v>446</v>
      </c>
      <c r="I9" s="37" t="s">
        <v>440</v>
      </c>
      <c r="J9" s="38" t="s">
        <v>459</v>
      </c>
      <c r="K9" s="43"/>
      <c r="L9" s="84">
        <v>280</v>
      </c>
      <c r="M9" s="18" t="str">
        <f>"179,8720"</f>
        <v>179,8720</v>
      </c>
      <c r="N9" s="18" t="s">
        <v>636</v>
      </c>
    </row>
    <row r="11" spans="2:13" ht="15.75">
      <c r="B11" s="146" t="s">
        <v>82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4" ht="12.75">
      <c r="A12" s="34">
        <v>1</v>
      </c>
      <c r="B12" s="18" t="s">
        <v>637</v>
      </c>
      <c r="C12" s="18" t="s">
        <v>638</v>
      </c>
      <c r="D12" s="18" t="s">
        <v>639</v>
      </c>
      <c r="E12" s="18" t="str">
        <f>"0,6142"</f>
        <v>0,6142</v>
      </c>
      <c r="F12" s="18" t="s">
        <v>16</v>
      </c>
      <c r="G12" s="18" t="s">
        <v>666</v>
      </c>
      <c r="H12" s="37" t="s">
        <v>240</v>
      </c>
      <c r="I12" s="37" t="s">
        <v>457</v>
      </c>
      <c r="J12" s="38" t="s">
        <v>597</v>
      </c>
      <c r="K12" s="43"/>
      <c r="L12" s="84">
        <v>345</v>
      </c>
      <c r="M12" s="18" t="str">
        <f>"211,8990"</f>
        <v>211,8990</v>
      </c>
      <c r="N12" s="18" t="s">
        <v>81</v>
      </c>
    </row>
    <row r="14" spans="2:13" ht="15.75">
      <c r="B14" s="146" t="s">
        <v>163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</row>
    <row r="15" spans="1:14" ht="12.75">
      <c r="A15" s="34">
        <v>1</v>
      </c>
      <c r="B15" s="18" t="s">
        <v>244</v>
      </c>
      <c r="C15" s="18" t="s">
        <v>245</v>
      </c>
      <c r="D15" s="18" t="s">
        <v>246</v>
      </c>
      <c r="E15" s="18" t="str">
        <f>"0,5749"</f>
        <v>0,5749</v>
      </c>
      <c r="F15" s="18" t="s">
        <v>16</v>
      </c>
      <c r="G15" s="18" t="s">
        <v>247</v>
      </c>
      <c r="H15" s="37" t="s">
        <v>248</v>
      </c>
      <c r="I15" s="38" t="s">
        <v>249</v>
      </c>
      <c r="J15" s="43"/>
      <c r="K15" s="43"/>
      <c r="L15" s="84">
        <v>320.5</v>
      </c>
      <c r="M15" s="18" t="str">
        <f>"184,2554"</f>
        <v>184,2554</v>
      </c>
      <c r="N15" s="18" t="s">
        <v>81</v>
      </c>
    </row>
  </sheetData>
  <sheetProtection/>
  <mergeCells count="15">
    <mergeCell ref="B14:M14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2008-02-22T21:19:39Z</cp:lastPrinted>
  <dcterms:created xsi:type="dcterms:W3CDTF">2002-06-16T13:36:44Z</dcterms:created>
  <dcterms:modified xsi:type="dcterms:W3CDTF">2016-08-30T12:50:58Z</dcterms:modified>
  <cp:category/>
  <cp:version/>
  <cp:contentType/>
  <cp:contentStatus/>
</cp:coreProperties>
</file>