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codeName="ЭтаКнига" autoCompressPictures="0"/>
  <bookViews>
    <workbookView xWindow="480" yWindow="20" windowWidth="11340" windowHeight="9700" tabRatio="917"/>
  </bookViews>
  <sheets>
    <sheet name="Парная тяга" sheetId="22" r:id="rId1"/>
    <sheet name="Становая тяга без экипы ДК" sheetId="15" r:id="rId2"/>
    <sheet name="Становая тяга без экипы" sheetId="14" r:id="rId3"/>
    <sheet name="Пауэрлифтинг в бинтах" sheetId="12" r:id="rId4"/>
    <sheet name="Пауэрлифтинг без экипы" sheetId="9" r:id="rId5"/>
    <sheet name="Жим лежа многослое ДК" sheetId="10" r:id="rId6"/>
    <sheet name="Жим лежа в однослое" sheetId="7" r:id="rId7"/>
    <sheet name="Жим лежа без экипы ДК" sheetId="6" r:id="rId8"/>
    <sheet name="Жим лежа без экипы" sheetId="5" r:id="rId9"/>
    <sheet name="НЖ 1 вес ДК" sheetId="18" r:id="rId10"/>
    <sheet name="НЖ 1 вес" sheetId="19" r:id="rId11"/>
    <sheet name="Судейство" sheetId="20" r:id="rId12"/>
  </sheets>
  <definedNames>
    <definedName name="_xlnm._FilterDatabase" localSheetId="8" hidden="1">'Жим лежа без экипы'!$B$1:$L$3</definedName>
    <definedName name="_xlnm._FilterDatabase" localSheetId="9" hidden="1">'НЖ 1 вес ДК'!$B$1:$J$3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9" l="1"/>
  <c r="E10" i="19"/>
  <c r="K17" i="18"/>
  <c r="E17" i="18"/>
  <c r="K17" i="19"/>
  <c r="E17" i="19"/>
  <c r="K14" i="19"/>
  <c r="E14" i="19"/>
  <c r="K13" i="19"/>
  <c r="E13" i="19"/>
  <c r="K12" i="19"/>
  <c r="E12" i="19"/>
  <c r="K11" i="19"/>
  <c r="E11" i="19"/>
  <c r="K9" i="19"/>
  <c r="E9" i="19"/>
  <c r="K6" i="19"/>
  <c r="E6" i="19"/>
  <c r="K18" i="18"/>
  <c r="E18" i="18"/>
  <c r="K14" i="18"/>
  <c r="E14" i="18"/>
  <c r="K11" i="18"/>
  <c r="E11" i="18"/>
  <c r="K10" i="18"/>
  <c r="E10" i="18"/>
  <c r="K7" i="18"/>
  <c r="E7" i="18"/>
  <c r="K6" i="18"/>
  <c r="E6" i="18"/>
  <c r="M9" i="15"/>
  <c r="E9" i="15"/>
  <c r="M6" i="15"/>
  <c r="E6" i="15"/>
  <c r="M14" i="14"/>
  <c r="E14" i="14"/>
  <c r="M11" i="14"/>
  <c r="E11" i="14"/>
  <c r="M10" i="14"/>
  <c r="E10" i="14"/>
  <c r="M7" i="14"/>
  <c r="E7" i="14"/>
  <c r="M6" i="14"/>
  <c r="E6" i="14"/>
  <c r="U10" i="12"/>
  <c r="E10" i="12"/>
  <c r="E7" i="12"/>
  <c r="U6" i="12"/>
  <c r="E6" i="12"/>
  <c r="M6" i="10"/>
  <c r="E6" i="10"/>
  <c r="U13" i="9"/>
  <c r="E13" i="9"/>
  <c r="U10" i="9"/>
  <c r="E10" i="9"/>
  <c r="U7" i="9"/>
  <c r="E7" i="9"/>
  <c r="U6" i="9"/>
  <c r="E6" i="9"/>
  <c r="M7" i="7"/>
  <c r="E7" i="7"/>
  <c r="M6" i="7"/>
  <c r="E6" i="7"/>
  <c r="E38" i="6"/>
  <c r="M37" i="6"/>
  <c r="E37" i="6"/>
  <c r="M36" i="6"/>
  <c r="E36" i="6"/>
  <c r="M33" i="6"/>
  <c r="E33" i="6"/>
  <c r="M32" i="6"/>
  <c r="E32" i="6"/>
  <c r="M29" i="6"/>
  <c r="E29" i="6"/>
  <c r="M28" i="6"/>
  <c r="E28" i="6"/>
  <c r="M27" i="6"/>
  <c r="E27" i="6"/>
  <c r="M24" i="6"/>
  <c r="E24" i="6"/>
  <c r="M23" i="6"/>
  <c r="E23" i="6"/>
  <c r="M22" i="6"/>
  <c r="E22" i="6"/>
  <c r="M19" i="6"/>
  <c r="E19" i="6"/>
  <c r="E18" i="6"/>
  <c r="M15" i="6"/>
  <c r="E15" i="6"/>
  <c r="M14" i="6"/>
  <c r="E14" i="6"/>
  <c r="M13" i="6"/>
  <c r="E13" i="6"/>
  <c r="M12" i="6"/>
  <c r="E12" i="6"/>
  <c r="M9" i="6"/>
  <c r="E9" i="6"/>
  <c r="M6" i="6"/>
  <c r="E6" i="6"/>
  <c r="M37" i="5"/>
  <c r="E37" i="5"/>
  <c r="M36" i="5"/>
  <c r="E36" i="5"/>
  <c r="M33" i="5"/>
  <c r="E33" i="5"/>
  <c r="M32" i="5"/>
  <c r="E32" i="5"/>
  <c r="M31" i="5"/>
  <c r="E31" i="5"/>
  <c r="M28" i="5"/>
  <c r="E28" i="5"/>
  <c r="M27" i="5"/>
  <c r="E27" i="5"/>
  <c r="M26" i="5"/>
  <c r="E26" i="5"/>
  <c r="M23" i="5"/>
  <c r="E23" i="5"/>
  <c r="M22" i="5"/>
  <c r="E22" i="5"/>
  <c r="M19" i="5"/>
  <c r="E19" i="5"/>
  <c r="M18" i="5"/>
  <c r="E18" i="5"/>
  <c r="M17" i="5"/>
  <c r="E17" i="5"/>
  <c r="M16" i="5"/>
  <c r="E16" i="5"/>
  <c r="M13" i="5"/>
  <c r="E13" i="5"/>
  <c r="M12" i="5"/>
  <c r="E12" i="5"/>
  <c r="M9" i="5"/>
  <c r="E9" i="5"/>
  <c r="M6" i="5"/>
  <c r="E6" i="5"/>
</calcChain>
</file>

<file path=xl/sharedStrings.xml><?xml version="1.0" encoding="utf-8"?>
<sst xmlns="http://schemas.openxmlformats.org/spreadsheetml/2006/main" count="1009" uniqueCount="406">
  <si>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</si>
  <si>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</si>
  <si>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</si>
  <si>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</si>
  <si>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</si>
  <si>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</si>
  <si>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</si>
  <si>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</si>
  <si>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</si>
  <si>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</si>
  <si>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56</t>
  </si>
  <si>
    <t>Очирова Елена</t>
  </si>
  <si>
    <t>Open (15.09.1975)/40</t>
  </si>
  <si>
    <t>55,90</t>
  </si>
  <si>
    <t xml:space="preserve">Серпухов/Московская область </t>
  </si>
  <si>
    <t>70,0</t>
  </si>
  <si>
    <t>72,5</t>
  </si>
  <si>
    <t>70.00</t>
  </si>
  <si>
    <t xml:space="preserve">Самостоятельно </t>
  </si>
  <si>
    <t>ВЕСОВАЯ КАТЕГОРИЯ   52</t>
  </si>
  <si>
    <t>Христофоров Максим</t>
  </si>
  <si>
    <t>Teenage 15-19 (24.05.2006)/9</t>
  </si>
  <si>
    <t>27,80</t>
  </si>
  <si>
    <t>20,0</t>
  </si>
  <si>
    <t>25,0</t>
  </si>
  <si>
    <t>27,5</t>
  </si>
  <si>
    <t>25.00</t>
  </si>
  <si>
    <t>Янковский Андрей</t>
  </si>
  <si>
    <t>Teenage 15-19 (20.03.2001)/14</t>
  </si>
  <si>
    <t>56,00</t>
  </si>
  <si>
    <t xml:space="preserve">Клин/Московская область </t>
  </si>
  <si>
    <t>65,0</t>
  </si>
  <si>
    <t>75,0</t>
  </si>
  <si>
    <t>Карпов Даниил</t>
  </si>
  <si>
    <t>Teenage 15-19 (03.11.2002)/13</t>
  </si>
  <si>
    <t>54,00</t>
  </si>
  <si>
    <t>45,0</t>
  </si>
  <si>
    <t>50,0</t>
  </si>
  <si>
    <t>52,5</t>
  </si>
  <si>
    <t>52.50</t>
  </si>
  <si>
    <t>ВЕСОВАЯ КАТЕГОРИЯ   82.5</t>
  </si>
  <si>
    <t>Младенский Александр</t>
  </si>
  <si>
    <t>Teenage 15-19 (03.09.2002)/13</t>
  </si>
  <si>
    <t>81,50</t>
  </si>
  <si>
    <t>80,0</t>
  </si>
  <si>
    <t>85,0</t>
  </si>
  <si>
    <t>87,5</t>
  </si>
  <si>
    <t>87.50</t>
  </si>
  <si>
    <t>Молчашкин Илья</t>
  </si>
  <si>
    <t>Juniors 20-23 (07.02.1995)/21</t>
  </si>
  <si>
    <t>82,50</t>
  </si>
  <si>
    <t xml:space="preserve">Наро-Фоминск/Московская область </t>
  </si>
  <si>
    <t>125,0</t>
  </si>
  <si>
    <t>135,0</t>
  </si>
  <si>
    <t>142,5</t>
  </si>
  <si>
    <t>135.00</t>
  </si>
  <si>
    <t>Холопов Денис</t>
  </si>
  <si>
    <t>Open (31.07.1988)/27</t>
  </si>
  <si>
    <t>78,80</t>
  </si>
  <si>
    <t xml:space="preserve">Суворов/Тульская область </t>
  </si>
  <si>
    <t>145,0</t>
  </si>
  <si>
    <t>155,0</t>
  </si>
  <si>
    <t>155.00</t>
  </si>
  <si>
    <t>Хорев Артур</t>
  </si>
  <si>
    <t>Open (14.10.1986)/29</t>
  </si>
  <si>
    <t>76,40</t>
  </si>
  <si>
    <t xml:space="preserve">Лыткарино/Московская область </t>
  </si>
  <si>
    <t>147,5</t>
  </si>
  <si>
    <t>150,0</t>
  </si>
  <si>
    <t>145.00</t>
  </si>
  <si>
    <t>ВЕСОВАЯ КАТЕГОРИЯ   90</t>
  </si>
  <si>
    <t>Грачев Игорь</t>
  </si>
  <si>
    <t>Open (14.07.1978)/37</t>
  </si>
  <si>
    <t>88,30</t>
  </si>
  <si>
    <t>160,0</t>
  </si>
  <si>
    <t>165,0</t>
  </si>
  <si>
    <t>160.00</t>
  </si>
  <si>
    <t>Варшавский Николай</t>
  </si>
  <si>
    <t>Open (21.04.1976)/39</t>
  </si>
  <si>
    <t>88,80</t>
  </si>
  <si>
    <t xml:space="preserve">Жуковский/Московская область </t>
  </si>
  <si>
    <t>120,0</t>
  </si>
  <si>
    <t>Чернышов Игорь</t>
  </si>
  <si>
    <t>Masters 45-49 (14.07.1969)/46</t>
  </si>
  <si>
    <t>89,40</t>
  </si>
  <si>
    <t>152,5</t>
  </si>
  <si>
    <t>147.50</t>
  </si>
  <si>
    <t>ВЕСОВАЯ КАТЕГОРИЯ   100</t>
  </si>
  <si>
    <t>Генералов Дмитрий</t>
  </si>
  <si>
    <t>Open (05.04.1985)/30</t>
  </si>
  <si>
    <t>95,10</t>
  </si>
  <si>
    <t xml:space="preserve">Протвино/Московская область </t>
  </si>
  <si>
    <t>175,0</t>
  </si>
  <si>
    <t>185,0</t>
  </si>
  <si>
    <t>190,0</t>
  </si>
  <si>
    <t>190.00</t>
  </si>
  <si>
    <t>Исаев Максим</t>
  </si>
  <si>
    <t>Open (07.12.1983)/32</t>
  </si>
  <si>
    <t>96,00</t>
  </si>
  <si>
    <t>167,5</t>
  </si>
  <si>
    <t>172,5</t>
  </si>
  <si>
    <t>172.50</t>
  </si>
  <si>
    <t>Иванов Михаил</t>
  </si>
  <si>
    <t>Open (02.06.1990)/25</t>
  </si>
  <si>
    <t>91,70</t>
  </si>
  <si>
    <t>137,5</t>
  </si>
  <si>
    <t>140,0</t>
  </si>
  <si>
    <t>137.50</t>
  </si>
  <si>
    <t>ВЕСОВАЯ КАТЕГОРИЯ   110</t>
  </si>
  <si>
    <t>Савосин Марат</t>
  </si>
  <si>
    <t>Open (23.10.1990)/25</t>
  </si>
  <si>
    <t>105,80</t>
  </si>
  <si>
    <t xml:space="preserve">Подольск/Московская область </t>
  </si>
  <si>
    <t>200,0</t>
  </si>
  <si>
    <t>207,5</t>
  </si>
  <si>
    <t>200.00</t>
  </si>
  <si>
    <t>Титкин Александр</t>
  </si>
  <si>
    <t>Open (04.09.1987)/28</t>
  </si>
  <si>
    <t>108,00</t>
  </si>
  <si>
    <t>187,5</t>
  </si>
  <si>
    <t>192,5</t>
  </si>
  <si>
    <t>192.50</t>
  </si>
  <si>
    <t>Лебедев Игорь</t>
  </si>
  <si>
    <t>Masters 45-49 (01.09.1967)/48</t>
  </si>
  <si>
    <t>102,00</t>
  </si>
  <si>
    <t>130,0</t>
  </si>
  <si>
    <t>140.00</t>
  </si>
  <si>
    <t>ВЕСОВАЯ КАТЕГОРИЯ   125</t>
  </si>
  <si>
    <t>Арсентьев Иван</t>
  </si>
  <si>
    <t>Open (04.06.1976)/39</t>
  </si>
  <si>
    <t>117,20</t>
  </si>
  <si>
    <t>210,0</t>
  </si>
  <si>
    <t>220,0</t>
  </si>
  <si>
    <t>210.00</t>
  </si>
  <si>
    <t>Пузырев Денис</t>
  </si>
  <si>
    <t>Masters 40-44 (31.03.1974)/41</t>
  </si>
  <si>
    <t>116,50</t>
  </si>
  <si>
    <t>182,5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</si>
  <si>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</si>
  <si>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</si>
  <si>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</si>
  <si>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</si>
  <si>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</si>
  <si>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</si>
  <si>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</si>
  <si>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</si>
  <si>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>121,4220</t>
  </si>
  <si>
    <t>119,2000</t>
  </si>
  <si>
    <t>118,1230</t>
  </si>
  <si>
    <t>Воронин Владислав</t>
  </si>
  <si>
    <t>Teenage 15-19 (17.05.2005)/10</t>
  </si>
  <si>
    <t>46,90</t>
  </si>
  <si>
    <t>30,0</t>
  </si>
  <si>
    <t>Чекулов Василий</t>
  </si>
  <si>
    <t>Teenage 15-19 (17.06.2002)/13</t>
  </si>
  <si>
    <t>54,90</t>
  </si>
  <si>
    <t>60,0</t>
  </si>
  <si>
    <t>ВЕСОВАЯ КАТЕГОРИЯ   75</t>
  </si>
  <si>
    <t>Юшин Алексей</t>
  </si>
  <si>
    <t>Open (09.10.1982)/33</t>
  </si>
  <si>
    <t>72,10</t>
  </si>
  <si>
    <t xml:space="preserve">Верея/Московская область </t>
  </si>
  <si>
    <t>Букаткин Максим</t>
  </si>
  <si>
    <t>Open (12.01.1992)/24</t>
  </si>
  <si>
    <t>70,90</t>
  </si>
  <si>
    <t>Галкин Павел</t>
  </si>
  <si>
    <t>Open (01.05.1987)/28</t>
  </si>
  <si>
    <t>73,50</t>
  </si>
  <si>
    <t>Тюлькин Кирилл</t>
  </si>
  <si>
    <t>Open (20.10.1982)/33</t>
  </si>
  <si>
    <t>73,20</t>
  </si>
  <si>
    <t>110,0</t>
  </si>
  <si>
    <t>117,5</t>
  </si>
  <si>
    <t>Конограй Никита</t>
  </si>
  <si>
    <t>Teenage 15-19 (24.02.1996)/19</t>
  </si>
  <si>
    <t>81,60</t>
  </si>
  <si>
    <t>Озорнов Роман</t>
  </si>
  <si>
    <t>Open (01.07.1982)/33</t>
  </si>
  <si>
    <t>78,10</t>
  </si>
  <si>
    <t>Буслаев Даниил</t>
  </si>
  <si>
    <t>Teenage 15-19 (23.04.1999)/16</t>
  </si>
  <si>
    <t>89,90</t>
  </si>
  <si>
    <t>132,5</t>
  </si>
  <si>
    <t>Полежаев Александр</t>
  </si>
  <si>
    <t>Open (05.07.1987)/28</t>
  </si>
  <si>
    <t>88,70</t>
  </si>
  <si>
    <t>Озеров Олег</t>
  </si>
  <si>
    <t>Open (22.12.1982)/33</t>
  </si>
  <si>
    <t>88,10</t>
  </si>
  <si>
    <t>Мележиков Андрей</t>
  </si>
  <si>
    <t>Juniors 20-23 (21.09.1994)/21</t>
  </si>
  <si>
    <t>97,80</t>
  </si>
  <si>
    <t>Бершаков Дмитрий</t>
  </si>
  <si>
    <t>Open (16.05.1982)/33</t>
  </si>
  <si>
    <t>96,90</t>
  </si>
  <si>
    <t>162,5</t>
  </si>
  <si>
    <t>Коробейников Руслан</t>
  </si>
  <si>
    <t>Open (12.06.1984)/31</t>
  </si>
  <si>
    <t>97,90</t>
  </si>
  <si>
    <t xml:space="preserve">Чехов/Московская область </t>
  </si>
  <si>
    <t>127,5</t>
  </si>
  <si>
    <t>Глухов Андрей</t>
  </si>
  <si>
    <t>Open (02.04.1978)/37</t>
  </si>
  <si>
    <t>108,50</t>
  </si>
  <si>
    <t xml:space="preserve">Воскресенск/Московская область </t>
  </si>
  <si>
    <t>180,0</t>
  </si>
  <si>
    <t>Чириков Александр</t>
  </si>
  <si>
    <t>Open (14.09.1983)/32</t>
  </si>
  <si>
    <t>107,10</t>
  </si>
  <si>
    <t xml:space="preserve">Домодедово/Московская область </t>
  </si>
  <si>
    <t>Никулин Алексей</t>
  </si>
  <si>
    <t>Open (01.02.1982)/34</t>
  </si>
  <si>
    <t>125,00</t>
  </si>
  <si>
    <t xml:space="preserve">Тула/Тульская область </t>
  </si>
  <si>
    <t>Лаврухин Михаил</t>
  </si>
  <si>
    <t>Masters 40-44 (05.03.1975)/40</t>
  </si>
  <si>
    <t>114,60</t>
  </si>
  <si>
    <t>Бондарев Алексей</t>
  </si>
  <si>
    <t>Masters 40-44 (09.11.1975)/40</t>
  </si>
  <si>
    <t>113,80</t>
  </si>
  <si>
    <t xml:space="preserve">Звенигород/Московская область </t>
  </si>
  <si>
    <t>108,2620</t>
  </si>
  <si>
    <t>108,1175</t>
  </si>
  <si>
    <t>106,3800</t>
  </si>
  <si>
    <t>Дежин Андрей</t>
  </si>
  <si>
    <t>Juniors 20-23 (30.07.1992)/23</t>
  </si>
  <si>
    <t>81,30</t>
  </si>
  <si>
    <t>Копытцев Денис</t>
  </si>
  <si>
    <t>Open (31.12.1990)/25</t>
  </si>
  <si>
    <t>77,80</t>
  </si>
  <si>
    <t>170,0</t>
  </si>
  <si>
    <t>Ходосевич Владислав</t>
  </si>
  <si>
    <t>Teenage 15-19 (28.08.1999)/16</t>
  </si>
  <si>
    <t>122,5</t>
  </si>
  <si>
    <t>95,0</t>
  </si>
  <si>
    <t>100,0</t>
  </si>
  <si>
    <t>102,5</t>
  </si>
  <si>
    <t>Поляков Александр</t>
  </si>
  <si>
    <t>Open (06.11.1986)/29</t>
  </si>
  <si>
    <t>80,00</t>
  </si>
  <si>
    <t>115,0</t>
  </si>
  <si>
    <t>215,0</t>
  </si>
  <si>
    <t>235,0</t>
  </si>
  <si>
    <t>Коробов Максим</t>
  </si>
  <si>
    <t>Teenage 15-19 (31.03.2001)/14</t>
  </si>
  <si>
    <t>83,30</t>
  </si>
  <si>
    <t>105,0</t>
  </si>
  <si>
    <t>Щерба Сергей</t>
  </si>
  <si>
    <t>Open (11.04.1981)/34</t>
  </si>
  <si>
    <t>114,90</t>
  </si>
  <si>
    <t>230,0</t>
  </si>
  <si>
    <t>240,0</t>
  </si>
  <si>
    <t>250,0</t>
  </si>
  <si>
    <t>260,0</t>
  </si>
  <si>
    <t>Товстоног Максим</t>
  </si>
  <si>
    <t>Open (05.06.1983)/32</t>
  </si>
  <si>
    <t>73,00</t>
  </si>
  <si>
    <t>Колосков Борис</t>
  </si>
  <si>
    <t>Open (27.06.1986)/29</t>
  </si>
  <si>
    <t>89,30</t>
  </si>
  <si>
    <t>225,0</t>
  </si>
  <si>
    <t>255,0</t>
  </si>
  <si>
    <t>275,0</t>
  </si>
  <si>
    <t>Ненартович Дмитрий</t>
  </si>
  <si>
    <t>Open (21.12.1987)/28</t>
  </si>
  <si>
    <t>114,30</t>
  </si>
  <si>
    <t>242,5</t>
  </si>
  <si>
    <t>Графин Александр</t>
  </si>
  <si>
    <t>Open (06.03.1977)/38</t>
  </si>
  <si>
    <t>76,90</t>
  </si>
  <si>
    <t>Молчашкин Алексей</t>
  </si>
  <si>
    <t>Open (14.08.1990)/25</t>
  </si>
  <si>
    <t>89,00</t>
  </si>
  <si>
    <t>205,0</t>
  </si>
  <si>
    <t>Абдурохмонов Точиддин</t>
  </si>
  <si>
    <t>Open (02.10.1982)/33</t>
  </si>
  <si>
    <t>87,70</t>
  </si>
  <si>
    <t>197,5</t>
  </si>
  <si>
    <t>290,0</t>
  </si>
  <si>
    <t>300,0</t>
  </si>
  <si>
    <t>178,8000</t>
  </si>
  <si>
    <t>Аветисян Ани</t>
  </si>
  <si>
    <t>Open (14.11.1990)/25</t>
  </si>
  <si>
    <t>70,30</t>
  </si>
  <si>
    <t>Черников Артем</t>
  </si>
  <si>
    <t>Teenage 15-19 (06.05.1998)/17</t>
  </si>
  <si>
    <t>94,30</t>
  </si>
  <si>
    <t>Gloss</t>
  </si>
  <si>
    <t>2320.00</t>
  </si>
  <si>
    <t>Туманов Александр</t>
  </si>
  <si>
    <t>Open (05.01.1984)/32</t>
  </si>
  <si>
    <t>69,90</t>
  </si>
  <si>
    <t>700.00</t>
  </si>
  <si>
    <t>77,5</t>
  </si>
  <si>
    <t>2247.50</t>
  </si>
  <si>
    <t>1440.00</t>
  </si>
  <si>
    <t>90,0</t>
  </si>
  <si>
    <t>2610.00</t>
  </si>
  <si>
    <t>ВЕСОВАЯ КАТЕГОРИЯ   140</t>
  </si>
  <si>
    <t>Филин Михаил</t>
  </si>
  <si>
    <t>Masters 50-59 (17.11.1961)/54</t>
  </si>
  <si>
    <t>134,30</t>
  </si>
  <si>
    <t>1485.00</t>
  </si>
  <si>
    <t xml:space="preserve">Gloss </t>
  </si>
  <si>
    <t>2320,0</t>
  </si>
  <si>
    <t>1667,7320</t>
  </si>
  <si>
    <t>Вес</t>
  </si>
  <si>
    <t>Повторы</t>
  </si>
  <si>
    <t>97,5</t>
  </si>
  <si>
    <t>Гребнев Евгений</t>
  </si>
  <si>
    <t>Open (07.05.1980)/35</t>
  </si>
  <si>
    <t>102,20</t>
  </si>
  <si>
    <t>Платов Руслан</t>
  </si>
  <si>
    <t>Open (11.06.1979)/36</t>
  </si>
  <si>
    <t>101,00</t>
  </si>
  <si>
    <t>Пашенцев Кирилл</t>
  </si>
  <si>
    <t>Open (01.05.1988)/27</t>
  </si>
  <si>
    <t>104,00</t>
  </si>
  <si>
    <t>Masters 40-49 (01.09.1967)/48</t>
  </si>
  <si>
    <t>Константинов Константин</t>
  </si>
  <si>
    <t>Masters 40-49 (05.02.1975)/41</t>
  </si>
  <si>
    <t>108,30</t>
  </si>
  <si>
    <t xml:space="preserve">Дедовск/Московская область </t>
  </si>
  <si>
    <t>3525,0</t>
  </si>
  <si>
    <t>1952,3212</t>
  </si>
  <si>
    <t>Место</t>
  </si>
  <si>
    <t>1</t>
  </si>
  <si>
    <t>2</t>
  </si>
  <si>
    <t>3</t>
  </si>
  <si>
    <t>Open (17.11.1961)/54</t>
  </si>
  <si>
    <t>Главный судья соревнований: Емельянов Алексей /Серпухов НК</t>
  </si>
  <si>
    <t>Главный секретарь соревнований: Емельянова Анастасия /Серпухов</t>
  </si>
  <si>
    <t>Центральный судья на помосте: Гунина Ксениям/Москва НК; Товстоног Максим /Серпухов РК</t>
  </si>
  <si>
    <t>Open (01.09.1967)/48</t>
  </si>
  <si>
    <t>Емельянов А</t>
  </si>
  <si>
    <t>0</t>
  </si>
  <si>
    <t>22</t>
  </si>
  <si>
    <t>21</t>
  </si>
  <si>
    <t>17</t>
  </si>
  <si>
    <t>14</t>
  </si>
  <si>
    <t>16</t>
  </si>
  <si>
    <t>30</t>
  </si>
  <si>
    <t>32</t>
  </si>
  <si>
    <t>10</t>
  </si>
  <si>
    <t>29</t>
  </si>
  <si>
    <t>18</t>
  </si>
  <si>
    <t>11</t>
  </si>
  <si>
    <t>Чемпионат Московской области IPL Жим лежа без экипировки ДК
19 - 21февраля 2016 год</t>
  </si>
  <si>
    <t xml:space="preserve">Лично </t>
  </si>
  <si>
    <t>Чемпионат Московской области IPL Жим лежа в однослойной экипировке
19 - 21 февраля 2016 год</t>
  </si>
  <si>
    <t>2255,0</t>
  </si>
  <si>
    <t>1470,0</t>
  </si>
  <si>
    <t>1760,0</t>
  </si>
  <si>
    <t>370,0</t>
  </si>
  <si>
    <t>650,0</t>
  </si>
  <si>
    <t>310,0</t>
  </si>
  <si>
    <t>515,0</t>
  </si>
  <si>
    <t>Чемпионат Московской области IPL Пауэрлифтинг в бинтах
19 - 21февраля 2016 год</t>
  </si>
  <si>
    <t>625,0</t>
  </si>
  <si>
    <t>Собств. вес</t>
  </si>
  <si>
    <t>Город/ область</t>
  </si>
  <si>
    <t>Весовая категория               Дата рождения/возраст</t>
  </si>
  <si>
    <t>Архипов С.</t>
  </si>
  <si>
    <t>Гребнев Е.</t>
  </si>
  <si>
    <t xml:space="preserve">110,0 </t>
  </si>
  <si>
    <t>Шель-Фетенгоф Д.</t>
  </si>
  <si>
    <t>Емельянов А.</t>
  </si>
  <si>
    <t>Савосин М.</t>
  </si>
  <si>
    <t>Москва/Московская область</t>
  </si>
  <si>
    <t>Колмаков А.</t>
  </si>
  <si>
    <t>Ванюшин В.</t>
  </si>
  <si>
    <t>Товстоног М.</t>
  </si>
  <si>
    <t xml:space="preserve">Москва/Московская область </t>
  </si>
  <si>
    <t>Озеров О.</t>
  </si>
  <si>
    <t xml:space="preserve">Товстоног М. </t>
  </si>
  <si>
    <t>Воробьёв А.</t>
  </si>
  <si>
    <t xml:space="preserve">Емельянов А. </t>
  </si>
  <si>
    <t>Мамедов Р.</t>
  </si>
  <si>
    <t>Бондарев А.</t>
  </si>
  <si>
    <t>Осипенко А.</t>
  </si>
  <si>
    <t xml:space="preserve">125,0 </t>
  </si>
  <si>
    <t xml:space="preserve">100,0 </t>
  </si>
  <si>
    <t>Проничкин С.</t>
  </si>
  <si>
    <t>Арсентьев И.</t>
  </si>
  <si>
    <t>Давыдочкин С.</t>
  </si>
  <si>
    <t>Груднев А.</t>
  </si>
  <si>
    <t>Янковская А.</t>
  </si>
  <si>
    <t xml:space="preserve">75,0 </t>
  </si>
  <si>
    <t>Молостовкин Егор</t>
  </si>
  <si>
    <t>69,3</t>
  </si>
  <si>
    <t>270,0</t>
  </si>
  <si>
    <t>305,0</t>
  </si>
  <si>
    <t>Open (29.09.1998)/18</t>
  </si>
  <si>
    <t>Чемпионат Московской области IPL Парная становая тяга
19 - 21февраля 2016 год</t>
  </si>
  <si>
    <t>161,958</t>
  </si>
  <si>
    <t>Состав судейской коллегии на Чемпионате Московской области г. Серпухов, 19-21 февраля 2016 год</t>
  </si>
  <si>
    <t>Помощник главного секретаря: Новиков Степан/Вологда МК</t>
  </si>
  <si>
    <t xml:space="preserve">Аппеляционное жюри: Емельянов Алексей /Серпухов НК; Гунина Ксения /Москва НК; Товстоног Максим /Серпухов РК </t>
  </si>
  <si>
    <t>Боковые судьи на помосте: Товстоног Максим /Серпухов РК; Емельянов Алексей /Серпухов НК; Туманов Александр/ Серпухов НК</t>
  </si>
  <si>
    <t>Чемпионат Московской области - Народный жим (1 вес)
19 - 21 февраля 2016 год</t>
  </si>
  <si>
    <t>Чемпионат Московской области - Народный жим (1 вес) допинг контроль
19 - 21 февраля 2016 год</t>
  </si>
  <si>
    <t>Чемпионат Московской области IPL Жим лежа без экипировки
19 - 21 февраля 2016 год</t>
  </si>
  <si>
    <t>Чемпионат Московской области IPL Жим лежа в многослойной экипировке ДК
19 - 21 февраля 2016 год</t>
  </si>
  <si>
    <t>Чемпионат Московской области IPL Пауэрлифтинг без экипировки
19 - 21 февраля 2016 год</t>
  </si>
  <si>
    <t>Чемпионат Московской области IPL Становая тяга без экипировки
19 - 21 февраля 2016 год</t>
  </si>
  <si>
    <t>Чемпионат Московской области IPL Становая тяга без экипировки ДК
19 - 21 февраля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</si>
</sst>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strike/>
      <sz val="10"/>
      <color rgb="FFFF0000"/>
      <name val="Arial Cyr"/>
      <charset val="204"/>
    </font>
    <font>
      <b/>
      <strike/>
      <sz val="10"/>
      <name val="Arial Cyr"/>
      <charset val="204"/>
    </font>
    <font>
      <b/>
      <sz val="12"/>
      <name val="Arial Cyr"/>
      <charset val="204"/>
    </font>
    <font>
      <b/>
      <strike/>
      <sz val="12"/>
      <color rgb="FFFF0000"/>
      <name val="Arial Cyr"/>
      <charset val="204"/>
    </font>
    <font>
      <b/>
      <strike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9" fontId="5" fillId="0" borderId="11">
      <alignment horizontal="center"/>
    </xf>
    <xf numFmtId="0" fontId="5" fillId="0" borderId="0"/>
    <xf numFmtId="49" fontId="9" fillId="0" borderId="11">
      <alignment horizontal="center"/>
    </xf>
    <xf numFmtId="49" fontId="9" fillId="0" borderId="11">
      <alignment horizontal="center"/>
    </xf>
  </cellStyleXfs>
  <cellXfs count="207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left" indent="1"/>
    </xf>
    <xf numFmtId="49" fontId="1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11" xfId="0" applyNumberFormat="1" applyBorder="1"/>
    <xf numFmtId="49" fontId="0" fillId="0" borderId="12" xfId="0" applyNumberFormat="1" applyBorder="1"/>
    <xf numFmtId="49" fontId="0" fillId="0" borderId="14" xfId="0" applyNumberFormat="1" applyBorder="1"/>
    <xf numFmtId="49" fontId="0" fillId="0" borderId="13" xfId="0" applyNumberFormat="1" applyBorder="1"/>
    <xf numFmtId="49" fontId="11" fillId="0" borderId="0" xfId="0" applyNumberFormat="1" applyFont="1"/>
    <xf numFmtId="49" fontId="8" fillId="0" borderId="0" xfId="0" applyNumberFormat="1" applyFont="1"/>
    <xf numFmtId="49" fontId="13" fillId="0" borderId="0" xfId="0" applyNumberFormat="1" applyFont="1" applyAlignment="1">
      <alignment horizontal="left" indent="1"/>
    </xf>
    <xf numFmtId="49" fontId="13" fillId="0" borderId="0" xfId="0" applyNumberFormat="1" applyFont="1"/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14" fillId="0" borderId="11" xfId="0" applyNumberFormat="1" applyFont="1" applyBorder="1"/>
    <xf numFmtId="49" fontId="2" fillId="2" borderId="11" xfId="0" applyNumberFormat="1" applyFont="1" applyFill="1" applyBorder="1"/>
    <xf numFmtId="49" fontId="15" fillId="0" borderId="11" xfId="0" applyNumberFormat="1" applyFont="1" applyBorder="1"/>
    <xf numFmtId="49" fontId="2" fillId="0" borderId="11" xfId="0" applyNumberFormat="1" applyFont="1" applyBorder="1"/>
    <xf numFmtId="0" fontId="0" fillId="0" borderId="0" xfId="0"/>
    <xf numFmtId="0" fontId="6" fillId="0" borderId="0" xfId="0" applyFont="1"/>
    <xf numFmtId="49" fontId="2" fillId="0" borderId="12" xfId="0" applyNumberFormat="1" applyFont="1" applyBorder="1"/>
    <xf numFmtId="49" fontId="2" fillId="0" borderId="14" xfId="0" applyNumberFormat="1" applyFont="1" applyBorder="1"/>
    <xf numFmtId="49" fontId="2" fillId="0" borderId="13" xfId="0" applyNumberFormat="1" applyFont="1" applyBorder="1"/>
    <xf numFmtId="49" fontId="2" fillId="2" borderId="12" xfId="0" applyNumberFormat="1" applyFont="1" applyFill="1" applyBorder="1"/>
    <xf numFmtId="49" fontId="15" fillId="0" borderId="12" xfId="0" applyNumberFormat="1" applyFont="1" applyBorder="1"/>
    <xf numFmtId="49" fontId="2" fillId="2" borderId="13" xfId="0" applyNumberFormat="1" applyFont="1" applyFill="1" applyBorder="1"/>
    <xf numFmtId="49" fontId="15" fillId="0" borderId="13" xfId="0" applyNumberFormat="1" applyFont="1" applyBorder="1"/>
    <xf numFmtId="49" fontId="14" fillId="0" borderId="12" xfId="0" applyNumberFormat="1" applyFont="1" applyBorder="1"/>
    <xf numFmtId="49" fontId="14" fillId="0" borderId="13" xfId="0" applyNumberFormat="1" applyFont="1" applyBorder="1"/>
    <xf numFmtId="49" fontId="2" fillId="2" borderId="14" xfId="0" applyNumberFormat="1" applyFont="1" applyFill="1" applyBorder="1"/>
    <xf numFmtId="49" fontId="14" fillId="0" borderId="14" xfId="0" applyNumberFormat="1" applyFont="1" applyBorder="1"/>
    <xf numFmtId="49" fontId="15" fillId="0" borderId="14" xfId="0" applyNumberFormat="1" applyFont="1" applyBorder="1"/>
    <xf numFmtId="49" fontId="2" fillId="2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 inden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9" xfId="0" applyNumberFormat="1" applyBorder="1"/>
    <xf numFmtId="49" fontId="0" fillId="0" borderId="25" xfId="0" applyNumberFormat="1" applyBorder="1"/>
    <xf numFmtId="49" fontId="0" fillId="0" borderId="20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49" fontId="0" fillId="0" borderId="18" xfId="0" applyNumberFormat="1" applyBorder="1"/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/>
    <xf numFmtId="49" fontId="6" fillId="0" borderId="11" xfId="0" applyNumberFormat="1" applyFont="1" applyBorder="1"/>
    <xf numFmtId="49" fontId="6" fillId="0" borderId="11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49" fontId="16" fillId="0" borderId="16" xfId="0" applyNumberFormat="1" applyFont="1" applyBorder="1"/>
    <xf numFmtId="49" fontId="6" fillId="0" borderId="12" xfId="0" applyNumberFormat="1" applyFont="1" applyBorder="1"/>
    <xf numFmtId="49" fontId="6" fillId="0" borderId="19" xfId="0" applyNumberFormat="1" applyFont="1" applyBorder="1"/>
    <xf numFmtId="49" fontId="6" fillId="0" borderId="12" xfId="0" applyNumberFormat="1" applyFont="1" applyBorder="1" applyAlignment="1">
      <alignment horizontal="center"/>
    </xf>
    <xf numFmtId="49" fontId="6" fillId="0" borderId="16" xfId="0" applyNumberFormat="1" applyFont="1" applyBorder="1"/>
    <xf numFmtId="49" fontId="16" fillId="0" borderId="12" xfId="0" applyNumberFormat="1" applyFont="1" applyBorder="1"/>
    <xf numFmtId="49" fontId="16" fillId="0" borderId="1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16" fillId="0" borderId="17" xfId="0" applyNumberFormat="1" applyFont="1" applyBorder="1"/>
    <xf numFmtId="49" fontId="6" fillId="0" borderId="14" xfId="0" applyNumberFormat="1" applyFont="1" applyBorder="1"/>
    <xf numFmtId="49" fontId="6" fillId="0" borderId="25" xfId="0" applyNumberFormat="1" applyFont="1" applyBorder="1"/>
    <xf numFmtId="49" fontId="6" fillId="0" borderId="14" xfId="0" applyNumberFormat="1" applyFont="1" applyBorder="1" applyAlignment="1">
      <alignment horizontal="center"/>
    </xf>
    <xf numFmtId="49" fontId="6" fillId="0" borderId="17" xfId="0" applyNumberFormat="1" applyFont="1" applyBorder="1"/>
    <xf numFmtId="49" fontId="16" fillId="0" borderId="14" xfId="0" applyNumberFormat="1" applyFont="1" applyBorder="1"/>
    <xf numFmtId="49" fontId="16" fillId="0" borderId="14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9" fontId="16" fillId="0" borderId="18" xfId="0" applyNumberFormat="1" applyFont="1" applyBorder="1"/>
    <xf numFmtId="49" fontId="6" fillId="0" borderId="13" xfId="0" applyNumberFormat="1" applyFont="1" applyBorder="1"/>
    <xf numFmtId="49" fontId="6" fillId="0" borderId="20" xfId="0" applyNumberFormat="1" applyFont="1" applyBorder="1"/>
    <xf numFmtId="49" fontId="6" fillId="0" borderId="13" xfId="0" applyNumberFormat="1" applyFont="1" applyBorder="1" applyAlignment="1">
      <alignment horizontal="center"/>
    </xf>
    <xf numFmtId="49" fontId="6" fillId="0" borderId="18" xfId="0" applyNumberFormat="1" applyFont="1" applyBorder="1"/>
    <xf numFmtId="49" fontId="16" fillId="0" borderId="13" xfId="0" applyNumberFormat="1" applyFont="1" applyBorder="1"/>
    <xf numFmtId="49" fontId="16" fillId="0" borderId="13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 indent="1"/>
    </xf>
    <xf numFmtId="0" fontId="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indent="1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/>
    <xf numFmtId="49" fontId="7" fillId="0" borderId="0" xfId="0" applyNumberFormat="1" applyFont="1"/>
    <xf numFmtId="49" fontId="6" fillId="0" borderId="0" xfId="0" applyNumberFormat="1" applyFont="1" applyFill="1" applyBorder="1" applyAlignment="1">
      <alignment horizontal="left"/>
    </xf>
    <xf numFmtId="49" fontId="16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left"/>
    </xf>
    <xf numFmtId="49" fontId="16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49" fontId="16" fillId="0" borderId="19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inden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 indent="1"/>
    </xf>
    <xf numFmtId="49" fontId="7" fillId="0" borderId="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6" fillId="2" borderId="11" xfId="0" applyNumberFormat="1" applyFont="1" applyFill="1" applyBorder="1"/>
    <xf numFmtId="49" fontId="17" fillId="0" borderId="11" xfId="0" applyNumberFormat="1" applyFont="1" applyBorder="1"/>
    <xf numFmtId="49" fontId="18" fillId="0" borderId="11" xfId="0" applyNumberFormat="1" applyFont="1" applyBorder="1"/>
    <xf numFmtId="164" fontId="16" fillId="0" borderId="11" xfId="0" applyNumberFormat="1" applyFont="1" applyBorder="1" applyAlignment="1">
      <alignment horizontal="center"/>
    </xf>
  </cellXfs>
  <cellStyles count="5">
    <cellStyle name="Обычный" xfId="0" builtinId="0"/>
    <cellStyle name="Стиль 1" xfId="1"/>
    <cellStyle name="Стиль 2" xfId="2"/>
    <cellStyle name="Стиль 3" xfId="3"/>
    <cellStyle name="Стиль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sqref="A1:M2"/>
    </sheetView>
  </sheetViews>
  <sheetFormatPr baseColWidth="10" defaultColWidth="8.7109375" defaultRowHeight="13" x14ac:dyDescent="0"/>
  <cols>
    <col min="1" max="1" width="8.7109375" style="53"/>
    <col min="2" max="2" width="26" style="26" bestFit="1" customWidth="1"/>
    <col min="3" max="3" width="27.140625" style="26" customWidth="1"/>
    <col min="4" max="4" width="10.5703125" style="26" bestFit="1" customWidth="1"/>
    <col min="5" max="5" width="10.140625" style="26" bestFit="1" customWidth="1"/>
    <col min="6" max="6" width="28.5703125" style="26" bestFit="1" customWidth="1"/>
    <col min="7" max="9" width="5.5703125" style="26" customWidth="1"/>
    <col min="10" max="10" width="4.5703125" style="26" customWidth="1"/>
    <col min="11" max="11" width="7.85546875" style="84" bestFit="1" customWidth="1"/>
    <col min="12" max="12" width="8.5703125" style="26" bestFit="1" customWidth="1"/>
    <col min="13" max="13" width="15.7109375" style="26" bestFit="1" customWidth="1"/>
    <col min="14" max="16384" width="8.7109375" style="53"/>
  </cols>
  <sheetData>
    <row r="1" spans="1:13" s="1" customFormat="1" ht="15" customHeight="1">
      <c r="A1" s="107" t="s">
        <v>393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1" customFormat="1" ht="51.7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3" s="2" customFormat="1" ht="12.75" customHeight="1">
      <c r="A3" s="117" t="s">
        <v>325</v>
      </c>
      <c r="B3" s="117" t="s">
        <v>0</v>
      </c>
      <c r="C3" s="119" t="s">
        <v>361</v>
      </c>
      <c r="D3" s="119" t="s">
        <v>359</v>
      </c>
      <c r="E3" s="111" t="s">
        <v>7</v>
      </c>
      <c r="F3" s="120" t="s">
        <v>360</v>
      </c>
      <c r="G3" s="111" t="s">
        <v>2</v>
      </c>
      <c r="H3" s="111"/>
      <c r="I3" s="111"/>
      <c r="J3" s="111"/>
      <c r="K3" s="111" t="s">
        <v>4</v>
      </c>
      <c r="L3" s="111" t="s">
        <v>6</v>
      </c>
      <c r="M3" s="113" t="s">
        <v>5</v>
      </c>
    </row>
    <row r="4" spans="1:13" s="2" customFormat="1" ht="21" customHeight="1" thickBot="1">
      <c r="A4" s="118"/>
      <c r="B4" s="118"/>
      <c r="C4" s="112"/>
      <c r="D4" s="112"/>
      <c r="E4" s="112"/>
      <c r="F4" s="121"/>
      <c r="G4" s="3">
        <v>1</v>
      </c>
      <c r="H4" s="3">
        <v>2</v>
      </c>
      <c r="I4" s="3">
        <v>3</v>
      </c>
      <c r="J4" s="3" t="s">
        <v>8</v>
      </c>
      <c r="K4" s="112"/>
      <c r="L4" s="112"/>
      <c r="M4" s="114"/>
    </row>
    <row r="5" spans="1:13" ht="16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3">
      <c r="A6" s="38">
        <v>1</v>
      </c>
      <c r="B6" s="9" t="s">
        <v>162</v>
      </c>
      <c r="C6" s="10" t="s">
        <v>163</v>
      </c>
      <c r="D6" s="10" t="s">
        <v>164</v>
      </c>
      <c r="E6" s="27" t="s">
        <v>348</v>
      </c>
      <c r="F6" s="11" t="s">
        <v>161</v>
      </c>
      <c r="G6" s="50" t="s">
        <v>390</v>
      </c>
      <c r="H6" s="50" t="s">
        <v>278</v>
      </c>
      <c r="I6" s="50" t="s">
        <v>391</v>
      </c>
      <c r="J6" s="51"/>
      <c r="K6" s="83" t="s">
        <v>391</v>
      </c>
      <c r="L6" s="52" t="s">
        <v>394</v>
      </c>
      <c r="M6" s="27" t="s">
        <v>18</v>
      </c>
    </row>
    <row r="7" spans="1:13">
      <c r="A7" s="38">
        <v>1</v>
      </c>
      <c r="B7" s="52" t="s">
        <v>388</v>
      </c>
      <c r="C7" s="91" t="s">
        <v>392</v>
      </c>
      <c r="D7" s="91" t="s">
        <v>389</v>
      </c>
      <c r="E7" s="27" t="s">
        <v>348</v>
      </c>
      <c r="F7" s="8" t="s">
        <v>161</v>
      </c>
      <c r="G7" s="50" t="s">
        <v>390</v>
      </c>
      <c r="H7" s="50" t="s">
        <v>278</v>
      </c>
      <c r="I7" s="50" t="s">
        <v>391</v>
      </c>
      <c r="J7" s="51"/>
      <c r="K7" s="83" t="s">
        <v>391</v>
      </c>
      <c r="L7" s="52" t="s">
        <v>394</v>
      </c>
      <c r="M7" s="27" t="s">
        <v>18</v>
      </c>
    </row>
  </sheetData>
  <mergeCells count="12">
    <mergeCell ref="L3:L4"/>
    <mergeCell ref="M3:M4"/>
    <mergeCell ref="B5:L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7"/>
  <sheetViews>
    <sheetView zoomScale="89" zoomScaleNormal="89" zoomScalePageLayoutView="89" workbookViewId="0">
      <selection activeCell="G31" sqref="G31"/>
    </sheetView>
  </sheetViews>
  <sheetFormatPr baseColWidth="10" defaultColWidth="8.7109375" defaultRowHeight="13" x14ac:dyDescent="0"/>
  <cols>
    <col min="1" max="1" width="8.7109375" style="1"/>
    <col min="2" max="2" width="28.28515625" style="4" bestFit="1" customWidth="1"/>
    <col min="3" max="3" width="29.85546875" style="1" customWidth="1"/>
    <col min="4" max="4" width="10.5703125" style="1" bestFit="1" customWidth="1"/>
    <col min="5" max="5" width="8.42578125" style="1" bestFit="1" customWidth="1"/>
    <col min="6" max="6" width="20.28515625" style="1" customWidth="1"/>
    <col min="7" max="7" width="31.7109375" style="5" customWidth="1"/>
    <col min="8" max="8" width="6.5703125" style="1" customWidth="1"/>
    <col min="9" max="9" width="9.5703125" style="1" bestFit="1" customWidth="1"/>
    <col min="10" max="10" width="8.7109375" style="4" customWidth="1"/>
    <col min="11" max="11" width="9.5703125" style="1" bestFit="1" customWidth="1"/>
    <col min="12" max="12" width="19.140625" style="5" bestFit="1" customWidth="1"/>
    <col min="13" max="16384" width="8.7109375" style="1"/>
  </cols>
  <sheetData>
    <row r="1" spans="1:12" ht="15" customHeight="1">
      <c r="A1" s="107" t="s">
        <v>400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82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s="2" customFormat="1" ht="12.75" customHeight="1">
      <c r="A3" s="130" t="s">
        <v>325</v>
      </c>
      <c r="B3" s="130" t="s">
        <v>0</v>
      </c>
      <c r="C3" s="131" t="s">
        <v>361</v>
      </c>
      <c r="D3" s="131" t="s">
        <v>359</v>
      </c>
      <c r="E3" s="132" t="s">
        <v>287</v>
      </c>
      <c r="F3" s="132" t="s">
        <v>7</v>
      </c>
      <c r="G3" s="133" t="s">
        <v>360</v>
      </c>
      <c r="H3" s="132" t="s">
        <v>2</v>
      </c>
      <c r="I3" s="132"/>
      <c r="J3" s="132" t="s">
        <v>4</v>
      </c>
      <c r="K3" s="132" t="s">
        <v>6</v>
      </c>
      <c r="L3" s="134" t="s">
        <v>5</v>
      </c>
    </row>
    <row r="4" spans="1:12" s="2" customFormat="1" ht="21" customHeight="1" thickBot="1">
      <c r="A4" s="136"/>
      <c r="B4" s="136"/>
      <c r="C4" s="137"/>
      <c r="D4" s="137"/>
      <c r="E4" s="137"/>
      <c r="F4" s="137"/>
      <c r="G4" s="138"/>
      <c r="H4" s="139" t="s">
        <v>306</v>
      </c>
      <c r="I4" s="139" t="s">
        <v>307</v>
      </c>
      <c r="J4" s="137"/>
      <c r="K4" s="137"/>
      <c r="L4" s="140"/>
    </row>
    <row r="5" spans="1:12" ht="16">
      <c r="A5" s="97"/>
      <c r="B5" s="123" t="s">
        <v>157</v>
      </c>
      <c r="C5" s="115"/>
      <c r="D5" s="115"/>
      <c r="E5" s="115"/>
      <c r="F5" s="115"/>
      <c r="G5" s="115"/>
      <c r="H5" s="115"/>
      <c r="I5" s="115"/>
      <c r="J5" s="115"/>
      <c r="K5" s="115"/>
      <c r="L5" s="181"/>
    </row>
    <row r="6" spans="1:12" ht="16">
      <c r="A6" s="182" t="s">
        <v>326</v>
      </c>
      <c r="B6" s="183" t="s">
        <v>162</v>
      </c>
      <c r="C6" s="184" t="s">
        <v>163</v>
      </c>
      <c r="D6" s="184" t="s">
        <v>164</v>
      </c>
      <c r="E6" s="184" t="str">
        <f>"0,7189"</f>
        <v>0,7189</v>
      </c>
      <c r="F6" s="184" t="s">
        <v>348</v>
      </c>
      <c r="G6" s="185" t="s">
        <v>161</v>
      </c>
      <c r="H6" s="182" t="s">
        <v>16</v>
      </c>
      <c r="I6" s="182" t="s">
        <v>342</v>
      </c>
      <c r="J6" s="183" t="s">
        <v>288</v>
      </c>
      <c r="K6" s="182" t="str">
        <f>"1667,7320"</f>
        <v>1667,7320</v>
      </c>
      <c r="L6" s="185" t="s">
        <v>18</v>
      </c>
    </row>
    <row r="7" spans="1:12" ht="16">
      <c r="A7" s="186" t="s">
        <v>327</v>
      </c>
      <c r="B7" s="187" t="s">
        <v>289</v>
      </c>
      <c r="C7" s="188" t="s">
        <v>290</v>
      </c>
      <c r="D7" s="188" t="s">
        <v>291</v>
      </c>
      <c r="E7" s="188" t="str">
        <f>"0,7271"</f>
        <v>0,7271</v>
      </c>
      <c r="F7" s="188" t="s">
        <v>348</v>
      </c>
      <c r="G7" s="189" t="s">
        <v>14</v>
      </c>
      <c r="H7" s="186" t="s">
        <v>15</v>
      </c>
      <c r="I7" s="186" t="s">
        <v>343</v>
      </c>
      <c r="J7" s="187" t="s">
        <v>292</v>
      </c>
      <c r="K7" s="186" t="str">
        <f>"508,9700"</f>
        <v>508,9700</v>
      </c>
      <c r="L7" s="189" t="s">
        <v>366</v>
      </c>
    </row>
    <row r="8" spans="1:12" ht="16">
      <c r="A8" s="97"/>
      <c r="B8" s="190"/>
      <c r="C8" s="97"/>
      <c r="D8" s="97"/>
      <c r="E8" s="97"/>
      <c r="F8" s="97"/>
      <c r="G8" s="181"/>
      <c r="H8" s="97"/>
      <c r="I8" s="97"/>
      <c r="J8" s="190"/>
      <c r="K8" s="97"/>
      <c r="L8" s="181"/>
    </row>
    <row r="9" spans="1:12" ht="16">
      <c r="A9" s="97"/>
      <c r="B9" s="122" t="s">
        <v>40</v>
      </c>
      <c r="C9" s="116"/>
      <c r="D9" s="116"/>
      <c r="E9" s="116"/>
      <c r="F9" s="116"/>
      <c r="G9" s="116"/>
      <c r="H9" s="116"/>
      <c r="I9" s="116"/>
      <c r="J9" s="116"/>
      <c r="K9" s="116"/>
      <c r="L9" s="181"/>
    </row>
    <row r="10" spans="1:12" ht="16">
      <c r="A10" s="182" t="s">
        <v>326</v>
      </c>
      <c r="B10" s="183" t="s">
        <v>63</v>
      </c>
      <c r="C10" s="184" t="s">
        <v>64</v>
      </c>
      <c r="D10" s="184" t="s">
        <v>65</v>
      </c>
      <c r="E10" s="184" t="str">
        <f>"0,6793"</f>
        <v>0,6793</v>
      </c>
      <c r="F10" s="184" t="s">
        <v>348</v>
      </c>
      <c r="G10" s="185" t="s">
        <v>66</v>
      </c>
      <c r="H10" s="182" t="s">
        <v>293</v>
      </c>
      <c r="I10" s="182" t="s">
        <v>344</v>
      </c>
      <c r="J10" s="183" t="s">
        <v>294</v>
      </c>
      <c r="K10" s="182" t="str">
        <f>"1526,7268"</f>
        <v>1526,7268</v>
      </c>
      <c r="L10" s="185" t="s">
        <v>18</v>
      </c>
    </row>
    <row r="11" spans="1:12" ht="16">
      <c r="A11" s="186" t="s">
        <v>327</v>
      </c>
      <c r="B11" s="187" t="s">
        <v>176</v>
      </c>
      <c r="C11" s="188" t="s">
        <v>177</v>
      </c>
      <c r="D11" s="188" t="s">
        <v>178</v>
      </c>
      <c r="E11" s="188" t="str">
        <f>"0,6687"</f>
        <v>0,6687</v>
      </c>
      <c r="F11" s="188" t="s">
        <v>348</v>
      </c>
      <c r="G11" s="189" t="s">
        <v>14</v>
      </c>
      <c r="H11" s="186" t="s">
        <v>44</v>
      </c>
      <c r="I11" s="186" t="s">
        <v>345</v>
      </c>
      <c r="J11" s="187" t="s">
        <v>295</v>
      </c>
      <c r="K11" s="186" t="str">
        <f>"963,0000"</f>
        <v>963,0000</v>
      </c>
      <c r="L11" s="189" t="s">
        <v>366</v>
      </c>
    </row>
    <row r="12" spans="1:12" ht="16">
      <c r="A12" s="97"/>
      <c r="B12" s="190"/>
      <c r="C12" s="97"/>
      <c r="D12" s="97"/>
      <c r="E12" s="97"/>
      <c r="F12" s="97"/>
      <c r="G12" s="181"/>
      <c r="H12" s="97"/>
      <c r="I12" s="97"/>
      <c r="J12" s="190"/>
      <c r="K12" s="97"/>
      <c r="L12" s="181"/>
    </row>
    <row r="13" spans="1:12" ht="16">
      <c r="A13" s="97"/>
      <c r="B13" s="122" t="s">
        <v>70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81"/>
    </row>
    <row r="14" spans="1:12" ht="16">
      <c r="A14" s="191" t="s">
        <v>326</v>
      </c>
      <c r="B14" s="192" t="s">
        <v>183</v>
      </c>
      <c r="C14" s="193" t="s">
        <v>184</v>
      </c>
      <c r="D14" s="193" t="s">
        <v>185</v>
      </c>
      <c r="E14" s="193" t="str">
        <f>"0,6169"</f>
        <v>0,6169</v>
      </c>
      <c r="F14" s="193" t="s">
        <v>348</v>
      </c>
      <c r="G14" s="194" t="s">
        <v>14</v>
      </c>
      <c r="H14" s="191" t="s">
        <v>296</v>
      </c>
      <c r="I14" s="191" t="s">
        <v>344</v>
      </c>
      <c r="J14" s="192" t="s">
        <v>297</v>
      </c>
      <c r="K14" s="191" t="str">
        <f>"1609,9785"</f>
        <v>1609,9785</v>
      </c>
      <c r="L14" s="194" t="s">
        <v>18</v>
      </c>
    </row>
    <row r="15" spans="1:12" ht="16">
      <c r="A15" s="97"/>
      <c r="B15" s="190"/>
      <c r="C15" s="97"/>
      <c r="D15" s="97"/>
      <c r="E15" s="97"/>
      <c r="F15" s="97"/>
      <c r="G15" s="181"/>
      <c r="H15" s="97"/>
      <c r="I15" s="97"/>
      <c r="J15" s="190"/>
      <c r="K15" s="97"/>
      <c r="L15" s="181"/>
    </row>
    <row r="16" spans="1:12" ht="16">
      <c r="A16" s="97"/>
      <c r="B16" s="122" t="s">
        <v>298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81"/>
    </row>
    <row r="17" spans="1:12" ht="16">
      <c r="A17" s="195" t="s">
        <v>326</v>
      </c>
      <c r="B17" s="183" t="s">
        <v>299</v>
      </c>
      <c r="C17" s="184" t="s">
        <v>329</v>
      </c>
      <c r="D17" s="184" t="s">
        <v>301</v>
      </c>
      <c r="E17" s="184" t="str">
        <f>"0,5361"</f>
        <v>0,5361</v>
      </c>
      <c r="F17" s="184" t="s">
        <v>348</v>
      </c>
      <c r="G17" s="185" t="s">
        <v>372</v>
      </c>
      <c r="H17" s="182" t="s">
        <v>53</v>
      </c>
      <c r="I17" s="182" t="s">
        <v>346</v>
      </c>
      <c r="J17" s="183" t="s">
        <v>302</v>
      </c>
      <c r="K17" s="182" t="str">
        <f>"958,5862"</f>
        <v>958,5862</v>
      </c>
      <c r="L17" s="185" t="s">
        <v>18</v>
      </c>
    </row>
    <row r="18" spans="1:12" ht="16">
      <c r="A18" s="196" t="s">
        <v>326</v>
      </c>
      <c r="B18" s="187" t="s">
        <v>299</v>
      </c>
      <c r="C18" s="188" t="s">
        <v>300</v>
      </c>
      <c r="D18" s="188" t="s">
        <v>301</v>
      </c>
      <c r="E18" s="188" t="str">
        <f>"0,5361"</f>
        <v>0,5361</v>
      </c>
      <c r="F18" s="188" t="s">
        <v>348</v>
      </c>
      <c r="G18" s="189" t="s">
        <v>372</v>
      </c>
      <c r="H18" s="186" t="s">
        <v>53</v>
      </c>
      <c r="I18" s="186" t="s">
        <v>346</v>
      </c>
      <c r="J18" s="187" t="s">
        <v>302</v>
      </c>
      <c r="K18" s="186" t="str">
        <f>"958,5862"</f>
        <v>958,5862</v>
      </c>
      <c r="L18" s="189" t="s">
        <v>18</v>
      </c>
    </row>
    <row r="19" spans="1:12" ht="16">
      <c r="A19" s="97"/>
      <c r="B19" s="190"/>
      <c r="C19" s="97"/>
      <c r="D19" s="97"/>
      <c r="E19" s="97"/>
      <c r="F19" s="97"/>
      <c r="G19" s="181"/>
      <c r="H19" s="97"/>
      <c r="I19" s="97"/>
      <c r="J19" s="190"/>
      <c r="K19" s="97"/>
      <c r="L19" s="181"/>
    </row>
    <row r="20" spans="1:12" ht="16">
      <c r="A20" s="97"/>
      <c r="B20" s="190"/>
      <c r="C20" s="97"/>
      <c r="D20" s="97"/>
      <c r="E20" s="97"/>
      <c r="F20" s="97"/>
      <c r="G20" s="181"/>
      <c r="H20" s="97"/>
      <c r="I20" s="97"/>
      <c r="J20" s="190"/>
      <c r="K20" s="97"/>
      <c r="L20" s="181"/>
    </row>
    <row r="21" spans="1:12" ht="16">
      <c r="A21" s="97"/>
      <c r="B21" s="190"/>
      <c r="C21" s="97"/>
      <c r="D21" s="97"/>
      <c r="E21" s="97"/>
      <c r="F21" s="97"/>
      <c r="G21" s="181"/>
      <c r="H21" s="97"/>
      <c r="I21" s="97"/>
      <c r="J21" s="190"/>
      <c r="K21" s="97"/>
      <c r="L21" s="181"/>
    </row>
    <row r="22" spans="1:12" ht="16">
      <c r="A22" s="97"/>
      <c r="B22" s="190"/>
      <c r="C22" s="97"/>
      <c r="D22" s="97"/>
      <c r="E22" s="97"/>
      <c r="F22" s="97"/>
      <c r="G22" s="181"/>
      <c r="H22" s="97"/>
      <c r="I22" s="97"/>
      <c r="J22" s="190"/>
      <c r="K22" s="97"/>
      <c r="L22" s="181"/>
    </row>
    <row r="23" spans="1:12" ht="16">
      <c r="A23" s="97"/>
      <c r="B23" s="190" t="s">
        <v>138</v>
      </c>
      <c r="C23" s="97"/>
      <c r="D23" s="97"/>
      <c r="E23" s="97"/>
      <c r="F23" s="97"/>
      <c r="G23" s="181"/>
      <c r="H23" s="97"/>
      <c r="I23" s="97"/>
      <c r="J23" s="190"/>
      <c r="K23" s="97"/>
      <c r="L23" s="181"/>
    </row>
    <row r="24" spans="1:12" ht="16">
      <c r="A24" s="97"/>
      <c r="B24" s="20" t="s">
        <v>145</v>
      </c>
      <c r="C24" s="21"/>
      <c r="D24" s="97"/>
      <c r="E24" s="97"/>
      <c r="F24" s="97"/>
      <c r="G24" s="181"/>
      <c r="H24" s="97"/>
      <c r="I24" s="97"/>
      <c r="J24" s="190"/>
      <c r="K24" s="97"/>
      <c r="L24" s="181"/>
    </row>
    <row r="25" spans="1:12" ht="16">
      <c r="A25" s="97"/>
      <c r="B25" s="197"/>
      <c r="C25" s="21"/>
      <c r="D25" s="97"/>
      <c r="E25" s="97"/>
      <c r="F25" s="97"/>
      <c r="G25" s="181"/>
      <c r="H25" s="97"/>
      <c r="I25" s="97"/>
      <c r="J25" s="190"/>
      <c r="K25" s="97"/>
      <c r="L25" s="181"/>
    </row>
    <row r="26" spans="1:12" ht="16">
      <c r="A26" s="193"/>
      <c r="B26" s="198" t="s">
        <v>140</v>
      </c>
      <c r="C26" s="198" t="s">
        <v>141</v>
      </c>
      <c r="D26" s="198" t="s">
        <v>142</v>
      </c>
      <c r="E26" s="198" t="s">
        <v>143</v>
      </c>
      <c r="F26" s="198" t="s">
        <v>303</v>
      </c>
      <c r="G26" s="181"/>
      <c r="H26" s="97"/>
      <c r="I26" s="97"/>
      <c r="J26" s="190"/>
      <c r="K26" s="97"/>
      <c r="L26" s="181"/>
    </row>
    <row r="27" spans="1:12" ht="16">
      <c r="A27" s="199" t="s">
        <v>326</v>
      </c>
      <c r="B27" s="200" t="s">
        <v>162</v>
      </c>
      <c r="C27" s="97" t="s">
        <v>139</v>
      </c>
      <c r="D27" s="97" t="s">
        <v>387</v>
      </c>
      <c r="E27" s="97" t="s">
        <v>304</v>
      </c>
      <c r="F27" s="199" t="s">
        <v>305</v>
      </c>
      <c r="G27" s="181"/>
      <c r="H27" s="97"/>
      <c r="I27" s="97"/>
      <c r="J27" s="190"/>
      <c r="K27" s="97"/>
      <c r="L27" s="181"/>
    </row>
  </sheetData>
  <mergeCells count="16">
    <mergeCell ref="A1:L2"/>
    <mergeCell ref="A3:A4"/>
    <mergeCell ref="L3:L4"/>
    <mergeCell ref="B5:K5"/>
    <mergeCell ref="B9:K9"/>
    <mergeCell ref="F3:F4"/>
    <mergeCell ref="G3:G4"/>
    <mergeCell ref="H3:I3"/>
    <mergeCell ref="J3:J4"/>
    <mergeCell ref="K3:K4"/>
    <mergeCell ref="B13:K13"/>
    <mergeCell ref="B16:K16"/>
    <mergeCell ref="B3:B4"/>
    <mergeCell ref="C3:C4"/>
    <mergeCell ref="D3:D4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/>
  <headerFooter alignWithMargins="0">
    <oddFooter>&amp;L&amp;G&amp;R&amp;D&amp;T&amp;P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7" zoomScaleNormal="87" zoomScalePageLayoutView="87" workbookViewId="0">
      <selection activeCell="C17" sqref="C17"/>
    </sheetView>
  </sheetViews>
  <sheetFormatPr baseColWidth="10" defaultColWidth="8.7109375" defaultRowHeight="13" x14ac:dyDescent="0"/>
  <cols>
    <col min="1" max="1" width="8.7109375" style="39"/>
    <col min="2" max="2" width="26" style="26" bestFit="1" customWidth="1"/>
    <col min="3" max="3" width="28.28515625" style="26" customWidth="1"/>
    <col min="4" max="4" width="10.5703125" style="26" bestFit="1" customWidth="1"/>
    <col min="5" max="5" width="8.42578125" style="26" bestFit="1" customWidth="1"/>
    <col min="6" max="6" width="22.7109375" style="84" bestFit="1" customWidth="1"/>
    <col min="7" max="7" width="30.5703125" style="26" bestFit="1" customWidth="1"/>
    <col min="8" max="8" width="6.7109375" style="26" customWidth="1"/>
    <col min="9" max="9" width="9.5703125" style="26" bestFit="1" customWidth="1"/>
    <col min="10" max="10" width="7.85546875" style="26" bestFit="1" customWidth="1"/>
    <col min="11" max="11" width="12.85546875" style="26" customWidth="1"/>
    <col min="12" max="12" width="19" style="26" customWidth="1"/>
  </cols>
  <sheetData>
    <row r="1" spans="1:13" s="1" customFormat="1" ht="15" customHeight="1">
      <c r="A1" s="107" t="s">
        <v>399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97"/>
    </row>
    <row r="2" spans="1:13" s="1" customFormat="1" ht="72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97"/>
    </row>
    <row r="3" spans="1:13" s="2" customFormat="1" ht="12.75" customHeight="1">
      <c r="A3" s="130" t="s">
        <v>325</v>
      </c>
      <c r="B3" s="130" t="s">
        <v>0</v>
      </c>
      <c r="C3" s="131" t="s">
        <v>361</v>
      </c>
      <c r="D3" s="131" t="s">
        <v>359</v>
      </c>
      <c r="E3" s="132" t="s">
        <v>287</v>
      </c>
      <c r="F3" s="132" t="s">
        <v>7</v>
      </c>
      <c r="G3" s="133" t="s">
        <v>360</v>
      </c>
      <c r="H3" s="132" t="s">
        <v>2</v>
      </c>
      <c r="I3" s="132"/>
      <c r="J3" s="132" t="s">
        <v>4</v>
      </c>
      <c r="K3" s="132" t="s">
        <v>6</v>
      </c>
      <c r="L3" s="134" t="s">
        <v>5</v>
      </c>
      <c r="M3" s="135"/>
    </row>
    <row r="4" spans="1:13" s="2" customFormat="1" ht="21" customHeight="1" thickBot="1">
      <c r="A4" s="136"/>
      <c r="B4" s="136"/>
      <c r="C4" s="137"/>
      <c r="D4" s="137"/>
      <c r="E4" s="137"/>
      <c r="F4" s="137"/>
      <c r="G4" s="138"/>
      <c r="H4" s="139" t="s">
        <v>306</v>
      </c>
      <c r="I4" s="139" t="s">
        <v>307</v>
      </c>
      <c r="J4" s="137"/>
      <c r="K4" s="137"/>
      <c r="L4" s="140"/>
      <c r="M4" s="135"/>
    </row>
    <row r="5" spans="1:13" ht="16">
      <c r="A5" s="141"/>
      <c r="B5" s="201" t="s">
        <v>87</v>
      </c>
      <c r="C5" s="201"/>
      <c r="D5" s="201"/>
      <c r="E5" s="201"/>
      <c r="F5" s="201"/>
      <c r="G5" s="201"/>
      <c r="H5" s="201"/>
      <c r="I5" s="201"/>
      <c r="J5" s="201"/>
      <c r="K5" s="201"/>
      <c r="L5" s="142"/>
      <c r="M5" s="54"/>
    </row>
    <row r="6" spans="1:13" ht="16">
      <c r="A6" s="143">
        <v>1</v>
      </c>
      <c r="B6" s="144" t="s">
        <v>96</v>
      </c>
      <c r="C6" s="146" t="s">
        <v>97</v>
      </c>
      <c r="D6" s="145" t="s">
        <v>98</v>
      </c>
      <c r="E6" s="145" t="str">
        <f>"0,5919"</f>
        <v>0,5919</v>
      </c>
      <c r="F6" s="146" t="s">
        <v>348</v>
      </c>
      <c r="G6" s="145" t="s">
        <v>14</v>
      </c>
      <c r="H6" s="144" t="s">
        <v>308</v>
      </c>
      <c r="I6" s="147">
        <v>27</v>
      </c>
      <c r="J6" s="144">
        <v>2632.5</v>
      </c>
      <c r="K6" s="144" t="str">
        <f>"1558,3084"</f>
        <v>1558,3084</v>
      </c>
      <c r="L6" s="145" t="s">
        <v>366</v>
      </c>
      <c r="M6" s="54"/>
    </row>
    <row r="7" spans="1:13" ht="16">
      <c r="A7" s="148"/>
      <c r="B7" s="142"/>
      <c r="C7" s="142"/>
      <c r="D7" s="142"/>
      <c r="E7" s="142"/>
      <c r="F7" s="95"/>
      <c r="G7" s="142"/>
      <c r="H7" s="142"/>
      <c r="I7" s="142"/>
      <c r="J7" s="142"/>
      <c r="K7" s="142"/>
      <c r="L7" s="142"/>
      <c r="M7" s="54"/>
    </row>
    <row r="8" spans="1:13" ht="16">
      <c r="A8" s="148"/>
      <c r="B8" s="202" t="s">
        <v>108</v>
      </c>
      <c r="C8" s="202"/>
      <c r="D8" s="202"/>
      <c r="E8" s="202"/>
      <c r="F8" s="202"/>
      <c r="G8" s="202"/>
      <c r="H8" s="202"/>
      <c r="I8" s="202"/>
      <c r="J8" s="202"/>
      <c r="K8" s="202"/>
      <c r="L8" s="142"/>
      <c r="M8" s="54"/>
    </row>
    <row r="9" spans="1:13" ht="16">
      <c r="A9" s="149">
        <v>1</v>
      </c>
      <c r="B9" s="150" t="s">
        <v>309</v>
      </c>
      <c r="C9" s="153" t="s">
        <v>310</v>
      </c>
      <c r="D9" s="151" t="s">
        <v>311</v>
      </c>
      <c r="E9" s="152" t="str">
        <f>"0,5763"</f>
        <v>0,5763</v>
      </c>
      <c r="F9" s="153" t="s">
        <v>348</v>
      </c>
      <c r="G9" s="154" t="s">
        <v>14</v>
      </c>
      <c r="H9" s="155" t="s">
        <v>236</v>
      </c>
      <c r="I9" s="156" t="s">
        <v>336</v>
      </c>
      <c r="J9" s="155" t="s">
        <v>350</v>
      </c>
      <c r="K9" s="155" t="str">
        <f>"1299,5566"</f>
        <v>1299,5566</v>
      </c>
      <c r="L9" s="151" t="s">
        <v>18</v>
      </c>
      <c r="M9" s="54"/>
    </row>
    <row r="10" spans="1:13" s="53" customFormat="1" ht="16">
      <c r="A10" s="157">
        <v>2</v>
      </c>
      <c r="B10" s="158" t="s">
        <v>122</v>
      </c>
      <c r="C10" s="161" t="s">
        <v>333</v>
      </c>
      <c r="D10" s="159" t="s">
        <v>124</v>
      </c>
      <c r="E10" s="160" t="str">
        <f>"0,5767"</f>
        <v>0,5767</v>
      </c>
      <c r="F10" s="161" t="s">
        <v>348</v>
      </c>
      <c r="G10" s="162" t="s">
        <v>14</v>
      </c>
      <c r="H10" s="163" t="s">
        <v>236</v>
      </c>
      <c r="I10" s="164" t="s">
        <v>337</v>
      </c>
      <c r="J10" s="163">
        <v>2152.5</v>
      </c>
      <c r="K10" s="163" t="str">
        <f>"1361,7573"</f>
        <v>1361,7573</v>
      </c>
      <c r="L10" s="159" t="s">
        <v>385</v>
      </c>
      <c r="M10" s="54"/>
    </row>
    <row r="11" spans="1:13" ht="16">
      <c r="A11" s="157">
        <v>3</v>
      </c>
      <c r="B11" s="158" t="s">
        <v>312</v>
      </c>
      <c r="C11" s="161" t="s">
        <v>313</v>
      </c>
      <c r="D11" s="159" t="s">
        <v>314</v>
      </c>
      <c r="E11" s="160" t="str">
        <f>"0,5789"</f>
        <v>0,5789</v>
      </c>
      <c r="F11" s="161" t="s">
        <v>348</v>
      </c>
      <c r="G11" s="162" t="s">
        <v>14</v>
      </c>
      <c r="H11" s="163" t="s">
        <v>236</v>
      </c>
      <c r="I11" s="164" t="s">
        <v>338</v>
      </c>
      <c r="J11" s="163">
        <v>1742.5</v>
      </c>
      <c r="K11" s="163" t="str">
        <f>"1008,8204"</f>
        <v>1008,8204</v>
      </c>
      <c r="L11" s="159" t="s">
        <v>363</v>
      </c>
      <c r="M11" s="54"/>
    </row>
    <row r="12" spans="1:13" ht="16">
      <c r="A12" s="157">
        <v>4</v>
      </c>
      <c r="B12" s="158" t="s">
        <v>315</v>
      </c>
      <c r="C12" s="161" t="s">
        <v>316</v>
      </c>
      <c r="D12" s="159" t="s">
        <v>317</v>
      </c>
      <c r="E12" s="160" t="str">
        <f>"0,5725"</f>
        <v>0,5725</v>
      </c>
      <c r="F12" s="161" t="s">
        <v>348</v>
      </c>
      <c r="G12" s="162" t="s">
        <v>14</v>
      </c>
      <c r="H12" s="163" t="s">
        <v>246</v>
      </c>
      <c r="I12" s="164" t="s">
        <v>339</v>
      </c>
      <c r="J12" s="163" t="s">
        <v>351</v>
      </c>
      <c r="K12" s="163" t="str">
        <f>"841,6485"</f>
        <v>841,6485</v>
      </c>
      <c r="L12" s="159" t="s">
        <v>18</v>
      </c>
      <c r="M12" s="54"/>
    </row>
    <row r="13" spans="1:13" ht="16">
      <c r="A13" s="157">
        <v>1</v>
      </c>
      <c r="B13" s="158" t="s">
        <v>122</v>
      </c>
      <c r="C13" s="161" t="s">
        <v>318</v>
      </c>
      <c r="D13" s="159" t="s">
        <v>124</v>
      </c>
      <c r="E13" s="160" t="str">
        <f>"0,5767"</f>
        <v>0,5767</v>
      </c>
      <c r="F13" s="161" t="s">
        <v>348</v>
      </c>
      <c r="G13" s="162" t="s">
        <v>14</v>
      </c>
      <c r="H13" s="163" t="s">
        <v>236</v>
      </c>
      <c r="I13" s="164" t="s">
        <v>337</v>
      </c>
      <c r="J13" s="163">
        <v>2152.5</v>
      </c>
      <c r="K13" s="163" t="str">
        <f>"1361,7573"</f>
        <v>1361,7573</v>
      </c>
      <c r="L13" s="159" t="s">
        <v>385</v>
      </c>
      <c r="M13" s="54"/>
    </row>
    <row r="14" spans="1:13" ht="16">
      <c r="A14" s="165">
        <v>2</v>
      </c>
      <c r="B14" s="166" t="s">
        <v>319</v>
      </c>
      <c r="C14" s="169" t="s">
        <v>320</v>
      </c>
      <c r="D14" s="167" t="s">
        <v>321</v>
      </c>
      <c r="E14" s="168" t="str">
        <f>"0,5650"</f>
        <v>0,5650</v>
      </c>
      <c r="F14" s="169" t="s">
        <v>348</v>
      </c>
      <c r="G14" s="170" t="s">
        <v>322</v>
      </c>
      <c r="H14" s="171" t="s">
        <v>171</v>
      </c>
      <c r="I14" s="172" t="s">
        <v>340</v>
      </c>
      <c r="J14" s="171" t="s">
        <v>352</v>
      </c>
      <c r="K14" s="171" t="str">
        <f>"1004,3440"</f>
        <v>1004,3440</v>
      </c>
      <c r="L14" s="167" t="s">
        <v>18</v>
      </c>
      <c r="M14" s="54"/>
    </row>
    <row r="15" spans="1:13" ht="16">
      <c r="A15" s="148"/>
      <c r="B15" s="142"/>
      <c r="C15" s="142"/>
      <c r="D15" s="142"/>
      <c r="E15" s="142"/>
      <c r="F15" s="95"/>
      <c r="G15" s="142"/>
      <c r="H15" s="142"/>
      <c r="I15" s="142"/>
      <c r="J15" s="142"/>
      <c r="K15" s="142"/>
      <c r="L15" s="142"/>
      <c r="M15" s="54"/>
    </row>
    <row r="16" spans="1:13" ht="16">
      <c r="A16" s="148"/>
      <c r="B16" s="202" t="s">
        <v>127</v>
      </c>
      <c r="C16" s="202"/>
      <c r="D16" s="202"/>
      <c r="E16" s="202"/>
      <c r="F16" s="202"/>
      <c r="G16" s="202"/>
      <c r="H16" s="202"/>
      <c r="I16" s="202"/>
      <c r="J16" s="202"/>
      <c r="K16" s="202"/>
      <c r="L16" s="142"/>
      <c r="M16" s="54"/>
    </row>
    <row r="17" spans="1:13" ht="16">
      <c r="A17" s="143">
        <v>1</v>
      </c>
      <c r="B17" s="144" t="s">
        <v>128</v>
      </c>
      <c r="C17" s="146" t="s">
        <v>129</v>
      </c>
      <c r="D17" s="145" t="s">
        <v>130</v>
      </c>
      <c r="E17" s="145" t="str">
        <f>"0,5538"</f>
        <v>0,5538</v>
      </c>
      <c r="F17" s="146" t="s">
        <v>348</v>
      </c>
      <c r="G17" s="145" t="s">
        <v>30</v>
      </c>
      <c r="H17" s="144" t="s">
        <v>172</v>
      </c>
      <c r="I17" s="173" t="s">
        <v>341</v>
      </c>
      <c r="J17" s="144" t="s">
        <v>323</v>
      </c>
      <c r="K17" s="144" t="str">
        <f>"1952,3212"</f>
        <v>1952,3212</v>
      </c>
      <c r="L17" s="145" t="s">
        <v>386</v>
      </c>
      <c r="M17" s="54"/>
    </row>
    <row r="18" spans="1:13" ht="16">
      <c r="A18" s="141"/>
      <c r="B18" s="142"/>
      <c r="C18" s="142"/>
      <c r="D18" s="142"/>
      <c r="E18" s="142"/>
      <c r="F18" s="95"/>
      <c r="G18" s="142"/>
      <c r="H18" s="142"/>
      <c r="I18" s="142"/>
      <c r="J18" s="142"/>
      <c r="K18" s="142"/>
      <c r="L18" s="142"/>
      <c r="M18" s="54"/>
    </row>
    <row r="19" spans="1:13" ht="16">
      <c r="A19" s="141"/>
      <c r="B19" s="142"/>
      <c r="C19" s="142"/>
      <c r="D19" s="142"/>
      <c r="E19" s="142"/>
      <c r="F19" s="95"/>
      <c r="G19" s="142"/>
      <c r="H19" s="142"/>
      <c r="I19" s="142"/>
      <c r="J19" s="142"/>
      <c r="K19" s="142"/>
      <c r="L19" s="142"/>
      <c r="M19" s="54"/>
    </row>
    <row r="20" spans="1:13" ht="16">
      <c r="A20" s="141"/>
      <c r="B20" s="179" t="s">
        <v>138</v>
      </c>
      <c r="C20" s="142"/>
      <c r="D20" s="142"/>
      <c r="E20" s="142"/>
      <c r="F20" s="95"/>
      <c r="G20" s="142"/>
      <c r="H20" s="142"/>
      <c r="I20" s="142"/>
      <c r="J20" s="142"/>
      <c r="K20" s="142"/>
      <c r="L20" s="142"/>
      <c r="M20" s="54"/>
    </row>
    <row r="21" spans="1:13" ht="16">
      <c r="A21" s="141"/>
      <c r="B21" s="180" t="s">
        <v>145</v>
      </c>
      <c r="C21" s="32"/>
      <c r="D21" s="142"/>
      <c r="E21" s="142"/>
      <c r="F21" s="95"/>
      <c r="G21" s="142"/>
      <c r="H21" s="142"/>
      <c r="I21" s="142"/>
      <c r="J21" s="142"/>
      <c r="K21" s="142"/>
      <c r="L21" s="142"/>
      <c r="M21" s="54"/>
    </row>
    <row r="22" spans="1:13" ht="16">
      <c r="A22" s="141"/>
      <c r="B22" s="174"/>
      <c r="C22" s="32"/>
      <c r="D22" s="142"/>
      <c r="E22" s="142"/>
      <c r="F22" s="95"/>
      <c r="G22" s="142"/>
      <c r="H22" s="142"/>
      <c r="I22" s="142"/>
      <c r="J22" s="142"/>
      <c r="K22" s="142"/>
      <c r="L22" s="142"/>
      <c r="M22" s="54"/>
    </row>
    <row r="23" spans="1:13" ht="16">
      <c r="A23" s="175"/>
      <c r="B23" s="176" t="s">
        <v>140</v>
      </c>
      <c r="C23" s="176" t="s">
        <v>141</v>
      </c>
      <c r="D23" s="176" t="s">
        <v>142</v>
      </c>
      <c r="E23" s="176" t="s">
        <v>143</v>
      </c>
      <c r="F23" s="176" t="s">
        <v>303</v>
      </c>
      <c r="G23" s="142"/>
      <c r="H23" s="142"/>
      <c r="I23" s="142"/>
      <c r="J23" s="142"/>
      <c r="K23" s="142"/>
      <c r="L23" s="142"/>
      <c r="M23" s="54"/>
    </row>
    <row r="24" spans="1:13" ht="16">
      <c r="A24" s="148">
        <v>1</v>
      </c>
      <c r="B24" s="177" t="s">
        <v>128</v>
      </c>
      <c r="C24" s="142" t="s">
        <v>139</v>
      </c>
      <c r="D24" s="142" t="s">
        <v>380</v>
      </c>
      <c r="E24" s="142" t="s">
        <v>323</v>
      </c>
      <c r="F24" s="178" t="s">
        <v>324</v>
      </c>
      <c r="G24" s="142"/>
      <c r="H24" s="142"/>
      <c r="I24" s="142"/>
      <c r="J24" s="142"/>
      <c r="K24" s="142"/>
      <c r="L24" s="142"/>
      <c r="M24" s="54"/>
    </row>
    <row r="25" spans="1:13" ht="16">
      <c r="A25" s="141"/>
      <c r="B25" s="142"/>
      <c r="C25" s="142"/>
      <c r="D25" s="142"/>
      <c r="E25" s="142"/>
      <c r="F25" s="95"/>
      <c r="G25" s="142"/>
      <c r="H25" s="142"/>
      <c r="I25" s="142"/>
      <c r="J25" s="142"/>
      <c r="K25" s="142"/>
      <c r="L25" s="142"/>
      <c r="M25" s="54"/>
    </row>
    <row r="26" spans="1:13" ht="16">
      <c r="A26" s="141"/>
      <c r="B26" s="142"/>
      <c r="C26" s="142"/>
      <c r="D26" s="142"/>
      <c r="E26" s="142"/>
      <c r="F26" s="95"/>
      <c r="G26" s="142"/>
      <c r="H26" s="142"/>
      <c r="I26" s="142"/>
      <c r="J26" s="142"/>
      <c r="K26" s="142"/>
      <c r="L26" s="142"/>
      <c r="M26" s="54"/>
    </row>
    <row r="27" spans="1:13" ht="16">
      <c r="A27" s="141"/>
      <c r="B27" s="142"/>
      <c r="C27" s="142"/>
      <c r="D27" s="142"/>
      <c r="E27" s="142"/>
      <c r="F27" s="95"/>
      <c r="G27" s="142"/>
      <c r="H27" s="142"/>
      <c r="I27" s="142"/>
      <c r="J27" s="142"/>
      <c r="K27" s="142"/>
      <c r="L27" s="142"/>
      <c r="M27" s="54"/>
    </row>
    <row r="28" spans="1:13" ht="16">
      <c r="A28" s="141"/>
      <c r="B28" s="142"/>
      <c r="C28" s="142"/>
      <c r="D28" s="142"/>
      <c r="E28" s="142"/>
      <c r="F28" s="95"/>
      <c r="G28" s="142"/>
      <c r="H28" s="142"/>
      <c r="I28" s="142"/>
      <c r="J28" s="142"/>
      <c r="K28" s="142"/>
      <c r="L28" s="142"/>
      <c r="M28" s="54"/>
    </row>
    <row r="29" spans="1:13" ht="16">
      <c r="A29" s="141"/>
      <c r="B29" s="142"/>
      <c r="C29" s="142"/>
      <c r="D29" s="142"/>
      <c r="E29" s="142"/>
      <c r="F29" s="95"/>
      <c r="G29" s="142"/>
      <c r="H29" s="142"/>
      <c r="I29" s="142"/>
      <c r="J29" s="142"/>
      <c r="K29" s="142"/>
      <c r="L29" s="142"/>
      <c r="M29" s="54"/>
    </row>
    <row r="30" spans="1:13" ht="16">
      <c r="A30" s="141"/>
      <c r="B30" s="142"/>
      <c r="C30" s="142"/>
      <c r="D30" s="142"/>
      <c r="E30" s="142"/>
      <c r="F30" s="95"/>
      <c r="G30" s="142"/>
      <c r="H30" s="142"/>
      <c r="I30" s="142"/>
      <c r="J30" s="142"/>
      <c r="K30" s="142"/>
      <c r="L30" s="142"/>
      <c r="M30" s="54"/>
    </row>
    <row r="31" spans="1:13" ht="16">
      <c r="A31" s="141"/>
      <c r="B31" s="142"/>
      <c r="C31" s="142"/>
      <c r="D31" s="142"/>
      <c r="E31" s="142"/>
      <c r="F31" s="95"/>
      <c r="G31" s="142"/>
      <c r="H31" s="142"/>
      <c r="I31" s="142"/>
      <c r="J31" s="142"/>
      <c r="K31" s="142"/>
      <c r="L31" s="142"/>
      <c r="M31" s="54"/>
    </row>
    <row r="32" spans="1:13" ht="16">
      <c r="A32" s="141"/>
      <c r="B32" s="142"/>
      <c r="C32" s="142"/>
      <c r="D32" s="142"/>
      <c r="E32" s="142"/>
      <c r="F32" s="95"/>
      <c r="G32" s="142"/>
      <c r="H32" s="142"/>
      <c r="I32" s="142"/>
      <c r="J32" s="142"/>
      <c r="K32" s="142"/>
      <c r="L32" s="142"/>
      <c r="M32" s="54"/>
    </row>
    <row r="33" spans="1:13" ht="16">
      <c r="A33" s="141"/>
      <c r="B33" s="142"/>
      <c r="C33" s="142"/>
      <c r="D33" s="142"/>
      <c r="E33" s="142"/>
      <c r="F33" s="95"/>
      <c r="G33" s="142"/>
      <c r="H33" s="142"/>
      <c r="I33" s="142"/>
      <c r="J33" s="142"/>
      <c r="K33" s="142"/>
      <c r="L33" s="142"/>
      <c r="M33" s="54"/>
    </row>
    <row r="34" spans="1:13" ht="16">
      <c r="A34" s="141"/>
      <c r="B34" s="142"/>
      <c r="C34" s="142"/>
      <c r="D34" s="142"/>
      <c r="E34" s="142"/>
      <c r="F34" s="95"/>
      <c r="G34" s="142"/>
      <c r="H34" s="142"/>
      <c r="I34" s="142"/>
      <c r="J34" s="142"/>
      <c r="K34" s="142"/>
      <c r="L34" s="142"/>
      <c r="M34" s="54"/>
    </row>
    <row r="35" spans="1:13" ht="16">
      <c r="A35" s="141"/>
      <c r="B35" s="142"/>
      <c r="C35" s="142"/>
      <c r="D35" s="142"/>
      <c r="E35" s="142"/>
      <c r="F35" s="95"/>
      <c r="G35" s="142"/>
      <c r="H35" s="142"/>
      <c r="I35" s="142"/>
      <c r="J35" s="142"/>
      <c r="K35" s="142"/>
      <c r="L35" s="142"/>
      <c r="M35" s="54"/>
    </row>
    <row r="36" spans="1:13" ht="16">
      <c r="A36" s="141"/>
      <c r="B36" s="142"/>
      <c r="C36" s="142"/>
      <c r="D36" s="142"/>
      <c r="E36" s="142"/>
      <c r="F36" s="95"/>
      <c r="G36" s="142"/>
      <c r="H36" s="142"/>
      <c r="I36" s="142"/>
      <c r="J36" s="142"/>
      <c r="K36" s="142"/>
      <c r="L36" s="142"/>
      <c r="M36" s="54"/>
    </row>
  </sheetData>
  <mergeCells count="15">
    <mergeCell ref="A1:L2"/>
    <mergeCell ref="L3:L4"/>
    <mergeCell ref="B5:K5"/>
    <mergeCell ref="B8:K8"/>
    <mergeCell ref="B16:K16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A3:A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6" sqref="A6"/>
    </sheetView>
  </sheetViews>
  <sheetFormatPr baseColWidth="10" defaultColWidth="8.7109375" defaultRowHeight="13" x14ac:dyDescent="0"/>
  <cols>
    <col min="13" max="13" width="8.28515625" customWidth="1"/>
  </cols>
  <sheetData>
    <row r="1" spans="1:13" ht="30" customHeight="1">
      <c r="A1" s="124" t="s">
        <v>395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ht="30.7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4" spans="1:13" ht="16">
      <c r="A4" s="54" t="s">
        <v>330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">
      <c r="A5" s="54" t="s">
        <v>331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6">
      <c r="A6" s="54" t="s">
        <v>396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6">
      <c r="A7" s="54" t="s">
        <v>397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6">
      <c r="A8" s="54" t="s">
        <v>332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6">
      <c r="A9" s="54" t="s">
        <v>398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6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3" spans="1:1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</sheetData>
  <mergeCells count="1">
    <mergeCell ref="A1:M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95" zoomScaleNormal="95" zoomScalePageLayoutView="95" workbookViewId="0">
      <selection activeCell="B8" sqref="B8:M8"/>
    </sheetView>
  </sheetViews>
  <sheetFormatPr baseColWidth="10" defaultColWidth="8.7109375" defaultRowHeight="13" x14ac:dyDescent="0"/>
  <cols>
    <col min="2" max="2" width="26" style="26" bestFit="1" customWidth="1"/>
    <col min="3" max="3" width="29.42578125" style="26" customWidth="1"/>
    <col min="4" max="4" width="10.5703125" style="26" bestFit="1" customWidth="1"/>
    <col min="5" max="5" width="8.42578125" style="26" bestFit="1" customWidth="1"/>
    <col min="6" max="6" width="20.28515625" style="84" customWidth="1"/>
    <col min="7" max="7" width="30" style="26" bestFit="1" customWidth="1"/>
    <col min="8" max="10" width="5.5703125" style="26" bestFit="1" customWidth="1"/>
    <col min="11" max="11" width="5.85546875" style="26" customWidth="1"/>
    <col min="12" max="12" width="7.85546875" style="84" bestFit="1" customWidth="1"/>
    <col min="13" max="13" width="8.5703125" style="26" bestFit="1" customWidth="1"/>
    <col min="14" max="14" width="18" style="26" customWidth="1"/>
  </cols>
  <sheetData>
    <row r="1" spans="1:14" s="1" customFormat="1" ht="15" customHeight="1">
      <c r="A1" s="107" t="s">
        <v>405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" customFormat="1" ht="79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2" customFormat="1" ht="12.75" customHeight="1">
      <c r="A3" s="130" t="s">
        <v>325</v>
      </c>
      <c r="B3" s="130" t="s">
        <v>0</v>
      </c>
      <c r="C3" s="131" t="s">
        <v>361</v>
      </c>
      <c r="D3" s="131" t="s">
        <v>359</v>
      </c>
      <c r="E3" s="132" t="s">
        <v>9</v>
      </c>
      <c r="F3" s="132" t="s">
        <v>7</v>
      </c>
      <c r="G3" s="133" t="s">
        <v>360</v>
      </c>
      <c r="H3" s="132" t="s">
        <v>3</v>
      </c>
      <c r="I3" s="132"/>
      <c r="J3" s="132"/>
      <c r="K3" s="132"/>
      <c r="L3" s="132" t="s">
        <v>4</v>
      </c>
      <c r="M3" s="132" t="s">
        <v>6</v>
      </c>
      <c r="N3" s="134" t="s">
        <v>5</v>
      </c>
    </row>
    <row r="4" spans="1:14" s="2" customFormat="1" ht="21" customHeight="1" thickBot="1">
      <c r="A4" s="136"/>
      <c r="B4" s="136"/>
      <c r="C4" s="137"/>
      <c r="D4" s="137"/>
      <c r="E4" s="137"/>
      <c r="F4" s="137"/>
      <c r="G4" s="138"/>
      <c r="H4" s="139">
        <v>1</v>
      </c>
      <c r="I4" s="139">
        <v>2</v>
      </c>
      <c r="J4" s="139">
        <v>3</v>
      </c>
      <c r="K4" s="139" t="s">
        <v>8</v>
      </c>
      <c r="L4" s="137"/>
      <c r="M4" s="137"/>
      <c r="N4" s="140"/>
    </row>
    <row r="5" spans="1:14" ht="16">
      <c r="A5" s="54"/>
      <c r="B5" s="201" t="s">
        <v>157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142"/>
    </row>
    <row r="6" spans="1:14" ht="16">
      <c r="A6" s="143">
        <v>1</v>
      </c>
      <c r="B6" s="144" t="s">
        <v>281</v>
      </c>
      <c r="C6" s="146" t="s">
        <v>282</v>
      </c>
      <c r="D6" s="145" t="s">
        <v>283</v>
      </c>
      <c r="E6" s="145" t="str">
        <f>"0,9919"</f>
        <v>0,9919</v>
      </c>
      <c r="F6" s="146" t="s">
        <v>348</v>
      </c>
      <c r="G6" s="145" t="s">
        <v>14</v>
      </c>
      <c r="H6" s="203" t="s">
        <v>234</v>
      </c>
      <c r="I6" s="204" t="s">
        <v>171</v>
      </c>
      <c r="J6" s="204" t="s">
        <v>171</v>
      </c>
      <c r="K6" s="205"/>
      <c r="L6" s="206">
        <v>95</v>
      </c>
      <c r="M6" s="144" t="str">
        <f>"94,2305"</f>
        <v>94,2305</v>
      </c>
      <c r="N6" s="145" t="s">
        <v>362</v>
      </c>
    </row>
    <row r="7" spans="1:14" ht="16">
      <c r="A7" s="148"/>
      <c r="B7" s="142"/>
      <c r="C7" s="142"/>
      <c r="D7" s="142"/>
      <c r="E7" s="142"/>
      <c r="F7" s="95"/>
      <c r="G7" s="142"/>
      <c r="H7" s="142"/>
      <c r="I7" s="142"/>
      <c r="J7" s="142"/>
      <c r="K7" s="142"/>
      <c r="L7" s="95"/>
      <c r="M7" s="142"/>
      <c r="N7" s="142"/>
    </row>
    <row r="8" spans="1:14" ht="16">
      <c r="A8" s="148"/>
      <c r="B8" s="202" t="s">
        <v>87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42"/>
    </row>
    <row r="9" spans="1:14" ht="16">
      <c r="A9" s="143">
        <v>1</v>
      </c>
      <c r="B9" s="144" t="s">
        <v>284</v>
      </c>
      <c r="C9" s="146" t="s">
        <v>285</v>
      </c>
      <c r="D9" s="145" t="s">
        <v>286</v>
      </c>
      <c r="E9" s="145" t="str">
        <f>"0,6241"</f>
        <v>0,6241</v>
      </c>
      <c r="F9" s="146" t="s">
        <v>348</v>
      </c>
      <c r="G9" s="145" t="s">
        <v>14</v>
      </c>
      <c r="H9" s="203" t="s">
        <v>113</v>
      </c>
      <c r="I9" s="203" t="s">
        <v>131</v>
      </c>
      <c r="J9" s="205"/>
      <c r="K9" s="205"/>
      <c r="L9" s="206">
        <v>210</v>
      </c>
      <c r="M9" s="144" t="str">
        <f>"131,0610"</f>
        <v>131,0610</v>
      </c>
      <c r="N9" s="145" t="s">
        <v>363</v>
      </c>
    </row>
    <row r="10" spans="1:14" ht="16">
      <c r="A10" s="148"/>
      <c r="B10" s="142"/>
      <c r="C10" s="142"/>
      <c r="D10" s="142"/>
      <c r="E10" s="142"/>
      <c r="F10" s="95"/>
      <c r="G10" s="142"/>
      <c r="H10" s="142"/>
      <c r="I10" s="142"/>
      <c r="J10" s="142"/>
      <c r="K10" s="142"/>
      <c r="L10" s="95"/>
      <c r="M10" s="142"/>
      <c r="N10" s="142"/>
    </row>
    <row r="11" spans="1:14" ht="16">
      <c r="A11" s="148"/>
      <c r="B11" s="142"/>
      <c r="C11" s="142"/>
      <c r="D11" s="142"/>
      <c r="E11" s="142"/>
      <c r="F11" s="95"/>
      <c r="G11" s="142"/>
      <c r="H11" s="142"/>
      <c r="I11" s="142"/>
      <c r="J11" s="142"/>
      <c r="K11" s="142"/>
      <c r="L11" s="95"/>
      <c r="M11" s="142"/>
      <c r="N11" s="142"/>
    </row>
  </sheetData>
  <mergeCells count="14">
    <mergeCell ref="A1:N2"/>
    <mergeCell ref="M3:M4"/>
    <mergeCell ref="N3:N4"/>
    <mergeCell ref="B5:M5"/>
    <mergeCell ref="B8:M8"/>
    <mergeCell ref="B3:B4"/>
    <mergeCell ref="C3:C4"/>
    <mergeCell ref="D3:D4"/>
    <mergeCell ref="E3:E4"/>
    <mergeCell ref="F3:F4"/>
    <mergeCell ref="G3:G4"/>
    <mergeCell ref="H3:K3"/>
    <mergeCell ref="A3:A4"/>
    <mergeCell ref="L3:L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27" sqref="G27"/>
    </sheetView>
  </sheetViews>
  <sheetFormatPr baseColWidth="10" defaultColWidth="8.7109375" defaultRowHeight="13" x14ac:dyDescent="0"/>
  <cols>
    <col min="2" max="2" width="26" style="26" bestFit="1" customWidth="1"/>
    <col min="3" max="3" width="24.85546875" style="26" customWidth="1"/>
    <col min="4" max="4" width="10.5703125" style="26" bestFit="1" customWidth="1"/>
    <col min="5" max="5" width="8.42578125" style="26" bestFit="1" customWidth="1"/>
    <col min="6" max="6" width="22.7109375" style="84" bestFit="1" customWidth="1"/>
    <col min="7" max="7" width="33" style="26" bestFit="1" customWidth="1"/>
    <col min="8" max="10" width="5.5703125" style="26" bestFit="1" customWidth="1"/>
    <col min="11" max="11" width="4.5703125" style="26" bestFit="1" customWidth="1"/>
    <col min="12" max="12" width="7.85546875" style="84" bestFit="1" customWidth="1"/>
    <col min="13" max="13" width="8.5703125" style="26" bestFit="1" customWidth="1"/>
    <col min="14" max="14" width="16.5703125" style="26" customWidth="1"/>
  </cols>
  <sheetData>
    <row r="1" spans="1:14" s="1" customFormat="1" ht="15" customHeight="1">
      <c r="A1" s="107" t="s">
        <v>404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" customFormat="1" ht="77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2" customFormat="1" ht="12.75" customHeight="1">
      <c r="A3" s="117" t="s">
        <v>325</v>
      </c>
      <c r="B3" s="117" t="s">
        <v>0</v>
      </c>
      <c r="C3" s="119" t="s">
        <v>361</v>
      </c>
      <c r="D3" s="119" t="s">
        <v>359</v>
      </c>
      <c r="E3" s="111" t="s">
        <v>9</v>
      </c>
      <c r="F3" s="111" t="s">
        <v>7</v>
      </c>
      <c r="G3" s="120" t="s">
        <v>360</v>
      </c>
      <c r="H3" s="111" t="s">
        <v>3</v>
      </c>
      <c r="I3" s="111"/>
      <c r="J3" s="111"/>
      <c r="K3" s="111"/>
      <c r="L3" s="111" t="s">
        <v>4</v>
      </c>
      <c r="M3" s="111" t="s">
        <v>6</v>
      </c>
      <c r="N3" s="113" t="s">
        <v>5</v>
      </c>
    </row>
    <row r="4" spans="1:14" s="2" customFormat="1" ht="21" customHeight="1" thickBot="1">
      <c r="A4" s="118"/>
      <c r="B4" s="118"/>
      <c r="C4" s="112"/>
      <c r="D4" s="112"/>
      <c r="E4" s="112"/>
      <c r="F4" s="112"/>
      <c r="G4" s="121"/>
      <c r="H4" s="3">
        <v>1</v>
      </c>
      <c r="I4" s="3">
        <v>2</v>
      </c>
      <c r="J4" s="3">
        <v>3</v>
      </c>
      <c r="K4" s="3" t="s">
        <v>8</v>
      </c>
      <c r="L4" s="112"/>
      <c r="M4" s="112"/>
      <c r="N4" s="114"/>
    </row>
    <row r="5" spans="1:14" ht="16">
      <c r="B5" s="201" t="s">
        <v>40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4">
      <c r="A6" s="41">
        <v>1</v>
      </c>
      <c r="B6" s="55" t="s">
        <v>237</v>
      </c>
      <c r="C6" s="28" t="s">
        <v>238</v>
      </c>
      <c r="D6" s="28" t="s">
        <v>239</v>
      </c>
      <c r="E6" s="28" t="str">
        <f>"0,6827"</f>
        <v>0,6827</v>
      </c>
      <c r="F6" s="92" t="s">
        <v>348</v>
      </c>
      <c r="G6" s="28" t="s">
        <v>30</v>
      </c>
      <c r="H6" s="58" t="s">
        <v>242</v>
      </c>
      <c r="I6" s="59"/>
      <c r="J6" s="59"/>
      <c r="K6" s="59"/>
      <c r="L6" s="104">
        <v>235</v>
      </c>
      <c r="M6" s="55" t="str">
        <f>"160,4345"</f>
        <v>160,4345</v>
      </c>
      <c r="N6" s="28" t="s">
        <v>365</v>
      </c>
    </row>
    <row r="7" spans="1:14">
      <c r="A7" s="43">
        <v>2</v>
      </c>
      <c r="B7" s="57" t="s">
        <v>267</v>
      </c>
      <c r="C7" s="30" t="s">
        <v>268</v>
      </c>
      <c r="D7" s="30" t="s">
        <v>269</v>
      </c>
      <c r="E7" s="30" t="str">
        <f>"0,7005"</f>
        <v>0,7005</v>
      </c>
      <c r="F7" s="94" t="s">
        <v>348</v>
      </c>
      <c r="G7" s="30" t="s">
        <v>14</v>
      </c>
      <c r="H7" s="60" t="s">
        <v>75</v>
      </c>
      <c r="I7" s="60" t="s">
        <v>205</v>
      </c>
      <c r="J7" s="60" t="s">
        <v>94</v>
      </c>
      <c r="K7" s="61"/>
      <c r="L7" s="105">
        <v>190</v>
      </c>
      <c r="M7" s="57" t="str">
        <f>"133,0950"</f>
        <v>133,0950</v>
      </c>
      <c r="N7" s="30" t="s">
        <v>366</v>
      </c>
    </row>
    <row r="8" spans="1:14">
      <c r="A8" s="40"/>
    </row>
    <row r="9" spans="1:14" ht="16">
      <c r="A9" s="40"/>
      <c r="B9" s="202" t="s">
        <v>70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4">
      <c r="A10" s="41">
        <v>1</v>
      </c>
      <c r="B10" s="55" t="s">
        <v>270</v>
      </c>
      <c r="C10" s="28" t="s">
        <v>271</v>
      </c>
      <c r="D10" s="28" t="s">
        <v>272</v>
      </c>
      <c r="E10" s="28" t="str">
        <f>"0,6421"</f>
        <v>0,6421</v>
      </c>
      <c r="F10" s="92" t="s">
        <v>348</v>
      </c>
      <c r="G10" s="28" t="s">
        <v>51</v>
      </c>
      <c r="H10" s="58" t="s">
        <v>205</v>
      </c>
      <c r="I10" s="58" t="s">
        <v>113</v>
      </c>
      <c r="J10" s="62" t="s">
        <v>273</v>
      </c>
      <c r="K10" s="59"/>
      <c r="L10" s="104">
        <v>200</v>
      </c>
      <c r="M10" s="55" t="str">
        <f>"128,4200"</f>
        <v>128,4200</v>
      </c>
      <c r="N10" s="28" t="s">
        <v>18</v>
      </c>
    </row>
    <row r="11" spans="1:14">
      <c r="A11" s="43">
        <v>2</v>
      </c>
      <c r="B11" s="57" t="s">
        <v>274</v>
      </c>
      <c r="C11" s="30" t="s">
        <v>275</v>
      </c>
      <c r="D11" s="30" t="s">
        <v>276</v>
      </c>
      <c r="E11" s="30" t="str">
        <f>"0,6471"</f>
        <v>0,6471</v>
      </c>
      <c r="F11" s="94" t="s">
        <v>348</v>
      </c>
      <c r="G11" s="30" t="s">
        <v>112</v>
      </c>
      <c r="H11" s="60" t="s">
        <v>119</v>
      </c>
      <c r="I11" s="60" t="s">
        <v>277</v>
      </c>
      <c r="J11" s="63" t="s">
        <v>113</v>
      </c>
      <c r="K11" s="61"/>
      <c r="L11" s="105">
        <v>197.5</v>
      </c>
      <c r="M11" s="57" t="str">
        <f>"127,8022"</f>
        <v>127,8022</v>
      </c>
      <c r="N11" s="30" t="s">
        <v>367</v>
      </c>
    </row>
    <row r="12" spans="1:14">
      <c r="A12" s="40"/>
      <c r="B12" s="36"/>
    </row>
    <row r="13" spans="1:14" ht="16">
      <c r="A13" s="40"/>
      <c r="B13" s="202" t="s">
        <v>108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</row>
    <row r="14" spans="1:14">
      <c r="A14" s="38">
        <v>1</v>
      </c>
      <c r="B14" s="52" t="s">
        <v>109</v>
      </c>
      <c r="C14" s="27" t="s">
        <v>110</v>
      </c>
      <c r="D14" s="27" t="s">
        <v>111</v>
      </c>
      <c r="E14" s="27" t="str">
        <f>"0,5960"</f>
        <v>0,5960</v>
      </c>
      <c r="F14" s="91" t="s">
        <v>348</v>
      </c>
      <c r="G14" s="27" t="s">
        <v>112</v>
      </c>
      <c r="H14" s="50" t="s">
        <v>278</v>
      </c>
      <c r="I14" s="50" t="s">
        <v>279</v>
      </c>
      <c r="J14" s="51"/>
      <c r="K14" s="51"/>
      <c r="L14" s="106">
        <v>300</v>
      </c>
      <c r="M14" s="52" t="str">
        <f>"178,8000"</f>
        <v>178,8000</v>
      </c>
      <c r="N14" s="27" t="s">
        <v>18</v>
      </c>
    </row>
    <row r="16" spans="1:14" ht="16">
      <c r="F16" s="95"/>
    </row>
    <row r="18" spans="1:6" ht="18">
      <c r="B18" s="31" t="s">
        <v>138</v>
      </c>
      <c r="C18" s="31"/>
    </row>
    <row r="19" spans="1:6" ht="16">
      <c r="B19" s="32" t="s">
        <v>145</v>
      </c>
      <c r="C19" s="32"/>
    </row>
    <row r="20" spans="1:6" ht="14">
      <c r="B20" s="33"/>
      <c r="C20" s="34"/>
    </row>
    <row r="21" spans="1:6" ht="14">
      <c r="A21" s="37"/>
      <c r="B21" s="35" t="s">
        <v>140</v>
      </c>
      <c r="C21" s="35" t="s">
        <v>141</v>
      </c>
      <c r="D21" s="35" t="s">
        <v>142</v>
      </c>
      <c r="E21" s="35" t="s">
        <v>143</v>
      </c>
      <c r="F21" s="35" t="s">
        <v>144</v>
      </c>
    </row>
    <row r="22" spans="1:6">
      <c r="A22" s="40">
        <v>1</v>
      </c>
      <c r="B22" s="79" t="s">
        <v>109</v>
      </c>
      <c r="C22" s="26" t="s">
        <v>139</v>
      </c>
      <c r="D22" s="26" t="s">
        <v>364</v>
      </c>
      <c r="E22" s="26" t="s">
        <v>279</v>
      </c>
      <c r="F22" s="96" t="s">
        <v>280</v>
      </c>
    </row>
  </sheetData>
  <mergeCells count="15">
    <mergeCell ref="B5:M5"/>
    <mergeCell ref="B9:M9"/>
    <mergeCell ref="B13:M13"/>
    <mergeCell ref="A3:A4"/>
    <mergeCell ref="A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B9" sqref="B9:U9"/>
    </sheetView>
  </sheetViews>
  <sheetFormatPr baseColWidth="10" defaultColWidth="8.7109375" defaultRowHeight="13" x14ac:dyDescent="0"/>
  <cols>
    <col min="2" max="2" width="26" style="26" bestFit="1" customWidth="1"/>
    <col min="3" max="3" width="24" style="26" customWidth="1"/>
    <col min="4" max="4" width="10.5703125" style="26" bestFit="1" customWidth="1"/>
    <col min="5" max="5" width="8.42578125" style="26" bestFit="1" customWidth="1"/>
    <col min="6" max="6" width="10.140625" style="84" bestFit="1" customWidth="1"/>
    <col min="7" max="7" width="29.7109375" style="26" bestFit="1" customWidth="1"/>
    <col min="8" max="10" width="5.5703125" style="26" bestFit="1" customWidth="1"/>
    <col min="11" max="11" width="4.5703125" style="26" bestFit="1" customWidth="1"/>
    <col min="12" max="14" width="5.5703125" style="26" bestFit="1" customWidth="1"/>
    <col min="15" max="15" width="4.5703125" style="26" bestFit="1" customWidth="1"/>
    <col min="16" max="16" width="6.140625" style="26" customWidth="1"/>
    <col min="17" max="17" width="6" style="26" customWidth="1"/>
    <col min="18" max="18" width="6.140625" style="26" customWidth="1"/>
    <col min="19" max="19" width="4.5703125" style="26" bestFit="1" customWidth="1"/>
    <col min="20" max="20" width="7.85546875" style="84" bestFit="1" customWidth="1"/>
    <col min="21" max="21" width="8.5703125" style="26" bestFit="1" customWidth="1"/>
    <col min="22" max="22" width="18.5703125" style="26" customWidth="1"/>
  </cols>
  <sheetData>
    <row r="1" spans="1:22" s="1" customFormat="1" ht="15" customHeight="1">
      <c r="A1" s="107" t="s">
        <v>357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</row>
    <row r="2" spans="1:22" s="1" customFormat="1" ht="81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</row>
    <row r="3" spans="1:22" s="2" customFormat="1" ht="12.75" customHeight="1">
      <c r="A3" s="117" t="s">
        <v>325</v>
      </c>
      <c r="B3" s="117" t="s">
        <v>0</v>
      </c>
      <c r="C3" s="119" t="s">
        <v>361</v>
      </c>
      <c r="D3" s="119" t="s">
        <v>359</v>
      </c>
      <c r="E3" s="111" t="s">
        <v>9</v>
      </c>
      <c r="F3" s="111" t="s">
        <v>7</v>
      </c>
      <c r="G3" s="120" t="s">
        <v>360</v>
      </c>
      <c r="H3" s="111" t="s">
        <v>1</v>
      </c>
      <c r="I3" s="111"/>
      <c r="J3" s="111"/>
      <c r="K3" s="111"/>
      <c r="L3" s="111" t="s">
        <v>2</v>
      </c>
      <c r="M3" s="111"/>
      <c r="N3" s="111"/>
      <c r="O3" s="111"/>
      <c r="P3" s="111" t="s">
        <v>3</v>
      </c>
      <c r="Q3" s="111"/>
      <c r="R3" s="111"/>
      <c r="S3" s="111"/>
      <c r="T3" s="111" t="s">
        <v>4</v>
      </c>
      <c r="U3" s="111" t="s">
        <v>6</v>
      </c>
      <c r="V3" s="113" t="s">
        <v>5</v>
      </c>
    </row>
    <row r="4" spans="1:22" s="2" customFormat="1" ht="21" customHeight="1" thickBot="1">
      <c r="A4" s="118"/>
      <c r="B4" s="118"/>
      <c r="C4" s="112"/>
      <c r="D4" s="112"/>
      <c r="E4" s="112"/>
      <c r="F4" s="112"/>
      <c r="G4" s="121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2"/>
      <c r="U4" s="112"/>
      <c r="V4" s="114"/>
    </row>
    <row r="5" spans="1:22" ht="16">
      <c r="B5" s="201" t="s">
        <v>70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2">
      <c r="A6" s="41">
        <v>1</v>
      </c>
      <c r="B6" s="55" t="s">
        <v>257</v>
      </c>
      <c r="C6" s="28" t="s">
        <v>258</v>
      </c>
      <c r="D6" s="28" t="s">
        <v>259</v>
      </c>
      <c r="E6" s="28" t="str">
        <f>"0,6410"</f>
        <v>0,6410</v>
      </c>
      <c r="F6" s="92" t="s">
        <v>348</v>
      </c>
      <c r="G6" s="28" t="s">
        <v>213</v>
      </c>
      <c r="H6" s="62" t="s">
        <v>241</v>
      </c>
      <c r="I6" s="58" t="s">
        <v>241</v>
      </c>
      <c r="J6" s="58" t="s">
        <v>260</v>
      </c>
      <c r="K6" s="59"/>
      <c r="L6" s="58" t="s">
        <v>106</v>
      </c>
      <c r="M6" s="58" t="s">
        <v>68</v>
      </c>
      <c r="N6" s="58" t="s">
        <v>85</v>
      </c>
      <c r="O6" s="59"/>
      <c r="P6" s="58" t="s">
        <v>261</v>
      </c>
      <c r="Q6" s="62" t="s">
        <v>262</v>
      </c>
      <c r="R6" s="62" t="s">
        <v>262</v>
      </c>
      <c r="S6" s="59"/>
      <c r="T6" s="80">
        <v>632.5</v>
      </c>
      <c r="U6" s="55" t="str">
        <f>"405,4325"</f>
        <v>405,4325</v>
      </c>
      <c r="V6" s="28" t="s">
        <v>18</v>
      </c>
    </row>
    <row r="7" spans="1:22">
      <c r="A7" s="43"/>
      <c r="B7" s="57" t="s">
        <v>77</v>
      </c>
      <c r="C7" s="30" t="s">
        <v>78</v>
      </c>
      <c r="D7" s="30" t="s">
        <v>79</v>
      </c>
      <c r="E7" s="30" t="str">
        <f>"0,6428"</f>
        <v>0,6428</v>
      </c>
      <c r="F7" s="94" t="s">
        <v>348</v>
      </c>
      <c r="G7" s="30" t="s">
        <v>80</v>
      </c>
      <c r="H7" s="63" t="s">
        <v>94</v>
      </c>
      <c r="I7" s="63" t="s">
        <v>94</v>
      </c>
      <c r="J7" s="63" t="s">
        <v>94</v>
      </c>
      <c r="K7" s="61"/>
      <c r="L7" s="63"/>
      <c r="M7" s="61"/>
      <c r="N7" s="61"/>
      <c r="O7" s="61"/>
      <c r="P7" s="63"/>
      <c r="Q7" s="61"/>
      <c r="R7" s="61"/>
      <c r="S7" s="61"/>
      <c r="T7" s="82">
        <v>0</v>
      </c>
      <c r="U7" s="82" t="s">
        <v>335</v>
      </c>
      <c r="V7" s="30" t="s">
        <v>369</v>
      </c>
    </row>
    <row r="9" spans="1:22" ht="16">
      <c r="B9" s="202" t="s">
        <v>127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1:22">
      <c r="A10" s="38">
        <v>1</v>
      </c>
      <c r="B10" s="52" t="s">
        <v>263</v>
      </c>
      <c r="C10" s="27" t="s">
        <v>264</v>
      </c>
      <c r="D10" s="27" t="s">
        <v>265</v>
      </c>
      <c r="E10" s="27" t="str">
        <f>"0,5820"</f>
        <v>0,5820</v>
      </c>
      <c r="F10" s="91" t="s">
        <v>348</v>
      </c>
      <c r="G10" s="27" t="s">
        <v>368</v>
      </c>
      <c r="H10" s="50" t="s">
        <v>94</v>
      </c>
      <c r="I10" s="49" t="s">
        <v>131</v>
      </c>
      <c r="J10" s="50" t="s">
        <v>131</v>
      </c>
      <c r="K10" s="51"/>
      <c r="L10" s="50" t="s">
        <v>74</v>
      </c>
      <c r="M10" s="50" t="s">
        <v>99</v>
      </c>
      <c r="N10" s="50" t="s">
        <v>100</v>
      </c>
      <c r="O10" s="51"/>
      <c r="P10" s="50" t="s">
        <v>113</v>
      </c>
      <c r="Q10" s="50" t="s">
        <v>132</v>
      </c>
      <c r="R10" s="50" t="s">
        <v>266</v>
      </c>
      <c r="S10" s="51"/>
      <c r="T10" s="83" t="s">
        <v>358</v>
      </c>
      <c r="U10" s="52" t="str">
        <f>"363,7500"</f>
        <v>363,7500</v>
      </c>
      <c r="V10" s="27" t="s">
        <v>18</v>
      </c>
    </row>
  </sheetData>
  <mergeCells count="16">
    <mergeCell ref="A1:V2"/>
    <mergeCell ref="F3:F4"/>
    <mergeCell ref="G3:G4"/>
    <mergeCell ref="H3:K3"/>
    <mergeCell ref="L3:O3"/>
    <mergeCell ref="P3:S3"/>
    <mergeCell ref="A3:A4"/>
    <mergeCell ref="T3:T4"/>
    <mergeCell ref="U3:U4"/>
    <mergeCell ref="V3:V4"/>
    <mergeCell ref="B5:U5"/>
    <mergeCell ref="B9:U9"/>
    <mergeCell ref="B3:B4"/>
    <mergeCell ref="C3:C4"/>
    <mergeCell ref="D3:D4"/>
    <mergeCell ref="E3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B38" sqref="B38"/>
    </sheetView>
  </sheetViews>
  <sheetFormatPr baseColWidth="10" defaultColWidth="8.7109375" defaultRowHeight="13" x14ac:dyDescent="0"/>
  <cols>
    <col min="2" max="2" width="26" style="26" bestFit="1" customWidth="1"/>
    <col min="3" max="3" width="27.140625" style="26" bestFit="1" customWidth="1"/>
    <col min="4" max="4" width="10.5703125" style="26" bestFit="1" customWidth="1"/>
    <col min="5" max="5" width="8.42578125" style="26" bestFit="1" customWidth="1"/>
    <col min="6" max="6" width="10.140625" style="84" bestFit="1" customWidth="1"/>
    <col min="7" max="7" width="29.85546875" style="26" customWidth="1"/>
    <col min="8" max="10" width="5.5703125" style="26" bestFit="1" customWidth="1"/>
    <col min="11" max="11" width="4.5703125" style="26" bestFit="1" customWidth="1"/>
    <col min="12" max="14" width="5.5703125" style="26" bestFit="1" customWidth="1"/>
    <col min="15" max="15" width="4.5703125" style="26" bestFit="1" customWidth="1"/>
    <col min="16" max="18" width="5.5703125" style="26" bestFit="1" customWidth="1"/>
    <col min="19" max="19" width="4.5703125" style="26" bestFit="1" customWidth="1"/>
    <col min="20" max="20" width="7.85546875" style="84" bestFit="1" customWidth="1"/>
    <col min="21" max="21" width="8.5703125" style="26" bestFit="1" customWidth="1"/>
    <col min="22" max="22" width="16.5703125" style="26" customWidth="1"/>
  </cols>
  <sheetData>
    <row r="1" spans="1:22" s="1" customFormat="1" ht="15" customHeight="1">
      <c r="A1" s="107" t="s">
        <v>403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</row>
    <row r="2" spans="1:22" s="1" customFormat="1" ht="79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</row>
    <row r="3" spans="1:22" s="2" customFormat="1" ht="12.75" customHeight="1">
      <c r="A3" s="117" t="s">
        <v>325</v>
      </c>
      <c r="B3" s="117" t="s">
        <v>0</v>
      </c>
      <c r="C3" s="119" t="s">
        <v>361</v>
      </c>
      <c r="D3" s="119" t="s">
        <v>359</v>
      </c>
      <c r="E3" s="111" t="s">
        <v>9</v>
      </c>
      <c r="F3" s="111" t="s">
        <v>7</v>
      </c>
      <c r="G3" s="120" t="s">
        <v>360</v>
      </c>
      <c r="H3" s="111" t="s">
        <v>1</v>
      </c>
      <c r="I3" s="111"/>
      <c r="J3" s="111"/>
      <c r="K3" s="111"/>
      <c r="L3" s="111" t="s">
        <v>2</v>
      </c>
      <c r="M3" s="111"/>
      <c r="N3" s="111"/>
      <c r="O3" s="111"/>
      <c r="P3" s="111" t="s">
        <v>3</v>
      </c>
      <c r="Q3" s="111"/>
      <c r="R3" s="111"/>
      <c r="S3" s="111"/>
      <c r="T3" s="111" t="s">
        <v>4</v>
      </c>
      <c r="U3" s="111" t="s">
        <v>6</v>
      </c>
      <c r="V3" s="113" t="s">
        <v>5</v>
      </c>
    </row>
    <row r="4" spans="1:22" s="2" customFormat="1" ht="21" customHeight="1" thickBot="1">
      <c r="A4" s="118"/>
      <c r="B4" s="118"/>
      <c r="C4" s="112"/>
      <c r="D4" s="112"/>
      <c r="E4" s="112"/>
      <c r="F4" s="112"/>
      <c r="G4" s="121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2"/>
      <c r="U4" s="112"/>
      <c r="V4" s="114"/>
    </row>
    <row r="5" spans="1:22" ht="16">
      <c r="B5" s="201" t="s">
        <v>40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2">
      <c r="A6" s="41">
        <v>1</v>
      </c>
      <c r="B6" s="55" t="s">
        <v>231</v>
      </c>
      <c r="C6" s="28" t="s">
        <v>232</v>
      </c>
      <c r="D6" s="28" t="s">
        <v>229</v>
      </c>
      <c r="E6" s="28" t="str">
        <f>"0,6951"</f>
        <v>0,6951</v>
      </c>
      <c r="F6" s="92" t="s">
        <v>348</v>
      </c>
      <c r="G6" s="28" t="s">
        <v>14</v>
      </c>
      <c r="H6" s="62" t="s">
        <v>233</v>
      </c>
      <c r="I6" s="58" t="s">
        <v>233</v>
      </c>
      <c r="J6" s="62" t="s">
        <v>125</v>
      </c>
      <c r="K6" s="59"/>
      <c r="L6" s="58" t="s">
        <v>234</v>
      </c>
      <c r="M6" s="58" t="s">
        <v>235</v>
      </c>
      <c r="N6" s="58" t="s">
        <v>236</v>
      </c>
      <c r="O6" s="59"/>
      <c r="P6" s="58" t="s">
        <v>53</v>
      </c>
      <c r="Q6" s="62" t="s">
        <v>60</v>
      </c>
      <c r="R6" s="58" t="s">
        <v>60</v>
      </c>
      <c r="S6" s="59"/>
      <c r="T6" s="80" t="s">
        <v>353</v>
      </c>
      <c r="U6" s="55" t="str">
        <f>"257,1870"</f>
        <v>257,1870</v>
      </c>
      <c r="V6" s="28" t="s">
        <v>363</v>
      </c>
    </row>
    <row r="7" spans="1:22">
      <c r="A7" s="43">
        <v>1</v>
      </c>
      <c r="B7" s="57" t="s">
        <v>237</v>
      </c>
      <c r="C7" s="30" t="s">
        <v>238</v>
      </c>
      <c r="D7" s="30" t="s">
        <v>239</v>
      </c>
      <c r="E7" s="30" t="str">
        <f>"0,6827"</f>
        <v>0,6827</v>
      </c>
      <c r="F7" s="94" t="s">
        <v>348</v>
      </c>
      <c r="G7" s="30" t="s">
        <v>30</v>
      </c>
      <c r="H7" s="63" t="s">
        <v>74</v>
      </c>
      <c r="I7" s="60" t="s">
        <v>75</v>
      </c>
      <c r="J7" s="63" t="s">
        <v>99</v>
      </c>
      <c r="K7" s="61"/>
      <c r="L7" s="60" t="s">
        <v>240</v>
      </c>
      <c r="M7" s="63" t="s">
        <v>81</v>
      </c>
      <c r="N7" s="63" t="s">
        <v>52</v>
      </c>
      <c r="O7" s="61"/>
      <c r="P7" s="60" t="s">
        <v>241</v>
      </c>
      <c r="Q7" s="60" t="s">
        <v>132</v>
      </c>
      <c r="R7" s="60" t="s">
        <v>242</v>
      </c>
      <c r="S7" s="61"/>
      <c r="T7" s="82" t="s">
        <v>356</v>
      </c>
      <c r="U7" s="57" t="str">
        <f>"351,5905"</f>
        <v>351,5905</v>
      </c>
      <c r="V7" s="30" t="s">
        <v>365</v>
      </c>
    </row>
    <row r="8" spans="1:22">
      <c r="A8" s="40"/>
    </row>
    <row r="9" spans="1:22" ht="16">
      <c r="A9" s="40"/>
      <c r="B9" s="202" t="s">
        <v>70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1:22">
      <c r="A10" s="38">
        <v>1</v>
      </c>
      <c r="B10" s="52" t="s">
        <v>243</v>
      </c>
      <c r="C10" s="27" t="s">
        <v>244</v>
      </c>
      <c r="D10" s="27" t="s">
        <v>245</v>
      </c>
      <c r="E10" s="27" t="str">
        <f>"0,6661"</f>
        <v>0,6661</v>
      </c>
      <c r="F10" s="91" t="s">
        <v>348</v>
      </c>
      <c r="G10" s="27" t="s">
        <v>14</v>
      </c>
      <c r="H10" s="49" t="s">
        <v>235</v>
      </c>
      <c r="I10" s="50" t="s">
        <v>235</v>
      </c>
      <c r="J10" s="49" t="s">
        <v>246</v>
      </c>
      <c r="K10" s="51"/>
      <c r="L10" s="50" t="s">
        <v>31</v>
      </c>
      <c r="M10" s="50" t="s">
        <v>15</v>
      </c>
      <c r="N10" s="49" t="s">
        <v>16</v>
      </c>
      <c r="O10" s="51"/>
      <c r="P10" s="50" t="s">
        <v>125</v>
      </c>
      <c r="Q10" s="50" t="s">
        <v>106</v>
      </c>
      <c r="R10" s="49" t="s">
        <v>85</v>
      </c>
      <c r="S10" s="51"/>
      <c r="T10" s="83" t="s">
        <v>355</v>
      </c>
      <c r="U10" s="52" t="str">
        <f>"206,4910"</f>
        <v>206,4910</v>
      </c>
      <c r="V10" s="27" t="s">
        <v>363</v>
      </c>
    </row>
    <row r="11" spans="1:22">
      <c r="A11" s="40"/>
    </row>
    <row r="12" spans="1:22" ht="16">
      <c r="A12" s="40"/>
      <c r="B12" s="202" t="s">
        <v>127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</row>
    <row r="13" spans="1:22">
      <c r="A13" s="38">
        <v>1</v>
      </c>
      <c r="B13" s="52" t="s">
        <v>247</v>
      </c>
      <c r="C13" s="27" t="s">
        <v>248</v>
      </c>
      <c r="D13" s="27" t="s">
        <v>249</v>
      </c>
      <c r="E13" s="27" t="str">
        <f>"0,5812"</f>
        <v>0,5812</v>
      </c>
      <c r="F13" s="91" t="s">
        <v>348</v>
      </c>
      <c r="G13" s="27" t="s">
        <v>14</v>
      </c>
      <c r="H13" s="50" t="s">
        <v>131</v>
      </c>
      <c r="I13" s="50" t="s">
        <v>132</v>
      </c>
      <c r="J13" s="50" t="s">
        <v>250</v>
      </c>
      <c r="K13" s="51"/>
      <c r="L13" s="50" t="s">
        <v>74</v>
      </c>
      <c r="M13" s="50" t="s">
        <v>75</v>
      </c>
      <c r="N13" s="50" t="s">
        <v>230</v>
      </c>
      <c r="O13" s="51"/>
      <c r="P13" s="50" t="s">
        <v>251</v>
      </c>
      <c r="Q13" s="50" t="s">
        <v>252</v>
      </c>
      <c r="R13" s="49" t="s">
        <v>253</v>
      </c>
      <c r="S13" s="51"/>
      <c r="T13" s="83" t="s">
        <v>354</v>
      </c>
      <c r="U13" s="52" t="str">
        <f>"377,7800"</f>
        <v>377,7800</v>
      </c>
      <c r="V13" s="27" t="s">
        <v>18</v>
      </c>
    </row>
    <row r="14" spans="1:22">
      <c r="A14" s="40"/>
    </row>
    <row r="15" spans="1:22" ht="16">
      <c r="F15" s="95"/>
    </row>
  </sheetData>
  <mergeCells count="17">
    <mergeCell ref="V3:V4"/>
    <mergeCell ref="B5:U5"/>
    <mergeCell ref="B9:U9"/>
    <mergeCell ref="B12:U12"/>
    <mergeCell ref="A1:V2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B5" sqref="B5:M5"/>
    </sheetView>
  </sheetViews>
  <sheetFormatPr baseColWidth="10" defaultColWidth="8.7109375" defaultRowHeight="13" x14ac:dyDescent="0"/>
  <cols>
    <col min="2" max="2" width="26" style="26" bestFit="1" customWidth="1"/>
    <col min="3" max="3" width="27.140625" style="26" customWidth="1"/>
    <col min="4" max="4" width="10.5703125" style="26" bestFit="1" customWidth="1"/>
    <col min="5" max="5" width="8.42578125" style="26" bestFit="1" customWidth="1"/>
    <col min="6" max="6" width="10.140625" style="26" bestFit="1" customWidth="1"/>
    <col min="7" max="7" width="28.5703125" style="26" bestFit="1" customWidth="1"/>
    <col min="8" max="10" width="5.5703125" style="26" bestFit="1" customWidth="1"/>
    <col min="11" max="11" width="4.5703125" style="26" bestFit="1" customWidth="1"/>
    <col min="12" max="12" width="7.85546875" style="84" bestFit="1" customWidth="1"/>
    <col min="13" max="13" width="8.5703125" style="26" bestFit="1" customWidth="1"/>
    <col min="14" max="14" width="15.7109375" style="26" bestFit="1" customWidth="1"/>
  </cols>
  <sheetData>
    <row r="1" spans="1:14" s="1" customFormat="1" ht="15" customHeight="1">
      <c r="A1" s="107" t="s">
        <v>402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" customFormat="1" ht="78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14" s="2" customFormat="1" ht="12.75" customHeight="1">
      <c r="A3" s="117" t="s">
        <v>325</v>
      </c>
      <c r="B3" s="117" t="s">
        <v>0</v>
      </c>
      <c r="C3" s="119" t="s">
        <v>361</v>
      </c>
      <c r="D3" s="119" t="s">
        <v>359</v>
      </c>
      <c r="E3" s="111" t="s">
        <v>9</v>
      </c>
      <c r="F3" s="111" t="s">
        <v>7</v>
      </c>
      <c r="G3" s="120" t="s">
        <v>360</v>
      </c>
      <c r="H3" s="111" t="s">
        <v>2</v>
      </c>
      <c r="I3" s="111"/>
      <c r="J3" s="111"/>
      <c r="K3" s="111"/>
      <c r="L3" s="111" t="s">
        <v>4</v>
      </c>
      <c r="M3" s="111" t="s">
        <v>6</v>
      </c>
      <c r="N3" s="113" t="s">
        <v>5</v>
      </c>
    </row>
    <row r="4" spans="1:14" s="2" customFormat="1" ht="21" customHeight="1" thickBot="1">
      <c r="A4" s="118"/>
      <c r="B4" s="118"/>
      <c r="C4" s="112"/>
      <c r="D4" s="112"/>
      <c r="E4" s="112"/>
      <c r="F4" s="112"/>
      <c r="G4" s="121"/>
      <c r="H4" s="3">
        <v>1</v>
      </c>
      <c r="I4" s="3">
        <v>2</v>
      </c>
      <c r="J4" s="3">
        <v>3</v>
      </c>
      <c r="K4" s="3" t="s">
        <v>8</v>
      </c>
      <c r="L4" s="112"/>
      <c r="M4" s="112"/>
      <c r="N4" s="114"/>
    </row>
    <row r="5" spans="1:14" ht="16">
      <c r="B5" s="201" t="s">
        <v>157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4">
      <c r="A6" s="38">
        <v>1</v>
      </c>
      <c r="B6" s="52" t="s">
        <v>254</v>
      </c>
      <c r="C6" s="27" t="s">
        <v>255</v>
      </c>
      <c r="D6" s="27" t="s">
        <v>256</v>
      </c>
      <c r="E6" s="27" t="str">
        <f>"0,7264"</f>
        <v>0,7264</v>
      </c>
      <c r="F6" s="27" t="s">
        <v>348</v>
      </c>
      <c r="G6" s="27" t="s">
        <v>14</v>
      </c>
      <c r="H6" s="49" t="s">
        <v>74</v>
      </c>
      <c r="I6" s="50" t="s">
        <v>74</v>
      </c>
      <c r="J6" s="49" t="s">
        <v>75</v>
      </c>
      <c r="K6" s="51"/>
      <c r="L6" s="83" t="s">
        <v>74</v>
      </c>
      <c r="M6" s="52" t="str">
        <f>"116,2240"</f>
        <v>116,2240</v>
      </c>
      <c r="N6" s="27" t="s">
        <v>18</v>
      </c>
    </row>
  </sheetData>
  <mergeCells count="13">
    <mergeCell ref="A3:A4"/>
    <mergeCell ref="A1:N2"/>
    <mergeCell ref="L3:L4"/>
    <mergeCell ref="M3:M4"/>
    <mergeCell ref="N3:N4"/>
    <mergeCell ref="B5:M5"/>
    <mergeCell ref="B3:B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B5" sqref="B5:M5"/>
    </sheetView>
  </sheetViews>
  <sheetFormatPr baseColWidth="10" defaultColWidth="8.7109375" defaultRowHeight="13" x14ac:dyDescent="0"/>
  <cols>
    <col min="2" max="3" width="26" style="26" bestFit="1" customWidth="1"/>
    <col min="4" max="4" width="10.5703125" style="26" bestFit="1" customWidth="1"/>
    <col min="5" max="5" width="8.42578125" style="26" bestFit="1" customWidth="1"/>
    <col min="6" max="6" width="14.7109375" style="84" customWidth="1"/>
    <col min="7" max="7" width="28.5703125" style="26" bestFit="1" customWidth="1"/>
    <col min="8" max="10" width="5.5703125" style="26" bestFit="1" customWidth="1"/>
    <col min="11" max="11" width="4.5703125" style="26" bestFit="1" customWidth="1"/>
    <col min="12" max="12" width="7.85546875" style="84" bestFit="1" customWidth="1"/>
    <col min="13" max="13" width="8.5703125" style="26" bestFit="1" customWidth="1"/>
    <col min="14" max="14" width="17.5703125" style="26" bestFit="1" customWidth="1"/>
  </cols>
  <sheetData>
    <row r="1" spans="1:14" s="1" customFormat="1" ht="15" customHeight="1">
      <c r="A1" s="107" t="s">
        <v>349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" customFormat="1" ht="81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2" customFormat="1" ht="12.75" customHeight="1">
      <c r="A3" s="117" t="s">
        <v>325</v>
      </c>
      <c r="B3" s="117" t="s">
        <v>0</v>
      </c>
      <c r="C3" s="119" t="s">
        <v>361</v>
      </c>
      <c r="D3" s="119" t="s">
        <v>359</v>
      </c>
      <c r="E3" s="111" t="s">
        <v>9</v>
      </c>
      <c r="F3" s="111" t="s">
        <v>7</v>
      </c>
      <c r="G3" s="120" t="s">
        <v>360</v>
      </c>
      <c r="H3" s="111" t="s">
        <v>2</v>
      </c>
      <c r="I3" s="111"/>
      <c r="J3" s="111"/>
      <c r="K3" s="111"/>
      <c r="L3" s="111" t="s">
        <v>4</v>
      </c>
      <c r="M3" s="111" t="s">
        <v>6</v>
      </c>
      <c r="N3" s="113" t="s">
        <v>5</v>
      </c>
    </row>
    <row r="4" spans="1:14" s="2" customFormat="1" ht="21" customHeight="1" thickBot="1">
      <c r="A4" s="118"/>
      <c r="B4" s="118"/>
      <c r="C4" s="112"/>
      <c r="D4" s="112"/>
      <c r="E4" s="112"/>
      <c r="F4" s="112"/>
      <c r="G4" s="121"/>
      <c r="H4" s="3">
        <v>1</v>
      </c>
      <c r="I4" s="3">
        <v>2</v>
      </c>
      <c r="J4" s="3">
        <v>3</v>
      </c>
      <c r="K4" s="3" t="s">
        <v>8</v>
      </c>
      <c r="L4" s="112"/>
      <c r="M4" s="112"/>
      <c r="N4" s="114"/>
    </row>
    <row r="5" spans="1:14" ht="16">
      <c r="B5" s="201" t="s">
        <v>40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4">
      <c r="A6" s="41">
        <v>1</v>
      </c>
      <c r="B6" s="55" t="s">
        <v>224</v>
      </c>
      <c r="C6" s="92" t="s">
        <v>225</v>
      </c>
      <c r="D6" s="28" t="s">
        <v>226</v>
      </c>
      <c r="E6" s="28" t="str">
        <f>"0,6759"</f>
        <v>0,6759</v>
      </c>
      <c r="F6" s="92" t="s">
        <v>348</v>
      </c>
      <c r="G6" s="28" t="s">
        <v>14</v>
      </c>
      <c r="H6" s="62" t="s">
        <v>205</v>
      </c>
      <c r="I6" s="58" t="s">
        <v>119</v>
      </c>
      <c r="J6" s="62" t="s">
        <v>120</v>
      </c>
      <c r="K6" s="59"/>
      <c r="L6" s="80">
        <v>187.5</v>
      </c>
      <c r="M6" s="55" t="str">
        <f>"126,7312"</f>
        <v>126,7312</v>
      </c>
      <c r="N6" s="28" t="s">
        <v>370</v>
      </c>
    </row>
    <row r="7" spans="1:14">
      <c r="A7" s="43">
        <v>1</v>
      </c>
      <c r="B7" s="57" t="s">
        <v>227</v>
      </c>
      <c r="C7" s="94" t="s">
        <v>228</v>
      </c>
      <c r="D7" s="30" t="s">
        <v>229</v>
      </c>
      <c r="E7" s="30" t="str">
        <f>"0,6951"</f>
        <v>0,6951</v>
      </c>
      <c r="F7" s="94" t="s">
        <v>348</v>
      </c>
      <c r="G7" s="30" t="s">
        <v>14</v>
      </c>
      <c r="H7" s="63" t="s">
        <v>75</v>
      </c>
      <c r="I7" s="63" t="s">
        <v>230</v>
      </c>
      <c r="J7" s="60" t="s">
        <v>230</v>
      </c>
      <c r="K7" s="61"/>
      <c r="L7" s="82" t="s">
        <v>230</v>
      </c>
      <c r="M7" s="57" t="str">
        <f>"118,1670"</f>
        <v>118,1670</v>
      </c>
      <c r="N7" s="30" t="s">
        <v>371</v>
      </c>
    </row>
  </sheetData>
  <mergeCells count="13">
    <mergeCell ref="A3:A4"/>
    <mergeCell ref="A1:N2"/>
    <mergeCell ref="L3:L4"/>
    <mergeCell ref="M3:M4"/>
    <mergeCell ref="N3:N4"/>
    <mergeCell ref="B5:M5"/>
    <mergeCell ref="B3:B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SheetLayoutView="91" workbookViewId="0">
      <selection activeCell="P10" sqref="P10"/>
    </sheetView>
  </sheetViews>
  <sheetFormatPr baseColWidth="10" defaultColWidth="8.7109375" defaultRowHeight="13" x14ac:dyDescent="0"/>
  <cols>
    <col min="1" max="1" width="8.7109375" style="40"/>
    <col min="2" max="2" width="22.7109375" style="26" customWidth="1"/>
    <col min="3" max="3" width="25.42578125" style="26" customWidth="1"/>
    <col min="4" max="4" width="10.5703125" style="26" bestFit="1" customWidth="1"/>
    <col min="5" max="5" width="8.42578125" style="26" bestFit="1" customWidth="1"/>
    <col min="6" max="6" width="22.7109375" style="84" bestFit="1" customWidth="1"/>
    <col min="7" max="7" width="27.7109375" style="26" customWidth="1"/>
    <col min="8" max="10" width="5.5703125" style="26" bestFit="1" customWidth="1"/>
    <col min="11" max="11" width="4.5703125" style="26" bestFit="1" customWidth="1"/>
    <col min="12" max="12" width="7.85546875" style="84" bestFit="1" customWidth="1"/>
    <col min="13" max="13" width="8.5703125" style="84" bestFit="1" customWidth="1"/>
    <col min="14" max="14" width="16.85546875" style="26" customWidth="1"/>
  </cols>
  <sheetData>
    <row r="1" spans="1:14" s="1" customFormat="1" ht="15" customHeight="1">
      <c r="A1" s="107" t="s">
        <v>347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1" customFormat="1" ht="75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2" customFormat="1" ht="12.75" customHeight="1">
      <c r="A3" s="117" t="s">
        <v>325</v>
      </c>
      <c r="B3" s="117" t="s">
        <v>0</v>
      </c>
      <c r="C3" s="119" t="s">
        <v>361</v>
      </c>
      <c r="D3" s="119" t="s">
        <v>359</v>
      </c>
      <c r="E3" s="111" t="s">
        <v>9</v>
      </c>
      <c r="F3" s="111" t="s">
        <v>7</v>
      </c>
      <c r="G3" s="120" t="s">
        <v>360</v>
      </c>
      <c r="H3" s="111" t="s">
        <v>2</v>
      </c>
      <c r="I3" s="111"/>
      <c r="J3" s="111"/>
      <c r="K3" s="111"/>
      <c r="L3" s="111" t="s">
        <v>4</v>
      </c>
      <c r="M3" s="111" t="s">
        <v>6</v>
      </c>
      <c r="N3" s="113" t="s">
        <v>5</v>
      </c>
    </row>
    <row r="4" spans="1:14" s="2" customFormat="1" ht="21" customHeight="1" thickBot="1">
      <c r="A4" s="118"/>
      <c r="B4" s="118"/>
      <c r="C4" s="112"/>
      <c r="D4" s="112"/>
      <c r="E4" s="112"/>
      <c r="F4" s="112"/>
      <c r="G4" s="121"/>
      <c r="H4" s="3">
        <v>1</v>
      </c>
      <c r="I4" s="3">
        <v>2</v>
      </c>
      <c r="J4" s="3">
        <v>3</v>
      </c>
      <c r="K4" s="3" t="s">
        <v>8</v>
      </c>
      <c r="L4" s="112"/>
      <c r="M4" s="112"/>
      <c r="N4" s="114"/>
    </row>
    <row r="5" spans="1:14" ht="16">
      <c r="B5" s="201" t="s">
        <v>19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4">
      <c r="A6" s="38">
        <v>1</v>
      </c>
      <c r="B6" s="52" t="s">
        <v>149</v>
      </c>
      <c r="C6" s="91" t="s">
        <v>150</v>
      </c>
      <c r="D6" s="27" t="s">
        <v>151</v>
      </c>
      <c r="E6" s="27" t="str">
        <f>"1,0988"</f>
        <v>1,0988</v>
      </c>
      <c r="F6" s="91" t="s">
        <v>348</v>
      </c>
      <c r="G6" s="27" t="s">
        <v>51</v>
      </c>
      <c r="H6" s="50" t="s">
        <v>24</v>
      </c>
      <c r="I6" s="50" t="s">
        <v>25</v>
      </c>
      <c r="J6" s="50" t="s">
        <v>152</v>
      </c>
      <c r="K6" s="51"/>
      <c r="L6" s="83" t="s">
        <v>152</v>
      </c>
      <c r="M6" s="83" t="str">
        <f>"32,9640"</f>
        <v>32,9640</v>
      </c>
      <c r="N6" s="27" t="s">
        <v>373</v>
      </c>
    </row>
    <row r="8" spans="1:14" ht="16">
      <c r="B8" s="202" t="s">
        <v>10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spans="1:14">
      <c r="A9" s="38">
        <v>1</v>
      </c>
      <c r="B9" s="52" t="s">
        <v>153</v>
      </c>
      <c r="C9" s="91" t="s">
        <v>154</v>
      </c>
      <c r="D9" s="27" t="s">
        <v>155</v>
      </c>
      <c r="E9" s="27" t="str">
        <f>"0,9283"</f>
        <v>0,9283</v>
      </c>
      <c r="F9" s="91" t="s">
        <v>348</v>
      </c>
      <c r="G9" s="27" t="s">
        <v>14</v>
      </c>
      <c r="H9" s="50" t="s">
        <v>156</v>
      </c>
      <c r="I9" s="50" t="s">
        <v>31</v>
      </c>
      <c r="J9" s="50" t="s">
        <v>15</v>
      </c>
      <c r="K9" s="51"/>
      <c r="L9" s="83" t="s">
        <v>15</v>
      </c>
      <c r="M9" s="83" t="str">
        <f>"64,9810"</f>
        <v>64,9810</v>
      </c>
      <c r="N9" s="27" t="s">
        <v>18</v>
      </c>
    </row>
    <row r="11" spans="1:14" ht="16">
      <c r="B11" s="202" t="s">
        <v>157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</row>
    <row r="12" spans="1:14">
      <c r="A12" s="41">
        <v>1</v>
      </c>
      <c r="B12" s="55" t="s">
        <v>158</v>
      </c>
      <c r="C12" s="92" t="s">
        <v>159</v>
      </c>
      <c r="D12" s="28" t="s">
        <v>160</v>
      </c>
      <c r="E12" s="85" t="str">
        <f>"0,7330"</f>
        <v>0,7330</v>
      </c>
      <c r="F12" s="92" t="s">
        <v>348</v>
      </c>
      <c r="G12" s="88" t="s">
        <v>161</v>
      </c>
      <c r="H12" s="58" t="s">
        <v>106</v>
      </c>
      <c r="I12" s="58" t="s">
        <v>67</v>
      </c>
      <c r="J12" s="62" t="s">
        <v>61</v>
      </c>
      <c r="K12" s="59"/>
      <c r="L12" s="80">
        <v>147.5</v>
      </c>
      <c r="M12" s="80" t="str">
        <f>"108,1175"</f>
        <v>108,1175</v>
      </c>
      <c r="N12" s="28" t="s">
        <v>18</v>
      </c>
    </row>
    <row r="13" spans="1:14">
      <c r="A13" s="42">
        <v>2</v>
      </c>
      <c r="B13" s="56" t="s">
        <v>162</v>
      </c>
      <c r="C13" s="93" t="s">
        <v>163</v>
      </c>
      <c r="D13" s="29" t="s">
        <v>164</v>
      </c>
      <c r="E13" s="86" t="str">
        <f>"0,7422"</f>
        <v>0,7422</v>
      </c>
      <c r="F13" s="93" t="s">
        <v>348</v>
      </c>
      <c r="G13" s="89" t="s">
        <v>161</v>
      </c>
      <c r="H13" s="64" t="s">
        <v>125</v>
      </c>
      <c r="I13" s="65" t="s">
        <v>105</v>
      </c>
      <c r="J13" s="64" t="s">
        <v>54</v>
      </c>
      <c r="K13" s="66"/>
      <c r="L13" s="81">
        <v>142.5</v>
      </c>
      <c r="M13" s="81" t="str">
        <f>"105,7635"</f>
        <v>105,7635</v>
      </c>
      <c r="N13" s="29" t="s">
        <v>18</v>
      </c>
    </row>
    <row r="14" spans="1:14">
      <c r="A14" s="42">
        <v>3</v>
      </c>
      <c r="B14" s="56" t="s">
        <v>165</v>
      </c>
      <c r="C14" s="93" t="s">
        <v>166</v>
      </c>
      <c r="D14" s="29" t="s">
        <v>167</v>
      </c>
      <c r="E14" s="86" t="str">
        <f>"0,7228"</f>
        <v>0,7228</v>
      </c>
      <c r="F14" s="93" t="s">
        <v>348</v>
      </c>
      <c r="G14" s="89" t="s">
        <v>14</v>
      </c>
      <c r="H14" s="64" t="s">
        <v>53</v>
      </c>
      <c r="I14" s="64" t="s">
        <v>106</v>
      </c>
      <c r="J14" s="64" t="s">
        <v>54</v>
      </c>
      <c r="K14" s="66"/>
      <c r="L14" s="81">
        <v>142.5</v>
      </c>
      <c r="M14" s="81" t="str">
        <f>"102,9990"</f>
        <v>102,9990</v>
      </c>
      <c r="N14" s="29" t="s">
        <v>18</v>
      </c>
    </row>
    <row r="15" spans="1:14">
      <c r="A15" s="43">
        <v>4</v>
      </c>
      <c r="B15" s="57" t="s">
        <v>168</v>
      </c>
      <c r="C15" s="94" t="s">
        <v>169</v>
      </c>
      <c r="D15" s="30" t="s">
        <v>170</v>
      </c>
      <c r="E15" s="87" t="str">
        <f>"0,7249"</f>
        <v>0,7249</v>
      </c>
      <c r="F15" s="94" t="s">
        <v>348</v>
      </c>
      <c r="G15" s="90" t="s">
        <v>14</v>
      </c>
      <c r="H15" s="63" t="s">
        <v>171</v>
      </c>
      <c r="I15" s="60" t="s">
        <v>171</v>
      </c>
      <c r="J15" s="63" t="s">
        <v>172</v>
      </c>
      <c r="K15" s="61"/>
      <c r="L15" s="82" t="s">
        <v>171</v>
      </c>
      <c r="M15" s="82" t="str">
        <f>"79,7390"</f>
        <v>79,7390</v>
      </c>
      <c r="N15" s="30" t="s">
        <v>374</v>
      </c>
    </row>
    <row r="17" spans="1:14" ht="16">
      <c r="B17" s="202" t="s">
        <v>40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</row>
    <row r="18" spans="1:14">
      <c r="A18" s="41"/>
      <c r="B18" s="55" t="s">
        <v>173</v>
      </c>
      <c r="C18" s="92" t="s">
        <v>174</v>
      </c>
      <c r="D18" s="28" t="s">
        <v>175</v>
      </c>
      <c r="E18" s="28" t="str">
        <f>"0,6744"</f>
        <v>0,6744</v>
      </c>
      <c r="F18" s="92" t="s">
        <v>348</v>
      </c>
      <c r="G18" s="28" t="s">
        <v>14</v>
      </c>
      <c r="H18" s="62" t="s">
        <v>106</v>
      </c>
      <c r="I18" s="62" t="s">
        <v>60</v>
      </c>
      <c r="J18" s="62" t="s">
        <v>60</v>
      </c>
      <c r="K18" s="59"/>
      <c r="L18" s="80">
        <v>0</v>
      </c>
      <c r="M18" s="80" t="s">
        <v>335</v>
      </c>
      <c r="N18" s="28" t="s">
        <v>375</v>
      </c>
    </row>
    <row r="19" spans="1:14">
      <c r="A19" s="43">
        <v>1</v>
      </c>
      <c r="B19" s="57" t="s">
        <v>176</v>
      </c>
      <c r="C19" s="94" t="s">
        <v>177</v>
      </c>
      <c r="D19" s="30" t="s">
        <v>178</v>
      </c>
      <c r="E19" s="30" t="str">
        <f>"0,6933"</f>
        <v>0,6933</v>
      </c>
      <c r="F19" s="94" t="s">
        <v>348</v>
      </c>
      <c r="G19" s="30" t="s">
        <v>14</v>
      </c>
      <c r="H19" s="60" t="s">
        <v>53</v>
      </c>
      <c r="I19" s="60" t="s">
        <v>54</v>
      </c>
      <c r="J19" s="63" t="s">
        <v>60</v>
      </c>
      <c r="K19" s="61"/>
      <c r="L19" s="82">
        <v>142.5</v>
      </c>
      <c r="M19" s="82" t="str">
        <f>"98,7953"</f>
        <v>98,7953</v>
      </c>
      <c r="N19" s="30" t="s">
        <v>376</v>
      </c>
    </row>
    <row r="21" spans="1:14" ht="16">
      <c r="B21" s="202" t="s">
        <v>70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</row>
    <row r="22" spans="1:14">
      <c r="A22" s="41">
        <v>1</v>
      </c>
      <c r="B22" s="55" t="s">
        <v>179</v>
      </c>
      <c r="C22" s="92" t="s">
        <v>180</v>
      </c>
      <c r="D22" s="28" t="s">
        <v>181</v>
      </c>
      <c r="E22" s="28" t="str">
        <f>"0,6388"</f>
        <v>0,6388</v>
      </c>
      <c r="F22" s="92" t="s">
        <v>348</v>
      </c>
      <c r="G22" s="28" t="s">
        <v>91</v>
      </c>
      <c r="H22" s="62" t="s">
        <v>81</v>
      </c>
      <c r="I22" s="62" t="s">
        <v>182</v>
      </c>
      <c r="J22" s="58" t="s">
        <v>182</v>
      </c>
      <c r="K22" s="59"/>
      <c r="L22" s="80">
        <v>132.5</v>
      </c>
      <c r="M22" s="80" t="str">
        <f>"84,6410"</f>
        <v>84,6410</v>
      </c>
      <c r="N22" s="28" t="s">
        <v>377</v>
      </c>
    </row>
    <row r="23" spans="1:14">
      <c r="A23" s="42">
        <v>1</v>
      </c>
      <c r="B23" s="56" t="s">
        <v>183</v>
      </c>
      <c r="C23" s="93" t="s">
        <v>184</v>
      </c>
      <c r="D23" s="29" t="s">
        <v>185</v>
      </c>
      <c r="E23" s="29" t="str">
        <f>"0,6432"</f>
        <v>0,6432</v>
      </c>
      <c r="F23" s="93" t="s">
        <v>348</v>
      </c>
      <c r="G23" s="29" t="s">
        <v>14</v>
      </c>
      <c r="H23" s="65" t="s">
        <v>68</v>
      </c>
      <c r="I23" s="64" t="s">
        <v>68</v>
      </c>
      <c r="J23" s="64" t="s">
        <v>74</v>
      </c>
      <c r="K23" s="66"/>
      <c r="L23" s="81" t="s">
        <v>74</v>
      </c>
      <c r="M23" s="81" t="str">
        <f>"102,9120"</f>
        <v>102,9120</v>
      </c>
      <c r="N23" s="29" t="s">
        <v>18</v>
      </c>
    </row>
    <row r="24" spans="1:14">
      <c r="A24" s="43">
        <v>2</v>
      </c>
      <c r="B24" s="57" t="s">
        <v>186</v>
      </c>
      <c r="C24" s="94" t="s">
        <v>187</v>
      </c>
      <c r="D24" s="30" t="s">
        <v>188</v>
      </c>
      <c r="E24" s="30" t="str">
        <f>"0,6455"</f>
        <v>0,6455</v>
      </c>
      <c r="F24" s="94" t="s">
        <v>348</v>
      </c>
      <c r="G24" s="30" t="s">
        <v>51</v>
      </c>
      <c r="H24" s="60" t="s">
        <v>53</v>
      </c>
      <c r="I24" s="63" t="s">
        <v>60</v>
      </c>
      <c r="J24" s="63" t="s">
        <v>60</v>
      </c>
      <c r="K24" s="61"/>
      <c r="L24" s="82" t="s">
        <v>53</v>
      </c>
      <c r="M24" s="82" t="str">
        <f>"87,1425"</f>
        <v>87,1425</v>
      </c>
      <c r="N24" s="30" t="s">
        <v>378</v>
      </c>
    </row>
    <row r="25" spans="1:14">
      <c r="B25" s="36"/>
    </row>
    <row r="26" spans="1:14" ht="16">
      <c r="B26" s="202" t="s">
        <v>87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</row>
    <row r="27" spans="1:14">
      <c r="A27" s="41">
        <v>1</v>
      </c>
      <c r="B27" s="55" t="s">
        <v>189</v>
      </c>
      <c r="C27" s="92" t="s">
        <v>190</v>
      </c>
      <c r="D27" s="28" t="s">
        <v>191</v>
      </c>
      <c r="E27" s="28" t="str">
        <f>"0,6142"</f>
        <v>0,6142</v>
      </c>
      <c r="F27" s="92" t="s">
        <v>348</v>
      </c>
      <c r="G27" s="28" t="s">
        <v>372</v>
      </c>
      <c r="H27" s="62" t="s">
        <v>52</v>
      </c>
      <c r="I27" s="62" t="s">
        <v>52</v>
      </c>
      <c r="J27" s="58" t="s">
        <v>52</v>
      </c>
      <c r="K27" s="59"/>
      <c r="L27" s="80" t="s">
        <v>52</v>
      </c>
      <c r="M27" s="80" t="str">
        <f>"76,7750"</f>
        <v>76,7750</v>
      </c>
      <c r="N27" s="28" t="s">
        <v>18</v>
      </c>
    </row>
    <row r="28" spans="1:14">
      <c r="A28" s="42">
        <v>1</v>
      </c>
      <c r="B28" s="56" t="s">
        <v>192</v>
      </c>
      <c r="C28" s="93" t="s">
        <v>193</v>
      </c>
      <c r="D28" s="29" t="s">
        <v>194</v>
      </c>
      <c r="E28" s="29" t="str">
        <f>"0,6166"</f>
        <v>0,6166</v>
      </c>
      <c r="F28" s="93" t="s">
        <v>348</v>
      </c>
      <c r="G28" s="29" t="s">
        <v>14</v>
      </c>
      <c r="H28" s="64" t="s">
        <v>60</v>
      </c>
      <c r="I28" s="64" t="s">
        <v>85</v>
      </c>
      <c r="J28" s="65" t="s">
        <v>195</v>
      </c>
      <c r="K28" s="66"/>
      <c r="L28" s="81">
        <v>152.5</v>
      </c>
      <c r="M28" s="81" t="str">
        <f>"94,0315"</f>
        <v>94,0315</v>
      </c>
      <c r="N28" s="29" t="s">
        <v>18</v>
      </c>
    </row>
    <row r="29" spans="1:14">
      <c r="A29" s="43">
        <v>2</v>
      </c>
      <c r="B29" s="57" t="s">
        <v>196</v>
      </c>
      <c r="C29" s="94" t="s">
        <v>197</v>
      </c>
      <c r="D29" s="30" t="s">
        <v>198</v>
      </c>
      <c r="E29" s="30" t="str">
        <f>"0,6139"</f>
        <v>0,6139</v>
      </c>
      <c r="F29" s="94" t="s">
        <v>348</v>
      </c>
      <c r="G29" s="30" t="s">
        <v>199</v>
      </c>
      <c r="H29" s="60" t="s">
        <v>200</v>
      </c>
      <c r="I29" s="60" t="s">
        <v>182</v>
      </c>
      <c r="J29" s="63" t="s">
        <v>106</v>
      </c>
      <c r="K29" s="61"/>
      <c r="L29" s="82">
        <v>132.5</v>
      </c>
      <c r="M29" s="82" t="str">
        <f>"81,3418"</f>
        <v>81,3418</v>
      </c>
      <c r="N29" s="30" t="s">
        <v>379</v>
      </c>
    </row>
    <row r="31" spans="1:14" ht="16">
      <c r="B31" s="202" t="s">
        <v>108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</row>
    <row r="32" spans="1:14">
      <c r="A32" s="41">
        <v>1</v>
      </c>
      <c r="B32" s="55" t="s">
        <v>201</v>
      </c>
      <c r="C32" s="92" t="s">
        <v>202</v>
      </c>
      <c r="D32" s="28" t="s">
        <v>203</v>
      </c>
      <c r="E32" s="28" t="str">
        <f>"0,5910"</f>
        <v>0,5910</v>
      </c>
      <c r="F32" s="92" t="s">
        <v>348</v>
      </c>
      <c r="G32" s="28" t="s">
        <v>204</v>
      </c>
      <c r="H32" s="58" t="s">
        <v>92</v>
      </c>
      <c r="I32" s="58" t="s">
        <v>205</v>
      </c>
      <c r="J32" s="62" t="s">
        <v>93</v>
      </c>
      <c r="K32" s="59"/>
      <c r="L32" s="80" t="s">
        <v>205</v>
      </c>
      <c r="M32" s="80" t="str">
        <f>"106,3800"</f>
        <v>106,3800</v>
      </c>
      <c r="N32" s="28" t="s">
        <v>18</v>
      </c>
    </row>
    <row r="33" spans="1:14">
      <c r="A33" s="43">
        <v>2</v>
      </c>
      <c r="B33" s="57" t="s">
        <v>206</v>
      </c>
      <c r="C33" s="94" t="s">
        <v>207</v>
      </c>
      <c r="D33" s="30" t="s">
        <v>208</v>
      </c>
      <c r="E33" s="30" t="str">
        <f>"0,5935"</f>
        <v>0,5935</v>
      </c>
      <c r="F33" s="94" t="s">
        <v>348</v>
      </c>
      <c r="G33" s="30" t="s">
        <v>209</v>
      </c>
      <c r="H33" s="60" t="s">
        <v>171</v>
      </c>
      <c r="I33" s="63" t="s">
        <v>172</v>
      </c>
      <c r="J33" s="60" t="s">
        <v>172</v>
      </c>
      <c r="K33" s="61"/>
      <c r="L33" s="82">
        <v>117.5</v>
      </c>
      <c r="M33" s="82" t="str">
        <f>"69,7363"</f>
        <v>69,7363</v>
      </c>
      <c r="N33" s="30" t="s">
        <v>18</v>
      </c>
    </row>
    <row r="35" spans="1:14" ht="16">
      <c r="B35" s="202" t="s">
        <v>127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</row>
    <row r="36" spans="1:14">
      <c r="A36" s="41">
        <v>1</v>
      </c>
      <c r="B36" s="55" t="s">
        <v>210</v>
      </c>
      <c r="C36" s="92" t="s">
        <v>211</v>
      </c>
      <c r="D36" s="28" t="s">
        <v>212</v>
      </c>
      <c r="E36" s="28" t="str">
        <f>"0,5698"</f>
        <v>0,5698</v>
      </c>
      <c r="F36" s="92" t="s">
        <v>348</v>
      </c>
      <c r="G36" s="28" t="s">
        <v>213</v>
      </c>
      <c r="H36" s="58" t="s">
        <v>205</v>
      </c>
      <c r="I36" s="58" t="s">
        <v>94</v>
      </c>
      <c r="J36" s="62" t="s">
        <v>113</v>
      </c>
      <c r="K36" s="59"/>
      <c r="L36" s="80" t="s">
        <v>94</v>
      </c>
      <c r="M36" s="80" t="str">
        <f>"108,2620"</f>
        <v>108,2620</v>
      </c>
      <c r="N36" s="28" t="s">
        <v>18</v>
      </c>
    </row>
    <row r="37" spans="1:14">
      <c r="A37" s="42">
        <v>1</v>
      </c>
      <c r="B37" s="56" t="s">
        <v>214</v>
      </c>
      <c r="C37" s="93" t="s">
        <v>215</v>
      </c>
      <c r="D37" s="29" t="s">
        <v>216</v>
      </c>
      <c r="E37" s="29" t="str">
        <f>"0,5816"</f>
        <v>0,5816</v>
      </c>
      <c r="F37" s="93" t="s">
        <v>348</v>
      </c>
      <c r="G37" s="29" t="s">
        <v>14</v>
      </c>
      <c r="H37" s="65" t="s">
        <v>75</v>
      </c>
      <c r="I37" s="64" t="s">
        <v>75</v>
      </c>
      <c r="J37" s="65" t="s">
        <v>100</v>
      </c>
      <c r="K37" s="66"/>
      <c r="L37" s="81" t="s">
        <v>75</v>
      </c>
      <c r="M37" s="81" t="str">
        <f>"95,9640"</f>
        <v>95,9640</v>
      </c>
      <c r="N37" s="29" t="s">
        <v>18</v>
      </c>
    </row>
    <row r="38" spans="1:14">
      <c r="A38" s="43"/>
      <c r="B38" s="57" t="s">
        <v>217</v>
      </c>
      <c r="C38" s="94" t="s">
        <v>218</v>
      </c>
      <c r="D38" s="30" t="s">
        <v>219</v>
      </c>
      <c r="E38" s="30" t="str">
        <f>"0,5827"</f>
        <v>0,5827</v>
      </c>
      <c r="F38" s="94" t="s">
        <v>348</v>
      </c>
      <c r="G38" s="30" t="s">
        <v>220</v>
      </c>
      <c r="H38" s="63" t="s">
        <v>125</v>
      </c>
      <c r="I38" s="63" t="s">
        <v>125</v>
      </c>
      <c r="J38" s="63" t="s">
        <v>125</v>
      </c>
      <c r="K38" s="61"/>
      <c r="L38" s="82">
        <v>0</v>
      </c>
      <c r="M38" s="82" t="s">
        <v>335</v>
      </c>
      <c r="N38" s="30" t="s">
        <v>18</v>
      </c>
    </row>
    <row r="40" spans="1:14" ht="16">
      <c r="F40" s="95"/>
    </row>
    <row r="42" spans="1:14" ht="18">
      <c r="B42" s="31" t="s">
        <v>138</v>
      </c>
      <c r="C42" s="31"/>
    </row>
    <row r="43" spans="1:14" ht="16">
      <c r="B43" s="32" t="s">
        <v>145</v>
      </c>
      <c r="C43" s="32"/>
    </row>
    <row r="44" spans="1:14" ht="14">
      <c r="B44" s="33"/>
      <c r="C44" s="34"/>
    </row>
    <row r="45" spans="1:14" ht="14">
      <c r="A45" s="38"/>
      <c r="B45" s="35" t="s">
        <v>140</v>
      </c>
      <c r="C45" s="35" t="s">
        <v>141</v>
      </c>
      <c r="D45" s="35" t="s">
        <v>142</v>
      </c>
      <c r="E45" s="35" t="s">
        <v>143</v>
      </c>
      <c r="F45" s="35" t="s">
        <v>144</v>
      </c>
    </row>
    <row r="46" spans="1:14">
      <c r="A46" s="40">
        <v>1</v>
      </c>
      <c r="B46" s="79" t="s">
        <v>210</v>
      </c>
      <c r="C46" s="26" t="s">
        <v>139</v>
      </c>
      <c r="D46" s="26" t="s">
        <v>52</v>
      </c>
      <c r="E46" s="26" t="s">
        <v>94</v>
      </c>
      <c r="F46" s="96" t="s">
        <v>221</v>
      </c>
    </row>
    <row r="47" spans="1:14">
      <c r="A47" s="40">
        <v>2</v>
      </c>
      <c r="B47" s="79" t="s">
        <v>158</v>
      </c>
      <c r="C47" s="26" t="s">
        <v>139</v>
      </c>
      <c r="D47" s="26" t="s">
        <v>32</v>
      </c>
      <c r="E47" s="26" t="s">
        <v>67</v>
      </c>
      <c r="F47" s="96" t="s">
        <v>222</v>
      </c>
    </row>
    <row r="48" spans="1:14">
      <c r="A48" s="40">
        <v>3</v>
      </c>
      <c r="B48" s="79" t="s">
        <v>201</v>
      </c>
      <c r="C48" s="26" t="s">
        <v>139</v>
      </c>
      <c r="D48" s="26" t="s">
        <v>171</v>
      </c>
      <c r="E48" s="26" t="s">
        <v>205</v>
      </c>
      <c r="F48" s="96" t="s">
        <v>223</v>
      </c>
    </row>
  </sheetData>
  <mergeCells count="20">
    <mergeCell ref="B5:M5"/>
    <mergeCell ref="B8:M8"/>
    <mergeCell ref="B11:M11"/>
    <mergeCell ref="L3:L4"/>
    <mergeCell ref="M3:M4"/>
    <mergeCell ref="G3:G4"/>
    <mergeCell ref="H3:K3"/>
    <mergeCell ref="A1:N2"/>
    <mergeCell ref="A3:A4"/>
    <mergeCell ref="N3:N4"/>
    <mergeCell ref="B3:B4"/>
    <mergeCell ref="C3:C4"/>
    <mergeCell ref="D3:D4"/>
    <mergeCell ref="E3:E4"/>
    <mergeCell ref="F3:F4"/>
    <mergeCell ref="B17:M17"/>
    <mergeCell ref="B21:M21"/>
    <mergeCell ref="B26:M26"/>
    <mergeCell ref="B31:M31"/>
    <mergeCell ref="B35:M3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N47"/>
  <sheetViews>
    <sheetView topLeftCell="A4" workbookViewId="0">
      <selection activeCell="G42" sqref="G42"/>
    </sheetView>
  </sheetViews>
  <sheetFormatPr baseColWidth="10" defaultColWidth="8.7109375" defaultRowHeight="13" x14ac:dyDescent="0"/>
  <cols>
    <col min="1" max="1" width="8.7109375" style="44"/>
    <col min="2" max="2" width="28.28515625" style="4" bestFit="1" customWidth="1"/>
    <col min="3" max="3" width="27.140625" style="1" bestFit="1" customWidth="1"/>
    <col min="4" max="4" width="10.5703125" style="1" bestFit="1" customWidth="1"/>
    <col min="5" max="5" width="8.42578125" style="1" bestFit="1" customWidth="1"/>
    <col min="6" max="6" width="22.7109375" style="1" bestFit="1" customWidth="1"/>
    <col min="7" max="7" width="27.140625" style="5" customWidth="1"/>
    <col min="8" max="10" width="5.5703125" style="1" bestFit="1" customWidth="1"/>
    <col min="11" max="11" width="4.5703125" style="1" bestFit="1" customWidth="1"/>
    <col min="12" max="12" width="7.85546875" style="44" bestFit="1" customWidth="1"/>
    <col min="13" max="13" width="8.5703125" style="1" bestFit="1" customWidth="1"/>
    <col min="14" max="14" width="15.42578125" style="5" customWidth="1"/>
    <col min="15" max="16384" width="8.7109375" style="1"/>
  </cols>
  <sheetData>
    <row r="1" spans="1:14" ht="15" customHeight="1">
      <c r="A1" s="107" t="s">
        <v>401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ht="73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14" s="2" customFormat="1" ht="12.75" customHeight="1">
      <c r="A3" s="117" t="s">
        <v>325</v>
      </c>
      <c r="B3" s="117" t="s">
        <v>0</v>
      </c>
      <c r="C3" s="119" t="s">
        <v>361</v>
      </c>
      <c r="D3" s="119" t="s">
        <v>359</v>
      </c>
      <c r="E3" s="111" t="s">
        <v>9</v>
      </c>
      <c r="F3" s="111" t="s">
        <v>7</v>
      </c>
      <c r="G3" s="120" t="s">
        <v>360</v>
      </c>
      <c r="H3" s="111" t="s">
        <v>2</v>
      </c>
      <c r="I3" s="111"/>
      <c r="J3" s="111"/>
      <c r="K3" s="111"/>
      <c r="L3" s="111" t="s">
        <v>4</v>
      </c>
      <c r="M3" s="111" t="s">
        <v>6</v>
      </c>
      <c r="N3" s="113" t="s">
        <v>5</v>
      </c>
    </row>
    <row r="4" spans="1:14" s="2" customFormat="1" ht="21" customHeight="1" thickBot="1">
      <c r="A4" s="118"/>
      <c r="B4" s="118"/>
      <c r="C4" s="112"/>
      <c r="D4" s="112"/>
      <c r="E4" s="112"/>
      <c r="F4" s="112"/>
      <c r="G4" s="121"/>
      <c r="H4" s="3">
        <v>1</v>
      </c>
      <c r="I4" s="3">
        <v>2</v>
      </c>
      <c r="J4" s="3">
        <v>3</v>
      </c>
      <c r="K4" s="3" t="s">
        <v>8</v>
      </c>
      <c r="L4" s="112"/>
      <c r="M4" s="112"/>
      <c r="N4" s="114"/>
    </row>
    <row r="5" spans="1:14" ht="16">
      <c r="B5" s="123" t="s">
        <v>10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4">
      <c r="A6" s="45" t="s">
        <v>326</v>
      </c>
      <c r="B6" s="6" t="s">
        <v>11</v>
      </c>
      <c r="C6" s="7" t="s">
        <v>12</v>
      </c>
      <c r="D6" s="7" t="s">
        <v>13</v>
      </c>
      <c r="E6" s="7" t="str">
        <f>"1,1783"</f>
        <v>1,1783</v>
      </c>
      <c r="F6" s="7" t="s">
        <v>348</v>
      </c>
      <c r="G6" s="8" t="s">
        <v>14</v>
      </c>
      <c r="H6" s="67" t="s">
        <v>15</v>
      </c>
      <c r="I6" s="68" t="s">
        <v>16</v>
      </c>
      <c r="J6" s="68" t="s">
        <v>16</v>
      </c>
      <c r="K6" s="69"/>
      <c r="L6" s="45" t="s">
        <v>17</v>
      </c>
      <c r="M6" s="45" t="str">
        <f>"82,4810"</f>
        <v>82,4810</v>
      </c>
      <c r="N6" s="8" t="s">
        <v>18</v>
      </c>
    </row>
    <row r="8" spans="1:14" ht="16">
      <c r="B8" s="122" t="s">
        <v>19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4">
      <c r="A9" s="45" t="s">
        <v>326</v>
      </c>
      <c r="B9" s="6" t="s">
        <v>20</v>
      </c>
      <c r="C9" s="7" t="s">
        <v>21</v>
      </c>
      <c r="D9" s="7" t="s">
        <v>22</v>
      </c>
      <c r="E9" s="7" t="str">
        <f>"1,3354"</f>
        <v>1,3354</v>
      </c>
      <c r="F9" s="7" t="s">
        <v>348</v>
      </c>
      <c r="G9" s="8" t="s">
        <v>14</v>
      </c>
      <c r="H9" s="67" t="s">
        <v>23</v>
      </c>
      <c r="I9" s="67" t="s">
        <v>24</v>
      </c>
      <c r="J9" s="68" t="s">
        <v>25</v>
      </c>
      <c r="K9" s="69"/>
      <c r="L9" s="45" t="s">
        <v>26</v>
      </c>
      <c r="M9" s="45" t="str">
        <f>"33,3850"</f>
        <v>33,3850</v>
      </c>
      <c r="N9" s="8" t="s">
        <v>382</v>
      </c>
    </row>
    <row r="11" spans="1:14" ht="16">
      <c r="B11" s="122" t="s">
        <v>10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4">
      <c r="A12" s="46" t="s">
        <v>326</v>
      </c>
      <c r="B12" s="9" t="s">
        <v>27</v>
      </c>
      <c r="C12" s="10" t="s">
        <v>28</v>
      </c>
      <c r="D12" s="10" t="s">
        <v>29</v>
      </c>
      <c r="E12" s="10" t="str">
        <f>"0,9103"</f>
        <v>0,9103</v>
      </c>
      <c r="F12" s="10" t="s">
        <v>348</v>
      </c>
      <c r="G12" s="11" t="s">
        <v>30</v>
      </c>
      <c r="H12" s="70" t="s">
        <v>31</v>
      </c>
      <c r="I12" s="70" t="s">
        <v>15</v>
      </c>
      <c r="J12" s="71" t="s">
        <v>32</v>
      </c>
      <c r="K12" s="72"/>
      <c r="L12" s="46" t="s">
        <v>17</v>
      </c>
      <c r="M12" s="46" t="str">
        <f>"63,7210"</f>
        <v>63,7210</v>
      </c>
      <c r="N12" s="11" t="s">
        <v>383</v>
      </c>
    </row>
    <row r="13" spans="1:14">
      <c r="A13" s="47" t="s">
        <v>327</v>
      </c>
      <c r="B13" s="12" t="s">
        <v>33</v>
      </c>
      <c r="C13" s="13" t="s">
        <v>34</v>
      </c>
      <c r="D13" s="13" t="s">
        <v>35</v>
      </c>
      <c r="E13" s="13" t="str">
        <f>"0,9439"</f>
        <v>0,9439</v>
      </c>
      <c r="F13" s="13" t="s">
        <v>348</v>
      </c>
      <c r="G13" s="14" t="s">
        <v>14</v>
      </c>
      <c r="H13" s="73" t="s">
        <v>36</v>
      </c>
      <c r="I13" s="73" t="s">
        <v>37</v>
      </c>
      <c r="J13" s="73" t="s">
        <v>38</v>
      </c>
      <c r="K13" s="74"/>
      <c r="L13" s="47" t="s">
        <v>39</v>
      </c>
      <c r="M13" s="47" t="str">
        <f>"49,5547"</f>
        <v>49,5547</v>
      </c>
      <c r="N13" s="14" t="s">
        <v>363</v>
      </c>
    </row>
    <row r="15" spans="1:14" ht="16">
      <c r="B15" s="122" t="s">
        <v>40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4">
      <c r="A16" s="46" t="s">
        <v>326</v>
      </c>
      <c r="B16" s="9" t="s">
        <v>41</v>
      </c>
      <c r="C16" s="10" t="s">
        <v>42</v>
      </c>
      <c r="D16" s="10" t="s">
        <v>43</v>
      </c>
      <c r="E16" s="98" t="str">
        <f>"0,6749"</f>
        <v>0,6749</v>
      </c>
      <c r="F16" s="10" t="s">
        <v>348</v>
      </c>
      <c r="G16" s="101" t="s">
        <v>14</v>
      </c>
      <c r="H16" s="70" t="s">
        <v>44</v>
      </c>
      <c r="I16" s="70" t="s">
        <v>45</v>
      </c>
      <c r="J16" s="70" t="s">
        <v>46</v>
      </c>
      <c r="K16" s="72"/>
      <c r="L16" s="46" t="s">
        <v>47</v>
      </c>
      <c r="M16" s="46" t="str">
        <f>"59,0537"</f>
        <v>59,0537</v>
      </c>
      <c r="N16" s="11" t="s">
        <v>363</v>
      </c>
    </row>
    <row r="17" spans="1:14">
      <c r="A17" s="48" t="s">
        <v>326</v>
      </c>
      <c r="B17" s="15" t="s">
        <v>48</v>
      </c>
      <c r="C17" s="16" t="s">
        <v>49</v>
      </c>
      <c r="D17" s="16" t="s">
        <v>50</v>
      </c>
      <c r="E17" s="99" t="str">
        <f>"0,6699"</f>
        <v>0,6699</v>
      </c>
      <c r="F17" s="16" t="s">
        <v>348</v>
      </c>
      <c r="G17" s="102" t="s">
        <v>51</v>
      </c>
      <c r="H17" s="76" t="s">
        <v>52</v>
      </c>
      <c r="I17" s="76" t="s">
        <v>53</v>
      </c>
      <c r="J17" s="77" t="s">
        <v>54</v>
      </c>
      <c r="K17" s="75"/>
      <c r="L17" s="48" t="s">
        <v>55</v>
      </c>
      <c r="M17" s="48" t="str">
        <f>"90,4365"</f>
        <v>90,4365</v>
      </c>
      <c r="N17" s="17" t="s">
        <v>18</v>
      </c>
    </row>
    <row r="18" spans="1:14">
      <c r="A18" s="48" t="s">
        <v>326</v>
      </c>
      <c r="B18" s="15" t="s">
        <v>56</v>
      </c>
      <c r="C18" s="16" t="s">
        <v>57</v>
      </c>
      <c r="D18" s="16" t="s">
        <v>58</v>
      </c>
      <c r="E18" s="99" t="str">
        <f>"0,6893"</f>
        <v>0,6893</v>
      </c>
      <c r="F18" s="16" t="s">
        <v>348</v>
      </c>
      <c r="G18" s="102" t="s">
        <v>59</v>
      </c>
      <c r="H18" s="76" t="s">
        <v>60</v>
      </c>
      <c r="I18" s="77" t="s">
        <v>61</v>
      </c>
      <c r="J18" s="76" t="s">
        <v>61</v>
      </c>
      <c r="K18" s="75"/>
      <c r="L18" s="48" t="s">
        <v>62</v>
      </c>
      <c r="M18" s="48" t="str">
        <f>"106,8415"</f>
        <v>106,8415</v>
      </c>
      <c r="N18" s="17" t="s">
        <v>384</v>
      </c>
    </row>
    <row r="19" spans="1:14">
      <c r="A19" s="47" t="s">
        <v>327</v>
      </c>
      <c r="B19" s="12" t="s">
        <v>63</v>
      </c>
      <c r="C19" s="13" t="s">
        <v>64</v>
      </c>
      <c r="D19" s="13" t="s">
        <v>65</v>
      </c>
      <c r="E19" s="100" t="str">
        <f>"0,7036"</f>
        <v>0,7036</v>
      </c>
      <c r="F19" s="13" t="s">
        <v>348</v>
      </c>
      <c r="G19" s="103" t="s">
        <v>66</v>
      </c>
      <c r="H19" s="73" t="s">
        <v>60</v>
      </c>
      <c r="I19" s="78" t="s">
        <v>67</v>
      </c>
      <c r="J19" s="78" t="s">
        <v>68</v>
      </c>
      <c r="K19" s="74"/>
      <c r="L19" s="47" t="s">
        <v>69</v>
      </c>
      <c r="M19" s="47" t="str">
        <f>"102,0220"</f>
        <v>102,0220</v>
      </c>
      <c r="N19" s="14" t="s">
        <v>18</v>
      </c>
    </row>
    <row r="21" spans="1:14" ht="16">
      <c r="B21" s="122" t="s">
        <v>70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4">
      <c r="A22" s="46" t="s">
        <v>326</v>
      </c>
      <c r="B22" s="9" t="s">
        <v>71</v>
      </c>
      <c r="C22" s="10" t="s">
        <v>72</v>
      </c>
      <c r="D22" s="10" t="s">
        <v>73</v>
      </c>
      <c r="E22" s="10" t="str">
        <f>"0,6447"</f>
        <v>0,6447</v>
      </c>
      <c r="F22" s="10" t="s">
        <v>348</v>
      </c>
      <c r="G22" s="11" t="s">
        <v>14</v>
      </c>
      <c r="H22" s="70" t="s">
        <v>61</v>
      </c>
      <c r="I22" s="70" t="s">
        <v>74</v>
      </c>
      <c r="J22" s="71" t="s">
        <v>75</v>
      </c>
      <c r="K22" s="72"/>
      <c r="L22" s="46" t="s">
        <v>76</v>
      </c>
      <c r="M22" s="46" t="str">
        <f>"103,1520"</f>
        <v>103,1520</v>
      </c>
      <c r="N22" s="11" t="s">
        <v>18</v>
      </c>
    </row>
    <row r="23" spans="1:14">
      <c r="A23" s="47" t="s">
        <v>326</v>
      </c>
      <c r="B23" s="12" t="s">
        <v>82</v>
      </c>
      <c r="C23" s="13" t="s">
        <v>83</v>
      </c>
      <c r="D23" s="13" t="s">
        <v>84</v>
      </c>
      <c r="E23" s="13" t="str">
        <f>"0,6406"</f>
        <v>0,6406</v>
      </c>
      <c r="F23" s="13" t="s">
        <v>348</v>
      </c>
      <c r="G23" s="14" t="s">
        <v>14</v>
      </c>
      <c r="H23" s="73" t="s">
        <v>67</v>
      </c>
      <c r="I23" s="78" t="s">
        <v>85</v>
      </c>
      <c r="J23" s="78" t="s">
        <v>85</v>
      </c>
      <c r="K23" s="74"/>
      <c r="L23" s="47" t="s">
        <v>86</v>
      </c>
      <c r="M23" s="47" t="str">
        <f>"101,8586"</f>
        <v>101,8586</v>
      </c>
      <c r="N23" s="14" t="s">
        <v>334</v>
      </c>
    </row>
    <row r="25" spans="1:14" ht="16">
      <c r="B25" s="122" t="s">
        <v>87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4">
      <c r="A26" s="46" t="s">
        <v>326</v>
      </c>
      <c r="B26" s="9" t="s">
        <v>88</v>
      </c>
      <c r="C26" s="10" t="s">
        <v>89</v>
      </c>
      <c r="D26" s="10" t="s">
        <v>90</v>
      </c>
      <c r="E26" s="98" t="str">
        <f>"0,6217"</f>
        <v>0,6217</v>
      </c>
      <c r="F26" s="10" t="s">
        <v>348</v>
      </c>
      <c r="G26" s="101" t="s">
        <v>91</v>
      </c>
      <c r="H26" s="70" t="s">
        <v>92</v>
      </c>
      <c r="I26" s="70" t="s">
        <v>93</v>
      </c>
      <c r="J26" s="70" t="s">
        <v>94</v>
      </c>
      <c r="K26" s="72"/>
      <c r="L26" s="46" t="s">
        <v>95</v>
      </c>
      <c r="M26" s="46" t="str">
        <f>"118,1230"</f>
        <v>118,1230</v>
      </c>
      <c r="N26" s="11" t="s">
        <v>18</v>
      </c>
    </row>
    <row r="27" spans="1:14">
      <c r="A27" s="48" t="s">
        <v>327</v>
      </c>
      <c r="B27" s="15" t="s">
        <v>96</v>
      </c>
      <c r="C27" s="16" t="s">
        <v>97</v>
      </c>
      <c r="D27" s="16" t="s">
        <v>98</v>
      </c>
      <c r="E27" s="99" t="str">
        <f>"0,6191"</f>
        <v>0,6191</v>
      </c>
      <c r="F27" s="16" t="s">
        <v>348</v>
      </c>
      <c r="G27" s="102" t="s">
        <v>14</v>
      </c>
      <c r="H27" s="76" t="s">
        <v>74</v>
      </c>
      <c r="I27" s="76" t="s">
        <v>99</v>
      </c>
      <c r="J27" s="76" t="s">
        <v>100</v>
      </c>
      <c r="K27" s="75"/>
      <c r="L27" s="48" t="s">
        <v>101</v>
      </c>
      <c r="M27" s="48" t="str">
        <f>"106,7947"</f>
        <v>106,7947</v>
      </c>
      <c r="N27" s="17" t="s">
        <v>366</v>
      </c>
    </row>
    <row r="28" spans="1:14">
      <c r="A28" s="47" t="s">
        <v>328</v>
      </c>
      <c r="B28" s="12" t="s">
        <v>102</v>
      </c>
      <c r="C28" s="13" t="s">
        <v>103</v>
      </c>
      <c r="D28" s="13" t="s">
        <v>104</v>
      </c>
      <c r="E28" s="100" t="str">
        <f>"0,6325"</f>
        <v>0,6325</v>
      </c>
      <c r="F28" s="13" t="s">
        <v>348</v>
      </c>
      <c r="G28" s="103" t="s">
        <v>14</v>
      </c>
      <c r="H28" s="73" t="s">
        <v>53</v>
      </c>
      <c r="I28" s="73" t="s">
        <v>105</v>
      </c>
      <c r="J28" s="78" t="s">
        <v>106</v>
      </c>
      <c r="K28" s="74"/>
      <c r="L28" s="47" t="s">
        <v>107</v>
      </c>
      <c r="M28" s="47" t="str">
        <f>"86,9687"</f>
        <v>86,9687</v>
      </c>
      <c r="N28" s="14" t="s">
        <v>18</v>
      </c>
    </row>
    <row r="30" spans="1:14" ht="16">
      <c r="B30" s="122" t="s">
        <v>108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4">
      <c r="A31" s="46" t="s">
        <v>326</v>
      </c>
      <c r="B31" s="9" t="s">
        <v>109</v>
      </c>
      <c r="C31" s="10" t="s">
        <v>110</v>
      </c>
      <c r="D31" s="10" t="s">
        <v>111</v>
      </c>
      <c r="E31" s="98" t="str">
        <f>"0,5960"</f>
        <v>0,5960</v>
      </c>
      <c r="F31" s="10" t="s">
        <v>348</v>
      </c>
      <c r="G31" s="101" t="s">
        <v>112</v>
      </c>
      <c r="H31" s="70" t="s">
        <v>113</v>
      </c>
      <c r="I31" s="71" t="s">
        <v>114</v>
      </c>
      <c r="J31" s="72"/>
      <c r="K31" s="72"/>
      <c r="L31" s="46" t="s">
        <v>115</v>
      </c>
      <c r="M31" s="46" t="str">
        <f>"119,2000"</f>
        <v>119,2000</v>
      </c>
      <c r="N31" s="11" t="s">
        <v>18</v>
      </c>
    </row>
    <row r="32" spans="1:14">
      <c r="A32" s="48" t="s">
        <v>327</v>
      </c>
      <c r="B32" s="15" t="s">
        <v>116</v>
      </c>
      <c r="C32" s="16" t="s">
        <v>117</v>
      </c>
      <c r="D32" s="16" t="s">
        <v>118</v>
      </c>
      <c r="E32" s="99" t="str">
        <f>"0,5919"</f>
        <v>0,5919</v>
      </c>
      <c r="F32" s="16" t="s">
        <v>348</v>
      </c>
      <c r="G32" s="102" t="s">
        <v>14</v>
      </c>
      <c r="H32" s="76" t="s">
        <v>119</v>
      </c>
      <c r="I32" s="76" t="s">
        <v>94</v>
      </c>
      <c r="J32" s="76" t="s">
        <v>120</v>
      </c>
      <c r="K32" s="75"/>
      <c r="L32" s="48" t="s">
        <v>121</v>
      </c>
      <c r="M32" s="48" t="str">
        <f>"113,9407"</f>
        <v>113,9407</v>
      </c>
      <c r="N32" s="17" t="s">
        <v>18</v>
      </c>
    </row>
    <row r="33" spans="1:14">
      <c r="A33" s="47" t="s">
        <v>326</v>
      </c>
      <c r="B33" s="12" t="s">
        <v>122</v>
      </c>
      <c r="C33" s="13" t="s">
        <v>123</v>
      </c>
      <c r="D33" s="13" t="s">
        <v>124</v>
      </c>
      <c r="E33" s="100" t="str">
        <f>"0,6039"</f>
        <v>0,6039</v>
      </c>
      <c r="F33" s="13" t="s">
        <v>348</v>
      </c>
      <c r="G33" s="103" t="s">
        <v>14</v>
      </c>
      <c r="H33" s="73" t="s">
        <v>125</v>
      </c>
      <c r="I33" s="78" t="s">
        <v>53</v>
      </c>
      <c r="J33" s="76" t="s">
        <v>106</v>
      </c>
      <c r="K33" s="74"/>
      <c r="L33" s="47" t="s">
        <v>126</v>
      </c>
      <c r="M33" s="47" t="str">
        <f>"94,1842"</f>
        <v>94,1842</v>
      </c>
      <c r="N33" s="14" t="s">
        <v>385</v>
      </c>
    </row>
    <row r="35" spans="1:14" ht="16">
      <c r="B35" s="122" t="s">
        <v>127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4">
      <c r="A36" s="46" t="s">
        <v>326</v>
      </c>
      <c r="B36" s="9" t="s">
        <v>128</v>
      </c>
      <c r="C36" s="10" t="s">
        <v>129</v>
      </c>
      <c r="D36" s="10" t="s">
        <v>130</v>
      </c>
      <c r="E36" s="10" t="str">
        <f>"0,5782"</f>
        <v>0,5782</v>
      </c>
      <c r="F36" s="10" t="s">
        <v>348</v>
      </c>
      <c r="G36" s="11" t="s">
        <v>30</v>
      </c>
      <c r="H36" s="70" t="s">
        <v>113</v>
      </c>
      <c r="I36" s="70" t="s">
        <v>131</v>
      </c>
      <c r="J36" s="71" t="s">
        <v>132</v>
      </c>
      <c r="K36" s="72"/>
      <c r="L36" s="46" t="s">
        <v>133</v>
      </c>
      <c r="M36" s="46" t="str">
        <f>"121,4220"</f>
        <v>121,4220</v>
      </c>
      <c r="N36" s="11" t="s">
        <v>386</v>
      </c>
    </row>
    <row r="37" spans="1:14">
      <c r="A37" s="47" t="s">
        <v>326</v>
      </c>
      <c r="B37" s="12" t="s">
        <v>134</v>
      </c>
      <c r="C37" s="13" t="s">
        <v>135</v>
      </c>
      <c r="D37" s="13" t="s">
        <v>136</v>
      </c>
      <c r="E37" s="13" t="str">
        <f>"0,5791"</f>
        <v>0,5791</v>
      </c>
      <c r="F37" s="13" t="s">
        <v>348</v>
      </c>
      <c r="G37" s="14" t="s">
        <v>14</v>
      </c>
      <c r="H37" s="78" t="s">
        <v>92</v>
      </c>
      <c r="I37" s="73" t="s">
        <v>137</v>
      </c>
      <c r="J37" s="73" t="s">
        <v>94</v>
      </c>
      <c r="K37" s="74"/>
      <c r="L37" s="47" t="s">
        <v>95</v>
      </c>
      <c r="M37" s="47" t="str">
        <f>"110,5791"</f>
        <v>110,5791</v>
      </c>
      <c r="N37" s="14" t="s">
        <v>18</v>
      </c>
    </row>
    <row r="39" spans="1:14" ht="16">
      <c r="F39" s="97"/>
    </row>
    <row r="41" spans="1:14" ht="18">
      <c r="B41" s="18" t="s">
        <v>138</v>
      </c>
      <c r="C41" s="19"/>
    </row>
    <row r="42" spans="1:14" ht="16">
      <c r="B42" s="20" t="s">
        <v>145</v>
      </c>
      <c r="C42" s="21"/>
    </row>
    <row r="43" spans="1:14" ht="14">
      <c r="B43" s="23"/>
      <c r="C43" s="24"/>
    </row>
    <row r="44" spans="1:14" ht="14">
      <c r="A44" s="45"/>
      <c r="B44" s="25" t="s">
        <v>140</v>
      </c>
      <c r="C44" s="25" t="s">
        <v>141</v>
      </c>
      <c r="D44" s="25" t="s">
        <v>142</v>
      </c>
      <c r="E44" s="25" t="s">
        <v>143</v>
      </c>
      <c r="F44" s="25" t="s">
        <v>144</v>
      </c>
    </row>
    <row r="45" spans="1:14">
      <c r="A45" s="44" t="s">
        <v>326</v>
      </c>
      <c r="B45" s="22" t="s">
        <v>128</v>
      </c>
      <c r="C45" s="1" t="s">
        <v>139</v>
      </c>
      <c r="D45" s="1" t="s">
        <v>380</v>
      </c>
      <c r="E45" s="1" t="s">
        <v>131</v>
      </c>
      <c r="F45" s="44" t="s">
        <v>146</v>
      </c>
    </row>
    <row r="46" spans="1:14">
      <c r="A46" s="44" t="s">
        <v>327</v>
      </c>
      <c r="B46" s="22" t="s">
        <v>109</v>
      </c>
      <c r="C46" s="1" t="s">
        <v>139</v>
      </c>
      <c r="D46" s="1" t="s">
        <v>364</v>
      </c>
      <c r="E46" s="1" t="s">
        <v>113</v>
      </c>
      <c r="F46" s="44" t="s">
        <v>147</v>
      </c>
    </row>
    <row r="47" spans="1:14">
      <c r="A47" s="44" t="s">
        <v>328</v>
      </c>
      <c r="B47" s="22" t="s">
        <v>88</v>
      </c>
      <c r="C47" s="1" t="s">
        <v>139</v>
      </c>
      <c r="D47" s="1" t="s">
        <v>381</v>
      </c>
      <c r="E47" s="1" t="s">
        <v>94</v>
      </c>
      <c r="F47" s="44" t="s">
        <v>148</v>
      </c>
    </row>
  </sheetData>
  <mergeCells count="20">
    <mergeCell ref="A1:N2"/>
    <mergeCell ref="A3:A4"/>
    <mergeCell ref="B11:M11"/>
    <mergeCell ref="E3:E4"/>
    <mergeCell ref="L3:L4"/>
    <mergeCell ref="M3:M4"/>
    <mergeCell ref="H3:K3"/>
    <mergeCell ref="B3:B4"/>
    <mergeCell ref="C3:C4"/>
    <mergeCell ref="D3:D4"/>
    <mergeCell ref="N3:N4"/>
    <mergeCell ref="G3:G4"/>
    <mergeCell ref="F3:F4"/>
    <mergeCell ref="B5:M5"/>
    <mergeCell ref="B8:M8"/>
    <mergeCell ref="B15:M15"/>
    <mergeCell ref="B21:M21"/>
    <mergeCell ref="B25:M25"/>
    <mergeCell ref="B30:M30"/>
    <mergeCell ref="B35:M35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/>
  <headerFooter alignWithMargins="0">
    <oddFooter>&amp;L&amp;G&amp;R&amp;D&amp;T&amp;P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Парная тяга</vt:lpstr>
      <vt:lpstr>Становая тяга без экипы ДК</vt:lpstr>
      <vt:lpstr>Становая тяга без экипы</vt:lpstr>
      <vt:lpstr>Пауэрлифтинг в бинтах</vt:lpstr>
      <vt:lpstr>Пауэрлифтинг без экипы</vt:lpstr>
      <vt:lpstr>Жим лежа многослое ДК</vt:lpstr>
      <vt:lpstr>Жим лежа в однослое</vt:lpstr>
      <vt:lpstr>Жим лежа без экипы ДК</vt:lpstr>
      <vt:lpstr>Жим лежа без экипы</vt:lpstr>
      <vt:lpstr>НЖ 1 вес ДК</vt:lpstr>
      <vt:lpstr>НЖ 1 вес</vt:lpstr>
      <vt:lpstr>Судейство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Сергей Длужневский</cp:lastModifiedBy>
  <cp:lastPrinted>2015-07-16T19:10:53Z</cp:lastPrinted>
  <dcterms:created xsi:type="dcterms:W3CDTF">2002-06-16T13:36:44Z</dcterms:created>
  <dcterms:modified xsi:type="dcterms:W3CDTF">2016-02-23T15:24:55Z</dcterms:modified>
</cp:coreProperties>
</file>