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705" activeTab="0"/>
  </bookViews>
  <sheets>
    <sheet name="Пауэрлифтинг в односл. экип. ДК" sheetId="1" r:id="rId1"/>
    <sheet name="Пауэрлифтинг в однослойной экип" sheetId="2" r:id="rId2"/>
    <sheet name="Жим лежа в однослойной экип. ДК" sheetId="3" r:id="rId3"/>
    <sheet name="Жим лежа в односл. эипировке" sheetId="4" r:id="rId4"/>
    <sheet name="Становая тяга в экипировке" sheetId="5" r:id="rId5"/>
    <sheet name="Народный жим 1 вес ДК" sheetId="6" r:id="rId6"/>
    <sheet name="Народный жим 1 вес" sheetId="7" r:id="rId7"/>
    <sheet name="Народный жим 1_2 веса" sheetId="8" r:id="rId8"/>
    <sheet name="Жим лежа SOFT экипировка ДК" sheetId="9" r:id="rId9"/>
    <sheet name="Жим лежа SOFT экипировка" sheetId="10" r:id="rId10"/>
    <sheet name="Пауэрспорт ДК" sheetId="11" r:id="rId11"/>
    <sheet name="Пауэрспорт" sheetId="12" r:id="rId12"/>
    <sheet name="WRPF становая тяга ДК" sheetId="13" r:id="rId13"/>
    <sheet name="WRPF становая тяга" sheetId="14" r:id="rId14"/>
    <sheet name="WRPF жим лежа ДК" sheetId="15" r:id="rId15"/>
    <sheet name="WRPF жим лежа" sheetId="16" r:id="rId16"/>
    <sheet name="WRPF пауэрлифтинг ДК" sheetId="17" r:id="rId17"/>
    <sheet name="WRPF паурлифтинг" sheetId="18" r:id="rId18"/>
    <sheet name="Командное первенство" sheetId="19" r:id="rId19"/>
  </sheets>
  <definedNames/>
  <calcPr fullCalcOnLoad="1"/>
</workbook>
</file>

<file path=xl/sharedStrings.xml><?xml version="1.0" encoding="utf-8"?>
<sst xmlns="http://schemas.openxmlformats.org/spreadsheetml/2006/main" count="1687" uniqueCount="574">
  <si>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</si>
  <si>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</si>
  <si>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</si>
  <si>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</si>
  <si>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</si>
  <si>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</si>
  <si>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</si>
  <si>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</si>
  <si>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</si>
  <si>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</si>
  <si>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60</t>
  </si>
  <si>
    <t>Open (15.05.1990)/26</t>
  </si>
  <si>
    <t>59,20</t>
  </si>
  <si>
    <t xml:space="preserve">Лично </t>
  </si>
  <si>
    <t xml:space="preserve">Тольятти/Самарская область </t>
  </si>
  <si>
    <t>50,0</t>
  </si>
  <si>
    <t>65,0</t>
  </si>
  <si>
    <t>75,0</t>
  </si>
  <si>
    <t>35,0</t>
  </si>
  <si>
    <t>40,0</t>
  </si>
  <si>
    <t>45,0</t>
  </si>
  <si>
    <t>60,0</t>
  </si>
  <si>
    <t>70,0</t>
  </si>
  <si>
    <t>80,0</t>
  </si>
  <si>
    <t>Sub Junior 17-19 (08.01.1998)/18</t>
  </si>
  <si>
    <t>59,50</t>
  </si>
  <si>
    <t xml:space="preserve">Ртищево/Саратовская область </t>
  </si>
  <si>
    <t>82,5</t>
  </si>
  <si>
    <t>90,0</t>
  </si>
  <si>
    <t>57,5</t>
  </si>
  <si>
    <t>62,5</t>
  </si>
  <si>
    <t>67,5</t>
  </si>
  <si>
    <t>105,0</t>
  </si>
  <si>
    <t>117,5</t>
  </si>
  <si>
    <t>125,0</t>
  </si>
  <si>
    <t>ВЕСОВАЯ КАТЕГОРИЯ   67.5</t>
  </si>
  <si>
    <t>Junior (04.04.1994)/22</t>
  </si>
  <si>
    <t>65,10</t>
  </si>
  <si>
    <t>135,0</t>
  </si>
  <si>
    <t>140,0</t>
  </si>
  <si>
    <t>95,0</t>
  </si>
  <si>
    <t>100,0</t>
  </si>
  <si>
    <t>102,5</t>
  </si>
  <si>
    <t>175,0</t>
  </si>
  <si>
    <t>185,0</t>
  </si>
  <si>
    <t>187,5</t>
  </si>
  <si>
    <t>ВЕСОВАЯ КАТЕГОРИЯ   75</t>
  </si>
  <si>
    <t>Sub Junior 17-19 (01.12.1998)/17</t>
  </si>
  <si>
    <t>67,60</t>
  </si>
  <si>
    <t>110,0</t>
  </si>
  <si>
    <t>150,0</t>
  </si>
  <si>
    <t>Junior (07.03.1994)/22</t>
  </si>
  <si>
    <t>72,90</t>
  </si>
  <si>
    <t>130,0</t>
  </si>
  <si>
    <t>115,0</t>
  </si>
  <si>
    <t>180,0</t>
  </si>
  <si>
    <t>195,0</t>
  </si>
  <si>
    <t>210,0</t>
  </si>
  <si>
    <t xml:space="preserve">Антипов/Прокопьев </t>
  </si>
  <si>
    <t>ВЕСОВАЯ КАТЕГОРИЯ   90</t>
  </si>
  <si>
    <t>Junior (18.12.1993)/22</t>
  </si>
  <si>
    <t>89,20</t>
  </si>
  <si>
    <t>155,0</t>
  </si>
  <si>
    <t>160,0</t>
  </si>
  <si>
    <t>112,5</t>
  </si>
  <si>
    <t>152,5</t>
  </si>
  <si>
    <t>165,0</t>
  </si>
  <si>
    <t>Open (01.05.1986)/30</t>
  </si>
  <si>
    <t>87,40</t>
  </si>
  <si>
    <t>220,0</t>
  </si>
  <si>
    <t>235,0</t>
  </si>
  <si>
    <t>245,0</t>
  </si>
  <si>
    <t>Open (28.10.1984)/32</t>
  </si>
  <si>
    <t>86,70</t>
  </si>
  <si>
    <t xml:space="preserve">Fizкультура </t>
  </si>
  <si>
    <t xml:space="preserve">Самара/Самарская область </t>
  </si>
  <si>
    <t>170,0</t>
  </si>
  <si>
    <t xml:space="preserve">Трошинский Вячеслав </t>
  </si>
  <si>
    <t>ВЕСОВАЯ КАТЕГОРИЯ   100</t>
  </si>
  <si>
    <t>Junior (11.03.1993)/23</t>
  </si>
  <si>
    <t>96,60</t>
  </si>
  <si>
    <t>200,0</t>
  </si>
  <si>
    <t>ВЕСОВАЯ КАТЕГОРИЯ   110</t>
  </si>
  <si>
    <t>Open (21.08.1974)/42</t>
  </si>
  <si>
    <t>109,40</t>
  </si>
  <si>
    <t xml:space="preserve">Орск </t>
  </si>
  <si>
    <t xml:space="preserve">Орск/Оренбургская область </t>
  </si>
  <si>
    <t>250,0</t>
  </si>
  <si>
    <t>290,0</t>
  </si>
  <si>
    <t>230,0</t>
  </si>
  <si>
    <t>260,0</t>
  </si>
  <si>
    <t>Open (22.11.1982)/33</t>
  </si>
  <si>
    <t>101,20</t>
  </si>
  <si>
    <t>280,0</t>
  </si>
  <si>
    <t>300,0</t>
  </si>
  <si>
    <t>312,5</t>
  </si>
  <si>
    <t xml:space="preserve">Логинова О. </t>
  </si>
  <si>
    <t>Open (16.01.1988)/28</t>
  </si>
  <si>
    <t>104,30</t>
  </si>
  <si>
    <t>190,0</t>
  </si>
  <si>
    <t>205,0</t>
  </si>
  <si>
    <t>147,5</t>
  </si>
  <si>
    <t>Master 40-49 (21.08.1974)/42</t>
  </si>
  <si>
    <t>270,0</t>
  </si>
  <si>
    <t>ВЕСОВАЯ КАТЕГОРИЯ   140</t>
  </si>
  <si>
    <t>Junior (13.11.1992)/23</t>
  </si>
  <si>
    <t>126,90</t>
  </si>
  <si>
    <t>330,0</t>
  </si>
  <si>
    <t>255,0</t>
  </si>
  <si>
    <t>275,0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</si>
  <si>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</si>
  <si>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</si>
  <si>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</si>
  <si>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</si>
  <si>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</si>
  <si>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</si>
  <si>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</si>
  <si>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Мужчины </t>
  </si>
  <si>
    <t>360,0</t>
  </si>
  <si>
    <t xml:space="preserve">Юниоры </t>
  </si>
  <si>
    <t>750,0</t>
  </si>
  <si>
    <t>426,0750</t>
  </si>
  <si>
    <t>425,0</t>
  </si>
  <si>
    <t>337,5350</t>
  </si>
  <si>
    <t>455,0</t>
  </si>
  <si>
    <t>330,8305</t>
  </si>
  <si>
    <t>442,5</t>
  </si>
  <si>
    <t>445,0</t>
  </si>
  <si>
    <t>710,0</t>
  </si>
  <si>
    <t>418,5450</t>
  </si>
  <si>
    <t>690,0</t>
  </si>
  <si>
    <t>417,9330</t>
  </si>
  <si>
    <t>625,0</t>
  </si>
  <si>
    <t>405,1875</t>
  </si>
  <si>
    <t>560,0</t>
  </si>
  <si>
    <t>460,0</t>
  </si>
  <si>
    <t xml:space="preserve">Команда </t>
  </si>
  <si>
    <t xml:space="preserve">Трошинский Михаил </t>
  </si>
  <si>
    <t>Open (05.12.1989)/26</t>
  </si>
  <si>
    <t>83,50</t>
  </si>
  <si>
    <t>120,0</t>
  </si>
  <si>
    <t>142,5</t>
  </si>
  <si>
    <t>215,0</t>
  </si>
  <si>
    <t>225,0</t>
  </si>
  <si>
    <t>Junior (15.10.1996)/20</t>
  </si>
  <si>
    <t>66,30</t>
  </si>
  <si>
    <t>122,5</t>
  </si>
  <si>
    <t>127,5</t>
  </si>
  <si>
    <t>Master 40-49 (11.06.1967)/49</t>
  </si>
  <si>
    <t>67,10</t>
  </si>
  <si>
    <t xml:space="preserve">Сызрань/Самарская область </t>
  </si>
  <si>
    <t>Sub Junior 17-19 (29.03.1999)/17</t>
  </si>
  <si>
    <t>71,50</t>
  </si>
  <si>
    <t xml:space="preserve">Антонов Дмитрий </t>
  </si>
  <si>
    <t>Open (31.05.1986)/30</t>
  </si>
  <si>
    <t>72,80</t>
  </si>
  <si>
    <t xml:space="preserve">На пульсе жизни </t>
  </si>
  <si>
    <t>Master 40-49 (17.09.1974)/42</t>
  </si>
  <si>
    <t>73,80</t>
  </si>
  <si>
    <t>145,0</t>
  </si>
  <si>
    <t>ВЕСОВАЯ КАТЕГОРИЯ   82.5</t>
  </si>
  <si>
    <t>Sub Junior 17-19 (06.09.1999)/17</t>
  </si>
  <si>
    <t>80,80</t>
  </si>
  <si>
    <t>Open (25.08.1981)/35</t>
  </si>
  <si>
    <t>76,90</t>
  </si>
  <si>
    <t xml:space="preserve">Самостоятельно </t>
  </si>
  <si>
    <t>Junior (26.06.1993)/23</t>
  </si>
  <si>
    <t>89,00</t>
  </si>
  <si>
    <t>157,5</t>
  </si>
  <si>
    <t>Open (16.10.1987)/29</t>
  </si>
  <si>
    <t>87,90</t>
  </si>
  <si>
    <t>Open (29.03.1988)/28</t>
  </si>
  <si>
    <t>89,10</t>
  </si>
  <si>
    <t>Open (13.04.1982)/34</t>
  </si>
  <si>
    <t>90,00</t>
  </si>
  <si>
    <t>Open (21.02.1990)/26</t>
  </si>
  <si>
    <t>98,15</t>
  </si>
  <si>
    <t>Open (16.09.1978)/38</t>
  </si>
  <si>
    <t>108,70</t>
  </si>
  <si>
    <t>227,5</t>
  </si>
  <si>
    <t>Open (25.04.1986)/30</t>
  </si>
  <si>
    <t>104,80</t>
  </si>
  <si>
    <t xml:space="preserve">Сызрань </t>
  </si>
  <si>
    <t>172,5</t>
  </si>
  <si>
    <t>Open (05.05.1989)/27</t>
  </si>
  <si>
    <t>101,00</t>
  </si>
  <si>
    <t>132,5</t>
  </si>
  <si>
    <t>Open (01.11.1981)/34</t>
  </si>
  <si>
    <t>106,50</t>
  </si>
  <si>
    <t>Open (11.12.1981)/34</t>
  </si>
  <si>
    <t>106,70</t>
  </si>
  <si>
    <t>Master 40-49 (07.05.1972)/44</t>
  </si>
  <si>
    <t>100,40</t>
  </si>
  <si>
    <t>ВЕСОВАЯ КАТЕГОРИЯ   125</t>
  </si>
  <si>
    <t>Open (19.10.1992)/24</t>
  </si>
  <si>
    <t>112,70</t>
  </si>
  <si>
    <t>135,8610</t>
  </si>
  <si>
    <t>113,1025</t>
  </si>
  <si>
    <t>105,0750</t>
  </si>
  <si>
    <t>ВЕСОВАЯ КАТЕГОРИЯ   48</t>
  </si>
  <si>
    <t>Open (24.07.1986)/30</t>
  </si>
  <si>
    <t>47,65</t>
  </si>
  <si>
    <t>42,5</t>
  </si>
  <si>
    <t>Open (01.10.1992)/24</t>
  </si>
  <si>
    <t>65,50</t>
  </si>
  <si>
    <t xml:space="preserve">Пенза/Пензенская область </t>
  </si>
  <si>
    <t>Open (16.01.1989)/27</t>
  </si>
  <si>
    <t>73,20</t>
  </si>
  <si>
    <t xml:space="preserve">Пенза </t>
  </si>
  <si>
    <t>Master 50-59 (10.05.1966)/50</t>
  </si>
  <si>
    <t>74,60</t>
  </si>
  <si>
    <t>Open (24.06.1981)/35</t>
  </si>
  <si>
    <t>79,50</t>
  </si>
  <si>
    <t>167,5</t>
  </si>
  <si>
    <t>Open (17.07.1986)/30</t>
  </si>
  <si>
    <t>81,30</t>
  </si>
  <si>
    <t>Open (05.02.1990)/26</t>
  </si>
  <si>
    <t>81,50</t>
  </si>
  <si>
    <t xml:space="preserve">AlexFitness </t>
  </si>
  <si>
    <t>Master 50-59 (10.05.1960)/56</t>
  </si>
  <si>
    <t>82,20</t>
  </si>
  <si>
    <t>Open (04.06.1988)/28</t>
  </si>
  <si>
    <t xml:space="preserve">Димитровград/Ульяновская область </t>
  </si>
  <si>
    <t>Master 40-49 (20.07.1974)/42</t>
  </si>
  <si>
    <t>Open (09.05.1987)/29</t>
  </si>
  <si>
    <t>97,40</t>
  </si>
  <si>
    <t>162,5</t>
  </si>
  <si>
    <t>Open (29.03.1970)/46</t>
  </si>
  <si>
    <t>92,90</t>
  </si>
  <si>
    <t>Open (20.05.1990)/26</t>
  </si>
  <si>
    <t>109,70</t>
  </si>
  <si>
    <t>Open (28.10.1985)/31</t>
  </si>
  <si>
    <t>119,30</t>
  </si>
  <si>
    <t xml:space="preserve">Треско В. </t>
  </si>
  <si>
    <t>114,8045</t>
  </si>
  <si>
    <t>108,7350</t>
  </si>
  <si>
    <t>104,7645</t>
  </si>
  <si>
    <t xml:space="preserve">Стрижекозин Пётр </t>
  </si>
  <si>
    <t xml:space="preserve">Трояшкин Анатолий </t>
  </si>
  <si>
    <t xml:space="preserve">Дмитриев Вадим </t>
  </si>
  <si>
    <t>Open (09.01.1992)/24</t>
  </si>
  <si>
    <t>92,60</t>
  </si>
  <si>
    <t>Sub Junior 17-19 (25.05.1999)/17</t>
  </si>
  <si>
    <t>113,70</t>
  </si>
  <si>
    <t>Open (03.10.1978)/38</t>
  </si>
  <si>
    <t>130,40</t>
  </si>
  <si>
    <t>297,5</t>
  </si>
  <si>
    <t>168,1767</t>
  </si>
  <si>
    <t>147,3750</t>
  </si>
  <si>
    <t>144,7850</t>
  </si>
  <si>
    <t xml:space="preserve">Меркулов Дмитрий </t>
  </si>
  <si>
    <t>Open (24.05.1989)/27</t>
  </si>
  <si>
    <t>45,80</t>
  </si>
  <si>
    <t>Open (21.07.1988)/28</t>
  </si>
  <si>
    <t>80,50</t>
  </si>
  <si>
    <t>Open (26.11.1989)/26</t>
  </si>
  <si>
    <t>79,90</t>
  </si>
  <si>
    <t>222,5</t>
  </si>
  <si>
    <t>Open (27.04.1990)/26</t>
  </si>
  <si>
    <t>84,90</t>
  </si>
  <si>
    <t>232,5</t>
  </si>
  <si>
    <t>Open (27.01.1991)/25</t>
  </si>
  <si>
    <t>85,60</t>
  </si>
  <si>
    <t>Open (02.07.1985)/31</t>
  </si>
  <si>
    <t>94,70</t>
  </si>
  <si>
    <t xml:space="preserve">Тольятти </t>
  </si>
  <si>
    <t>265,0</t>
  </si>
  <si>
    <t>240,0</t>
  </si>
  <si>
    <t>166,6000</t>
  </si>
  <si>
    <t>165,9210</t>
  </si>
  <si>
    <t>165,0685</t>
  </si>
  <si>
    <t>Синчугова Алла</t>
  </si>
  <si>
    <t xml:space="preserve">Gloss </t>
  </si>
  <si>
    <t>52,5</t>
  </si>
  <si>
    <t xml:space="preserve">Спортзавод </t>
  </si>
  <si>
    <t>82,15</t>
  </si>
  <si>
    <t>Masters 50-59 (10.05.1960)/56</t>
  </si>
  <si>
    <t>20,0</t>
  </si>
  <si>
    <t>25,0</t>
  </si>
  <si>
    <t>Подъем на бицес</t>
  </si>
  <si>
    <t>Армейский жим</t>
  </si>
  <si>
    <t>Gloss</t>
  </si>
  <si>
    <t xml:space="preserve">Поляков Владислав </t>
  </si>
  <si>
    <t>86,65</t>
  </si>
  <si>
    <t>87,5</t>
  </si>
  <si>
    <t>82,35</t>
  </si>
  <si>
    <t>Open (16.05.1979)/37</t>
  </si>
  <si>
    <t>192,5</t>
  </si>
  <si>
    <t>177,5</t>
  </si>
  <si>
    <t>Open (13.07.1980)/36</t>
  </si>
  <si>
    <t>74,00</t>
  </si>
  <si>
    <t>Masters 50-59 (10.05.1966)/50</t>
  </si>
  <si>
    <t>130,35</t>
  </si>
  <si>
    <t>Masters 40-49 (07.05.1972)/44</t>
  </si>
  <si>
    <t>68,80</t>
  </si>
  <si>
    <t>Juniors 20-23 (11.10.1993)/23</t>
  </si>
  <si>
    <t>2310,0</t>
  </si>
  <si>
    <t>2070,0</t>
  </si>
  <si>
    <t>Повторы</t>
  </si>
  <si>
    <t>Вес</t>
  </si>
  <si>
    <t>1690,0</t>
  </si>
  <si>
    <t>32,5</t>
  </si>
  <si>
    <t>62,45</t>
  </si>
  <si>
    <t>Teen 13-19 (08.09.2000)/16</t>
  </si>
  <si>
    <t>На пульсе жизни</t>
  </si>
  <si>
    <t>2380,0</t>
  </si>
  <si>
    <t>1827,5</t>
  </si>
  <si>
    <t>1800,0</t>
  </si>
  <si>
    <t>2472,5</t>
  </si>
  <si>
    <t>2030,0</t>
  </si>
  <si>
    <t>2625,0</t>
  </si>
  <si>
    <t>2722,5</t>
  </si>
  <si>
    <t>2790,0</t>
  </si>
  <si>
    <t>2960,0</t>
  </si>
  <si>
    <t>2025,7900</t>
  </si>
  <si>
    <t>2600,0</t>
  </si>
  <si>
    <t>2234,0340</t>
  </si>
  <si>
    <t>2970,0</t>
  </si>
  <si>
    <t>2299,6050</t>
  </si>
  <si>
    <t>3300,0</t>
  </si>
  <si>
    <t>962,5</t>
  </si>
  <si>
    <t>1687,5</t>
  </si>
  <si>
    <t>107,5</t>
  </si>
  <si>
    <t>106,75</t>
  </si>
  <si>
    <t>Open (06.08.1973)/43</t>
  </si>
  <si>
    <t>85,0</t>
  </si>
  <si>
    <t xml:space="preserve">Лениногорск/Татарстан </t>
  </si>
  <si>
    <t>83,75</t>
  </si>
  <si>
    <t>Masters 40-49 (14.02.1976)/40</t>
  </si>
  <si>
    <t>86,00</t>
  </si>
  <si>
    <t>Juniors 20-23 (04.09.1996)/20</t>
  </si>
  <si>
    <t>77,5</t>
  </si>
  <si>
    <t>79,55</t>
  </si>
  <si>
    <t>Open (17.06.1988)/28</t>
  </si>
  <si>
    <t xml:space="preserve">Богатыри </t>
  </si>
  <si>
    <t>68,00</t>
  </si>
  <si>
    <t>Open (15.07.1992)/24</t>
  </si>
  <si>
    <t>Open (09.07.1990)/26</t>
  </si>
  <si>
    <t>64,45</t>
  </si>
  <si>
    <t>Open (07.04.1981)/35</t>
  </si>
  <si>
    <t>Open (11.06.1967)/49</t>
  </si>
  <si>
    <t xml:space="preserve">Отрадный/Самарская область </t>
  </si>
  <si>
    <t>67,25</t>
  </si>
  <si>
    <t>Juniors 20-23 (03.12.1995)/20</t>
  </si>
  <si>
    <t>272,5</t>
  </si>
  <si>
    <t>305,0</t>
  </si>
  <si>
    <t>320,0</t>
  </si>
  <si>
    <t>97,60</t>
  </si>
  <si>
    <t>Open (02.04.1987)/29</t>
  </si>
  <si>
    <t>295,0</t>
  </si>
  <si>
    <t>98,60</t>
  </si>
  <si>
    <t>Open (21.12.1976)/39</t>
  </si>
  <si>
    <t>99,35</t>
  </si>
  <si>
    <t>Open (30.03.1989)/27</t>
  </si>
  <si>
    <t>90,80</t>
  </si>
  <si>
    <t>Teen 18-19 (29.04.1997)/19</t>
  </si>
  <si>
    <t>Masters 45-49 (07.09.1968)/48</t>
  </si>
  <si>
    <t>Open (18.07.1980)/36</t>
  </si>
  <si>
    <t>Open (07.09.1968)/48</t>
  </si>
  <si>
    <t>72,70</t>
  </si>
  <si>
    <t>Open (10.04.1990)/26</t>
  </si>
  <si>
    <t>700,0</t>
  </si>
  <si>
    <t>98,20</t>
  </si>
  <si>
    <t>Open (05.05.1977)/39</t>
  </si>
  <si>
    <t>310,0</t>
  </si>
  <si>
    <t>98,80</t>
  </si>
  <si>
    <t>Open (16.10.1982)/34</t>
  </si>
  <si>
    <t>73,15</t>
  </si>
  <si>
    <t>27,5</t>
  </si>
  <si>
    <t>55,0</t>
  </si>
  <si>
    <t>Место</t>
  </si>
  <si>
    <t>Возрастная группа
Дата рождения/Возраст</t>
  </si>
  <si>
    <t>Собств. вес</t>
  </si>
  <si>
    <t>Город/область</t>
  </si>
  <si>
    <t>Трояшкин Анатолий</t>
  </si>
  <si>
    <t>Результат</t>
  </si>
  <si>
    <t>Самостоятельно</t>
  </si>
  <si>
    <t>Рыбалко Олег</t>
  </si>
  <si>
    <t>Финк Владислав</t>
  </si>
  <si>
    <t>0</t>
  </si>
  <si>
    <t>Гуров Павел</t>
  </si>
  <si>
    <t>Гасанов Алексей</t>
  </si>
  <si>
    <t>Талалаев Сергей</t>
  </si>
  <si>
    <t>Захаров Сергей</t>
  </si>
  <si>
    <t>Пинчук Дмитрирй</t>
  </si>
  <si>
    <t>Шкудас Владислав</t>
  </si>
  <si>
    <t>Уткин Андрей</t>
  </si>
  <si>
    <t>Стрильчук Сергей</t>
  </si>
  <si>
    <t xml:space="preserve">100,0 </t>
  </si>
  <si>
    <t xml:space="preserve">75,0 </t>
  </si>
  <si>
    <t>Конопацкий Владимир</t>
  </si>
  <si>
    <t>1</t>
  </si>
  <si>
    <t>Тоннаж</t>
  </si>
  <si>
    <t xml:space="preserve">Рыжов Д. </t>
  </si>
  <si>
    <t xml:space="preserve">Трошинский В. </t>
  </si>
  <si>
    <t>25</t>
  </si>
  <si>
    <t>44</t>
  </si>
  <si>
    <t>40</t>
  </si>
  <si>
    <t>29</t>
  </si>
  <si>
    <t>24</t>
  </si>
  <si>
    <t>37</t>
  </si>
  <si>
    <t>36</t>
  </si>
  <si>
    <t>33</t>
  </si>
  <si>
    <t>11</t>
  </si>
  <si>
    <t>30</t>
  </si>
  <si>
    <t>28</t>
  </si>
  <si>
    <t>23</t>
  </si>
  <si>
    <t>17</t>
  </si>
  <si>
    <t xml:space="preserve">Тресцов Виктор </t>
  </si>
  <si>
    <t xml:space="preserve">Кучин Игорь </t>
  </si>
  <si>
    <t xml:space="preserve">Муртазин Руслан </t>
  </si>
  <si>
    <t xml:space="preserve">Рыжов Дмитрий </t>
  </si>
  <si>
    <t xml:space="preserve">Чичкин Сергей </t>
  </si>
  <si>
    <t xml:space="preserve">Дайкер Артур </t>
  </si>
  <si>
    <t xml:space="preserve">Ануфриенко Андрей </t>
  </si>
  <si>
    <t xml:space="preserve">Гордеев Борис </t>
  </si>
  <si>
    <t>Швецов Александр</t>
  </si>
  <si>
    <t xml:space="preserve">Дунаев Эдуард </t>
  </si>
  <si>
    <t xml:space="preserve">Конопацкий Владимир </t>
  </si>
  <si>
    <t xml:space="preserve">Садкин Николай </t>
  </si>
  <si>
    <t xml:space="preserve">67,5 </t>
  </si>
  <si>
    <t>2</t>
  </si>
  <si>
    <t>3</t>
  </si>
  <si>
    <t>Рыжов Дмитрий</t>
  </si>
  <si>
    <t>Кучин Игорь</t>
  </si>
  <si>
    <t>Муртазин Руслан</t>
  </si>
  <si>
    <t xml:space="preserve">Харитонов Глеб </t>
  </si>
  <si>
    <t>52</t>
  </si>
  <si>
    <t xml:space="preserve">Конопацкий В. </t>
  </si>
  <si>
    <t xml:space="preserve">Лагутин Евгений </t>
  </si>
  <si>
    <t>Новиков Евгений</t>
  </si>
  <si>
    <t>Нефедов Михаил</t>
  </si>
  <si>
    <t>Демьянчук Юрий</t>
  </si>
  <si>
    <t>Винокуров Олег</t>
  </si>
  <si>
    <t>Дворядкин Павел</t>
  </si>
  <si>
    <t>Плотников Владимир</t>
  </si>
  <si>
    <t>Смородин Михаил</t>
  </si>
  <si>
    <t>Лагутин Евгений</t>
  </si>
  <si>
    <t>Кучер С.</t>
  </si>
  <si>
    <t xml:space="preserve">Хитрин Д. </t>
  </si>
  <si>
    <t>Трошинский Вячеслав</t>
  </si>
  <si>
    <t>Трошинский М/</t>
  </si>
  <si>
    <t xml:space="preserve">Cамостоятельно </t>
  </si>
  <si>
    <t xml:space="preserve">Горжа Л. </t>
  </si>
  <si>
    <t>Поляков Владислав</t>
  </si>
  <si>
    <t>Трошинский Михаил</t>
  </si>
  <si>
    <t>Усманов Ринат</t>
  </si>
  <si>
    <t>Левин Александр</t>
  </si>
  <si>
    <t>Марданов Олег</t>
  </si>
  <si>
    <t xml:space="preserve">Синчугова Алла </t>
  </si>
  <si>
    <t xml:space="preserve">Левин Александр </t>
  </si>
  <si>
    <t xml:space="preserve">Усманов Ринат </t>
  </si>
  <si>
    <t xml:space="preserve">Пьянков Владимир </t>
  </si>
  <si>
    <t xml:space="preserve">Осипов Виктор </t>
  </si>
  <si>
    <t xml:space="preserve">Мазитов Александр </t>
  </si>
  <si>
    <t xml:space="preserve">Марданов Олег </t>
  </si>
  <si>
    <t xml:space="preserve">Цыганков Станислав </t>
  </si>
  <si>
    <t xml:space="preserve">Трошинский М. </t>
  </si>
  <si>
    <t xml:space="preserve">Максимкин Д. </t>
  </si>
  <si>
    <t>Старков Н.</t>
  </si>
  <si>
    <t xml:space="preserve">82,5 </t>
  </si>
  <si>
    <t xml:space="preserve">Акульшин Роман </t>
  </si>
  <si>
    <t xml:space="preserve">Игнатьев Виктор </t>
  </si>
  <si>
    <t>Меркулов Дмитрий</t>
  </si>
  <si>
    <t>Мяги Владислав</t>
  </si>
  <si>
    <t>Игнатьев Виктор</t>
  </si>
  <si>
    <t xml:space="preserve">140,0 </t>
  </si>
  <si>
    <t xml:space="preserve">110,0 </t>
  </si>
  <si>
    <t xml:space="preserve">Захваткина Евгения </t>
  </si>
  <si>
    <t xml:space="preserve">Винокуров Олег </t>
  </si>
  <si>
    <t xml:space="preserve">Габидуллин Алексадр </t>
  </si>
  <si>
    <t xml:space="preserve">Плотников Владимир </t>
  </si>
  <si>
    <t xml:space="preserve">Дворядкин Павел </t>
  </si>
  <si>
    <t xml:space="preserve">Крупенко Александр </t>
  </si>
  <si>
    <t xml:space="preserve">Диков Александр </t>
  </si>
  <si>
    <t>Скочилов Алексей</t>
  </si>
  <si>
    <t>Цыганков Станислав</t>
  </si>
  <si>
    <t>Орешкина Т.</t>
  </si>
  <si>
    <t xml:space="preserve">Кучер С. </t>
  </si>
  <si>
    <t xml:space="preserve">Алексеевка/Белгородская область </t>
  </si>
  <si>
    <t>село Тоцкое Второе/Оренбургска область</t>
  </si>
  <si>
    <t>Максимкин А.</t>
  </si>
  <si>
    <t>Стецко Ю.</t>
  </si>
  <si>
    <t xml:space="preserve">Чугунов Тимур </t>
  </si>
  <si>
    <t xml:space="preserve">Бушкин Максим </t>
  </si>
  <si>
    <t xml:space="preserve">Гугняков Александр </t>
  </si>
  <si>
    <t>Гордеев Борис</t>
  </si>
  <si>
    <t>Акульшин Роман</t>
  </si>
  <si>
    <t xml:space="preserve">Карпухин Павел </t>
  </si>
  <si>
    <t xml:space="preserve">Сидоров Дмитрий </t>
  </si>
  <si>
    <t>Салехов Артем</t>
  </si>
  <si>
    <t xml:space="preserve">Кулагин Андрей </t>
  </si>
  <si>
    <t>Адамов Владимир</t>
  </si>
  <si>
    <t xml:space="preserve">Шишкин Антон </t>
  </si>
  <si>
    <t>Садкин Николай</t>
  </si>
  <si>
    <t>Власкин Максим</t>
  </si>
  <si>
    <t xml:space="preserve">Полторацкий Дмитрий </t>
  </si>
  <si>
    <t xml:space="preserve">90,0 </t>
  </si>
  <si>
    <t>Войцеховский Ю.</t>
  </si>
  <si>
    <t>Антонов Д.</t>
  </si>
  <si>
    <t xml:space="preserve">Кучин И. </t>
  </si>
  <si>
    <t>Ключников Е.</t>
  </si>
  <si>
    <t>Сергеев И.</t>
  </si>
  <si>
    <t>Кулагин Андрей</t>
  </si>
  <si>
    <t>Карпухин Павел</t>
  </si>
  <si>
    <t xml:space="preserve">Финк В. </t>
  </si>
  <si>
    <t>Буйлова Ольга</t>
  </si>
  <si>
    <t>Кин Дмитрий</t>
  </si>
  <si>
    <t xml:space="preserve">Крысанов Сергей </t>
  </si>
  <si>
    <t>Курбаков Александр</t>
  </si>
  <si>
    <t xml:space="preserve">Балотников Сергей </t>
  </si>
  <si>
    <t xml:space="preserve">Сибгатуллин Ильмир </t>
  </si>
  <si>
    <t xml:space="preserve">Рачов Илья </t>
  </si>
  <si>
    <t>Пушило Алексей</t>
  </si>
  <si>
    <t xml:space="preserve">Мавринский Александр </t>
  </si>
  <si>
    <t xml:space="preserve">Янсон Михаил </t>
  </si>
  <si>
    <t>Москаленко Станислав</t>
  </si>
  <si>
    <t>Крысанов Сергей</t>
  </si>
  <si>
    <t>Балотников Сергей</t>
  </si>
  <si>
    <t>Мавринский Александр</t>
  </si>
  <si>
    <t>Рачов Илья</t>
  </si>
  <si>
    <t xml:space="preserve">Рубцов А. </t>
  </si>
  <si>
    <t>Рубцов А.</t>
  </si>
  <si>
    <t>Трошинский В.</t>
  </si>
  <si>
    <t xml:space="preserve">Стрильчук С. </t>
  </si>
  <si>
    <t>Пенза</t>
  </si>
  <si>
    <t>Тольятти</t>
  </si>
  <si>
    <t>Сызрань</t>
  </si>
  <si>
    <t>AlexFitness</t>
  </si>
  <si>
    <t xml:space="preserve">  </t>
  </si>
  <si>
    <t xml:space="preserve"> </t>
  </si>
  <si>
    <t>Непобедимая Держава WRPF                                                                                                                                Становая тяга без экипировки ДК
г. Тольятти, 30 октября 2016 г.</t>
  </si>
  <si>
    <t>Непобедимая Держава WRPF                                                                                                                                     Становая тяга без экипировки
г. Тольятти, 30 октября 2016 г.</t>
  </si>
  <si>
    <t>Непобедимая Держава WRPF                                                                                                                                          Жим  лежа без экипировки ДК
г. Тольятти, 30 октября 2016 г.</t>
  </si>
  <si>
    <t>Непобедимая Держава WRPF                                                                                                                                       Жим лежа без экипировки
г. Тольятти, 30 октября 2016 г.</t>
  </si>
  <si>
    <t>Непобедимая Держава WRPF                                                                                                                                       Пауэрлифтинг без экипировки ДК
г. Тольятти, 30 октября 2016 г.</t>
  </si>
  <si>
    <t>Непобедимая Держава WRPF                                                                                                                                           Пауэрлифтинг без экипировки 
г. Тольятти, 30 октября 2016 г.</t>
  </si>
  <si>
    <t>Непобедимая Держава СПР                                                                                                                                                   Пауэрлифтинг в однослойной экипировке ДК
г. Тольятти, 30 октября 2016 г.</t>
  </si>
  <si>
    <t>Непобедимая Держава СПР                                                                                                                                                  Пауэрлифтинг в однослойной экипировке
г. Тольятти, 30 октября 2016 г.</t>
  </si>
  <si>
    <t>Непобедимая Держава СПР                                                                                                                               Жим лежа в однослойной экипировке ДК
г. Тольятти, 30 октября 2016 г.</t>
  </si>
  <si>
    <t>Непобедимая Держава СПР                                                                                                                                Жим лежа в однослойной экипировке
г. Тольятти, 30 октября 2016 г.</t>
  </si>
  <si>
    <t>Непобедимая Держава СПР                                                                                                                               Становая тяга в экипировке
г. Тольятти, 30 октября 2016 г.</t>
  </si>
  <si>
    <t>Непобедимая Держава СПР                                                                                                                                    Народный жим (1 вес)
 ДК
г. Тольятти, 30 октября 2016 г.</t>
  </si>
  <si>
    <t>Непобедимая Держава СПР                                                                                                                                     Народный жим (1 вес)
г. Тольятти, 30 октября 2016 г.</t>
  </si>
  <si>
    <t>Непобедимая Держава СПР                                                                                                                       Народный жим (1/2 вес)
г. Тольятти, 30 октября 2016 г.</t>
  </si>
  <si>
    <t>Непобедимая Держава СПР                                                                                                                                      Жим лежа SOFT экипировке ДК
г. Тольятти, 30 октября 2016 г.</t>
  </si>
  <si>
    <t>Непобедимая Держава СПР                                                                                                                                   Жим лежа SOFT экипировке
г. Тольятти, 30 октября 2016 г.</t>
  </si>
  <si>
    <t>Непобедимая Держава СПР                                                                                                                                               Пауэрспорт ДК
г. Тольятти, 30 октября 2016 г.</t>
  </si>
  <si>
    <t>Непобедимая Держава СПР                                                                                                                                               Пауэрспорт 
г. Тольятти, 30 октября 2016 г.</t>
  </si>
  <si>
    <t>Лих Л.</t>
  </si>
  <si>
    <t>1,2215</t>
  </si>
  <si>
    <t>186,2787</t>
  </si>
  <si>
    <t>0,5843</t>
  </si>
  <si>
    <t>0,5858</t>
  </si>
  <si>
    <t>409,01</t>
  </si>
  <si>
    <t>0,7015</t>
  </si>
  <si>
    <t>119,255</t>
  </si>
  <si>
    <t>0,7048</t>
  </si>
  <si>
    <t>0,6118</t>
  </si>
  <si>
    <t>0,6157</t>
  </si>
  <si>
    <t>0,6089</t>
  </si>
  <si>
    <t>0,5829</t>
  </si>
  <si>
    <t>0,5848</t>
  </si>
  <si>
    <t>0,5874</t>
  </si>
  <si>
    <t>163,866</t>
  </si>
  <si>
    <t>166,7155</t>
  </si>
  <si>
    <t>129,297</t>
  </si>
  <si>
    <t>166,242</t>
  </si>
  <si>
    <t>86,7682</t>
  </si>
  <si>
    <t>186,528</t>
  </si>
  <si>
    <t>178,364</t>
  </si>
  <si>
    <t>146,85</t>
  </si>
  <si>
    <t>0,5675</t>
  </si>
  <si>
    <t>164,575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</si>
</sst>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6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3" fillId="0" borderId="11" xfId="0" applyNumberFormat="1" applyFont="1" applyFill="1" applyBorder="1" applyAlignment="1">
      <alignment horizontal="left" vertical="center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49" fontId="45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49" fontId="2" fillId="33" borderId="14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indent="1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0" fillId="0" borderId="12" xfId="0" applyNumberForma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49" fontId="45" fillId="0" borderId="14" xfId="0" applyNumberFormat="1" applyFont="1" applyFill="1" applyBorder="1" applyAlignment="1">
      <alignment horizontal="center"/>
    </xf>
    <xf numFmtId="49" fontId="45" fillId="0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172" fontId="3" fillId="0" borderId="29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PageLayoutView="0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20.00390625" style="11" customWidth="1"/>
    <col min="3" max="3" width="28.00390625" style="11" customWidth="1"/>
    <col min="4" max="4" width="11.00390625" style="11" customWidth="1"/>
    <col min="5" max="5" width="7.25390625" style="11" customWidth="1"/>
    <col min="6" max="6" width="22.75390625" style="11" bestFit="1" customWidth="1"/>
    <col min="7" max="7" width="26.00390625" style="11" bestFit="1" customWidth="1"/>
    <col min="8" max="9" width="4.625" style="11" bestFit="1" customWidth="1"/>
    <col min="10" max="10" width="3.75390625" style="11" customWidth="1"/>
    <col min="11" max="13" width="4.625" style="11" bestFit="1" customWidth="1"/>
    <col min="14" max="14" width="3.875" style="11" customWidth="1"/>
    <col min="15" max="19" width="4.625" style="11" bestFit="1" customWidth="1"/>
    <col min="20" max="20" width="7.875" style="11" bestFit="1" customWidth="1"/>
    <col min="21" max="21" width="8.625" style="11" bestFit="1" customWidth="1"/>
    <col min="22" max="22" width="19.375" style="11" bestFit="1" customWidth="1"/>
  </cols>
  <sheetData>
    <row r="1" spans="2:22" s="1" customFormat="1" ht="15" customHeight="1">
      <c r="B1" s="100" t="s">
        <v>537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/>
    </row>
    <row r="2" spans="2:22" s="1" customFormat="1" ht="138" customHeight="1" thickBot="1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5"/>
    </row>
    <row r="3" spans="1:22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281</v>
      </c>
      <c r="F3" s="93" t="s">
        <v>7</v>
      </c>
      <c r="G3" s="93" t="s">
        <v>373</v>
      </c>
      <c r="H3" s="93" t="s">
        <v>1</v>
      </c>
      <c r="I3" s="93"/>
      <c r="J3" s="93"/>
      <c r="K3" s="93"/>
      <c r="L3" s="93" t="s">
        <v>2</v>
      </c>
      <c r="M3" s="93"/>
      <c r="N3" s="93"/>
      <c r="O3" s="93"/>
      <c r="P3" s="93" t="s">
        <v>3</v>
      </c>
      <c r="Q3" s="93"/>
      <c r="R3" s="93"/>
      <c r="S3" s="93"/>
      <c r="T3" s="93" t="s">
        <v>4</v>
      </c>
      <c r="U3" s="93" t="s">
        <v>6</v>
      </c>
      <c r="V3" s="97" t="s">
        <v>5</v>
      </c>
    </row>
    <row r="4" spans="1:22" s="2" customFormat="1" ht="21" customHeight="1" thickBot="1">
      <c r="A4" s="96"/>
      <c r="B4" s="107"/>
      <c r="C4" s="94"/>
      <c r="D4" s="109"/>
      <c r="E4" s="94"/>
      <c r="F4" s="94"/>
      <c r="G4" s="94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94"/>
      <c r="U4" s="94"/>
      <c r="V4" s="98"/>
    </row>
    <row r="5" spans="2:21" ht="15">
      <c r="B5" s="99" t="s">
        <v>199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2" ht="12.75">
      <c r="A6" s="32">
        <v>1</v>
      </c>
      <c r="B6" s="12" t="s">
        <v>271</v>
      </c>
      <c r="C6" s="12" t="s">
        <v>251</v>
      </c>
      <c r="D6" s="12" t="s">
        <v>252</v>
      </c>
      <c r="E6" s="12" t="s">
        <v>550</v>
      </c>
      <c r="F6" s="12" t="s">
        <v>74</v>
      </c>
      <c r="G6" s="12" t="s">
        <v>75</v>
      </c>
      <c r="H6" s="30" t="s">
        <v>15</v>
      </c>
      <c r="I6" s="31" t="s">
        <v>369</v>
      </c>
      <c r="J6" s="28"/>
      <c r="K6" s="28"/>
      <c r="L6" s="31" t="s">
        <v>368</v>
      </c>
      <c r="M6" s="31" t="s">
        <v>301</v>
      </c>
      <c r="N6" s="28"/>
      <c r="O6" s="28"/>
      <c r="P6" s="31" t="s">
        <v>15</v>
      </c>
      <c r="Q6" s="31" t="s">
        <v>21</v>
      </c>
      <c r="R6" s="31" t="s">
        <v>16</v>
      </c>
      <c r="S6" s="28"/>
      <c r="T6" s="29">
        <v>152.5</v>
      </c>
      <c r="U6" s="29" t="s">
        <v>551</v>
      </c>
      <c r="V6" s="12" t="s">
        <v>137</v>
      </c>
    </row>
  </sheetData>
  <sheetProtection/>
  <mergeCells count="15">
    <mergeCell ref="F3:F4"/>
    <mergeCell ref="G3:G4"/>
    <mergeCell ref="H3:K3"/>
    <mergeCell ref="L3:O3"/>
    <mergeCell ref="P3:S3"/>
    <mergeCell ref="T3:T4"/>
    <mergeCell ref="U3:U4"/>
    <mergeCell ref="A3:A4"/>
    <mergeCell ref="V3:V4"/>
    <mergeCell ref="B5:U5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375" style="53" customWidth="1"/>
    <col min="2" max="2" width="25.00390625" style="60" customWidth="1"/>
    <col min="3" max="3" width="27.375" style="5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26.875" style="5" bestFit="1" customWidth="1"/>
    <col min="8" max="10" width="5.625" style="1" bestFit="1" customWidth="1"/>
    <col min="11" max="11" width="4.625" style="1" bestFit="1" customWidth="1"/>
    <col min="12" max="12" width="10.625" style="4" customWidth="1"/>
    <col min="13" max="13" width="8.625" style="1" bestFit="1" customWidth="1"/>
    <col min="14" max="14" width="15.375" style="5" bestFit="1" customWidth="1"/>
    <col min="15" max="16384" width="11.375" style="1" customWidth="1"/>
  </cols>
  <sheetData>
    <row r="1" spans="2:14" ht="15" customHeight="1">
      <c r="B1" s="100" t="s">
        <v>546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2:14" ht="115.5" customHeight="1" thickBot="1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281</v>
      </c>
      <c r="F3" s="93" t="s">
        <v>7</v>
      </c>
      <c r="G3" s="93" t="s">
        <v>373</v>
      </c>
      <c r="H3" s="93" t="s">
        <v>2</v>
      </c>
      <c r="I3" s="93"/>
      <c r="J3" s="93"/>
      <c r="K3" s="93"/>
      <c r="L3" s="93" t="s">
        <v>375</v>
      </c>
      <c r="M3" s="93" t="s">
        <v>6</v>
      </c>
      <c r="N3" s="97" t="s">
        <v>5</v>
      </c>
    </row>
    <row r="4" spans="1:14" s="2" customFormat="1" ht="21" customHeight="1" thickBot="1">
      <c r="A4" s="96"/>
      <c r="B4" s="107"/>
      <c r="C4" s="94"/>
      <c r="D4" s="109"/>
      <c r="E4" s="94"/>
      <c r="F4" s="94"/>
      <c r="G4" s="94"/>
      <c r="H4" s="3">
        <v>1</v>
      </c>
      <c r="I4" s="3">
        <v>2</v>
      </c>
      <c r="J4" s="3">
        <v>3</v>
      </c>
      <c r="K4" s="3" t="s">
        <v>8</v>
      </c>
      <c r="L4" s="94"/>
      <c r="M4" s="94"/>
      <c r="N4" s="98"/>
    </row>
    <row r="5" spans="2:13" ht="15">
      <c r="B5" s="115" t="s">
        <v>46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4" ht="12.75">
      <c r="A6" s="53" t="s">
        <v>391</v>
      </c>
      <c r="B6" s="54" t="s">
        <v>430</v>
      </c>
      <c r="C6" s="6" t="s">
        <v>295</v>
      </c>
      <c r="D6" s="6" t="s">
        <v>294</v>
      </c>
      <c r="E6" s="6" t="str">
        <f>"0,7366"</f>
        <v>0,7366</v>
      </c>
      <c r="F6" s="6" t="s">
        <v>13</v>
      </c>
      <c r="G6" s="6" t="s">
        <v>75</v>
      </c>
      <c r="H6" s="31" t="s">
        <v>49</v>
      </c>
      <c r="I6" s="31" t="s">
        <v>140</v>
      </c>
      <c r="J6" s="31" t="s">
        <v>53</v>
      </c>
      <c r="K6" s="56"/>
      <c r="L6" s="55" t="s">
        <v>53</v>
      </c>
      <c r="M6" s="55" t="str">
        <f>"95,7580"</f>
        <v>95,7580</v>
      </c>
      <c r="N6" s="6" t="s">
        <v>165</v>
      </c>
    </row>
    <row r="8" spans="2:13" ht="15">
      <c r="B8" s="114" t="s">
        <v>82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2:14" ht="12.75">
      <c r="B9" s="54" t="s">
        <v>431</v>
      </c>
      <c r="C9" s="6" t="s">
        <v>293</v>
      </c>
      <c r="D9" s="6" t="s">
        <v>192</v>
      </c>
      <c r="E9" s="6" t="str">
        <f>"0,5803"</f>
        <v>0,5803</v>
      </c>
      <c r="F9" s="6" t="s">
        <v>13</v>
      </c>
      <c r="G9" s="6" t="s">
        <v>75</v>
      </c>
      <c r="H9" s="69" t="s">
        <v>142</v>
      </c>
      <c r="I9" s="56"/>
      <c r="J9" s="56"/>
      <c r="K9" s="56"/>
      <c r="L9" s="55" t="s">
        <v>379</v>
      </c>
      <c r="M9" s="55" t="s">
        <v>379</v>
      </c>
      <c r="N9" s="6" t="s">
        <v>165</v>
      </c>
    </row>
    <row r="11" spans="2:13" ht="15">
      <c r="B11" s="114" t="s">
        <v>104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4" ht="12.75">
      <c r="A12" s="53" t="s">
        <v>391</v>
      </c>
      <c r="B12" s="54" t="s">
        <v>432</v>
      </c>
      <c r="C12" s="6" t="s">
        <v>244</v>
      </c>
      <c r="D12" s="6" t="s">
        <v>292</v>
      </c>
      <c r="E12" s="6" t="str">
        <f>"0,5400"</f>
        <v>0,5400</v>
      </c>
      <c r="F12" s="6" t="s">
        <v>13</v>
      </c>
      <c r="G12" s="6" t="s">
        <v>150</v>
      </c>
      <c r="H12" s="69" t="s">
        <v>70</v>
      </c>
      <c r="I12" s="31" t="s">
        <v>267</v>
      </c>
      <c r="J12" s="69" t="s">
        <v>266</v>
      </c>
      <c r="K12" s="56"/>
      <c r="L12" s="55" t="s">
        <v>267</v>
      </c>
      <c r="M12" s="55" t="str">
        <f>"129,5964"</f>
        <v>129,5964</v>
      </c>
      <c r="N12" s="6" t="s">
        <v>165</v>
      </c>
    </row>
  </sheetData>
  <sheetProtection/>
  <mergeCells count="15">
    <mergeCell ref="A3:A4"/>
    <mergeCell ref="B5:M5"/>
    <mergeCell ref="B8:M8"/>
    <mergeCell ref="B11:M11"/>
    <mergeCell ref="E3:E4"/>
    <mergeCell ref="L3:L4"/>
    <mergeCell ref="M3:M4"/>
    <mergeCell ref="B1:N2"/>
    <mergeCell ref="H3:K3"/>
    <mergeCell ref="B3:B4"/>
    <mergeCell ref="C3:C4"/>
    <mergeCell ref="D3:D4"/>
    <mergeCell ref="N3:N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32" customWidth="1"/>
    <col min="2" max="2" width="27.875" style="11" customWidth="1"/>
    <col min="3" max="3" width="27.00390625" style="11" customWidth="1"/>
    <col min="4" max="4" width="12.25390625" style="11" customWidth="1"/>
    <col min="5" max="5" width="8.375" style="11" bestFit="1" customWidth="1"/>
    <col min="6" max="6" width="22.75390625" style="11" bestFit="1" customWidth="1"/>
    <col min="7" max="7" width="26.00390625" style="11" bestFit="1" customWidth="1"/>
    <col min="8" max="15" width="4.625" style="11" bestFit="1" customWidth="1"/>
    <col min="16" max="16" width="7.875" style="11" bestFit="1" customWidth="1"/>
    <col min="17" max="17" width="8.625" style="11" bestFit="1" customWidth="1"/>
    <col min="18" max="18" width="19.375" style="11" bestFit="1" customWidth="1"/>
  </cols>
  <sheetData>
    <row r="1" spans="1:18" s="1" customFormat="1" ht="15" customHeight="1">
      <c r="A1" s="53"/>
      <c r="B1" s="100" t="s">
        <v>547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8" s="1" customFormat="1" ht="93.75" customHeight="1" thickBot="1">
      <c r="A2" s="53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8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281</v>
      </c>
      <c r="F3" s="93" t="s">
        <v>7</v>
      </c>
      <c r="G3" s="93" t="s">
        <v>373</v>
      </c>
      <c r="H3" s="93" t="s">
        <v>280</v>
      </c>
      <c r="I3" s="93"/>
      <c r="J3" s="93"/>
      <c r="K3" s="93"/>
      <c r="L3" s="93" t="s">
        <v>279</v>
      </c>
      <c r="M3" s="93"/>
      <c r="N3" s="93"/>
      <c r="O3" s="93"/>
      <c r="P3" s="93" t="s">
        <v>4</v>
      </c>
      <c r="Q3" s="93" t="s">
        <v>6</v>
      </c>
      <c r="R3" s="97" t="s">
        <v>5</v>
      </c>
    </row>
    <row r="4" spans="1:18" s="2" customFormat="1" ht="21" customHeight="1" thickBot="1">
      <c r="A4" s="96"/>
      <c r="B4" s="107"/>
      <c r="C4" s="94"/>
      <c r="D4" s="109"/>
      <c r="E4" s="94"/>
      <c r="F4" s="94"/>
      <c r="G4" s="94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94"/>
      <c r="Q4" s="94"/>
      <c r="R4" s="98"/>
    </row>
    <row r="5" spans="2:17" ht="15">
      <c r="B5" s="99" t="s">
        <v>199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8" ht="12.75">
      <c r="A6" s="32">
        <v>1</v>
      </c>
      <c r="B6" s="12" t="s">
        <v>271</v>
      </c>
      <c r="C6" s="12" t="s">
        <v>251</v>
      </c>
      <c r="D6" s="12" t="s">
        <v>252</v>
      </c>
      <c r="E6" s="12" t="str">
        <f>"1,2215"</f>
        <v>1,2215</v>
      </c>
      <c r="F6" s="12" t="s">
        <v>74</v>
      </c>
      <c r="G6" s="12" t="s">
        <v>75</v>
      </c>
      <c r="H6" s="31" t="s">
        <v>277</v>
      </c>
      <c r="I6" s="31" t="s">
        <v>278</v>
      </c>
      <c r="J6" s="28"/>
      <c r="K6" s="28"/>
      <c r="L6" s="31" t="s">
        <v>277</v>
      </c>
      <c r="M6" s="28"/>
      <c r="N6" s="28"/>
      <c r="O6" s="28"/>
      <c r="P6" s="29" t="s">
        <v>20</v>
      </c>
      <c r="Q6" s="29" t="str">
        <f>"54,9675"</f>
        <v>54,9675</v>
      </c>
      <c r="R6" s="12" t="s">
        <v>441</v>
      </c>
    </row>
    <row r="8" spans="2:17" ht="15">
      <c r="B8" s="110" t="s">
        <v>160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8" ht="12.75">
      <c r="A9" s="32">
        <v>1</v>
      </c>
      <c r="B9" s="12" t="s">
        <v>440</v>
      </c>
      <c r="C9" s="12" t="s">
        <v>276</v>
      </c>
      <c r="D9" s="12" t="s">
        <v>275</v>
      </c>
      <c r="E9" s="12" t="str">
        <f>"0,6464"</f>
        <v>0,6464</v>
      </c>
      <c r="F9" s="12" t="s">
        <v>274</v>
      </c>
      <c r="G9" s="12" t="s">
        <v>75</v>
      </c>
      <c r="H9" s="31" t="s">
        <v>21</v>
      </c>
      <c r="I9" s="31" t="s">
        <v>22</v>
      </c>
      <c r="J9" s="31" t="s">
        <v>17</v>
      </c>
      <c r="K9" s="28"/>
      <c r="L9" s="31" t="s">
        <v>20</v>
      </c>
      <c r="M9" s="31" t="s">
        <v>273</v>
      </c>
      <c r="N9" s="30" t="s">
        <v>29</v>
      </c>
      <c r="O9" s="28"/>
      <c r="P9" s="29">
        <v>127.5</v>
      </c>
      <c r="Q9" s="29" t="str">
        <f>"102,6903"</f>
        <v>102,6903</v>
      </c>
      <c r="R9" s="12" t="s">
        <v>442</v>
      </c>
    </row>
  </sheetData>
  <sheetProtection/>
  <mergeCells count="15">
    <mergeCell ref="G3:G4"/>
    <mergeCell ref="H3:K3"/>
    <mergeCell ref="L3:O3"/>
    <mergeCell ref="A3:A4"/>
    <mergeCell ref="P3:P4"/>
    <mergeCell ref="Q3:Q4"/>
    <mergeCell ref="R3:R4"/>
    <mergeCell ref="B5:Q5"/>
    <mergeCell ref="B8:Q8"/>
    <mergeCell ref="B1:R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375" style="1" customWidth="1"/>
    <col min="2" max="2" width="20.125" style="60" customWidth="1"/>
    <col min="3" max="3" width="26.75390625" style="5" customWidth="1"/>
    <col min="4" max="4" width="12.00390625" style="5" customWidth="1"/>
    <col min="5" max="5" width="8.375" style="5" bestFit="1" customWidth="1"/>
    <col min="6" max="6" width="21.625" style="5" customWidth="1"/>
    <col min="7" max="7" width="24.125" style="5" customWidth="1"/>
    <col min="8" max="14" width="4.625" style="1" bestFit="1" customWidth="1"/>
    <col min="15" max="15" width="6.625" style="1" customWidth="1"/>
    <col min="16" max="16" width="7.875" style="4" bestFit="1" customWidth="1"/>
    <col min="17" max="17" width="7.625" style="1" bestFit="1" customWidth="1"/>
    <col min="18" max="18" width="19.00390625" style="5" customWidth="1"/>
    <col min="19" max="16384" width="11.375" style="1" customWidth="1"/>
  </cols>
  <sheetData>
    <row r="1" spans="1:18" ht="15" customHeight="1">
      <c r="A1" s="53"/>
      <c r="B1" s="100" t="s">
        <v>548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8" ht="87" customHeight="1" thickBot="1">
      <c r="A2" s="53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8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281</v>
      </c>
      <c r="F3" s="93" t="s">
        <v>7</v>
      </c>
      <c r="G3" s="93" t="s">
        <v>373</v>
      </c>
      <c r="H3" s="93" t="s">
        <v>280</v>
      </c>
      <c r="I3" s="93"/>
      <c r="J3" s="93"/>
      <c r="K3" s="93"/>
      <c r="L3" s="93" t="s">
        <v>279</v>
      </c>
      <c r="M3" s="93"/>
      <c r="N3" s="93"/>
      <c r="O3" s="93"/>
      <c r="P3" s="93" t="s">
        <v>4</v>
      </c>
      <c r="Q3" s="93" t="s">
        <v>6</v>
      </c>
      <c r="R3" s="97" t="s">
        <v>5</v>
      </c>
    </row>
    <row r="4" spans="1:18" s="2" customFormat="1" ht="21" customHeight="1" thickBot="1">
      <c r="A4" s="96"/>
      <c r="B4" s="107"/>
      <c r="C4" s="94"/>
      <c r="D4" s="109"/>
      <c r="E4" s="94"/>
      <c r="F4" s="94"/>
      <c r="G4" s="94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94"/>
      <c r="Q4" s="94"/>
      <c r="R4" s="98"/>
    </row>
    <row r="5" spans="2:17" ht="15">
      <c r="B5" s="113" t="s">
        <v>160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8" ht="12.75">
      <c r="A6" s="53" t="s">
        <v>391</v>
      </c>
      <c r="B6" s="54" t="s">
        <v>444</v>
      </c>
      <c r="C6" s="6" t="s">
        <v>286</v>
      </c>
      <c r="D6" s="6" t="s">
        <v>285</v>
      </c>
      <c r="E6" s="6" t="str">
        <f>"0,6453"</f>
        <v>0,6453</v>
      </c>
      <c r="F6" s="6" t="s">
        <v>156</v>
      </c>
      <c r="G6" s="6" t="s">
        <v>75</v>
      </c>
      <c r="H6" s="31" t="s">
        <v>22</v>
      </c>
      <c r="I6" s="69" t="s">
        <v>23</v>
      </c>
      <c r="J6" s="31" t="s">
        <v>284</v>
      </c>
      <c r="K6" s="56"/>
      <c r="L6" s="31" t="s">
        <v>15</v>
      </c>
      <c r="M6" s="31" t="s">
        <v>30</v>
      </c>
      <c r="N6" s="69" t="s">
        <v>22</v>
      </c>
      <c r="O6" s="56"/>
      <c r="P6" s="55" t="s">
        <v>50</v>
      </c>
      <c r="Q6" s="55" t="str">
        <f>"96,8025"</f>
        <v>96,8025</v>
      </c>
      <c r="R6" s="6" t="s">
        <v>443</v>
      </c>
    </row>
    <row r="8" spans="2:17" ht="15">
      <c r="B8" s="116" t="s">
        <v>59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8" ht="12.75">
      <c r="A9" s="53" t="s">
        <v>391</v>
      </c>
      <c r="B9" s="54" t="s">
        <v>445</v>
      </c>
      <c r="C9" s="6" t="s">
        <v>72</v>
      </c>
      <c r="D9" s="6" t="s">
        <v>283</v>
      </c>
      <c r="E9" s="6" t="str">
        <f>"0,6253"</f>
        <v>0,6253</v>
      </c>
      <c r="F9" s="6" t="s">
        <v>74</v>
      </c>
      <c r="G9" s="6" t="s">
        <v>75</v>
      </c>
      <c r="H9" s="31" t="s">
        <v>16</v>
      </c>
      <c r="I9" s="31" t="s">
        <v>23</v>
      </c>
      <c r="J9" s="69" t="s">
        <v>27</v>
      </c>
      <c r="K9" s="56"/>
      <c r="L9" s="31" t="s">
        <v>15</v>
      </c>
      <c r="M9" s="69" t="s">
        <v>21</v>
      </c>
      <c r="N9" s="56"/>
      <c r="O9" s="56"/>
      <c r="P9" s="55" t="s">
        <v>53</v>
      </c>
      <c r="Q9" s="55" t="str">
        <f>"81,2890"</f>
        <v>81,2890</v>
      </c>
      <c r="R9" s="6" t="s">
        <v>394</v>
      </c>
    </row>
    <row r="30" ht="12.75">
      <c r="F30" s="5" t="s">
        <v>529</v>
      </c>
    </row>
  </sheetData>
  <sheetProtection/>
  <mergeCells count="15">
    <mergeCell ref="F3:F4"/>
    <mergeCell ref="E3:E4"/>
    <mergeCell ref="A3:A4"/>
    <mergeCell ref="P3:P4"/>
    <mergeCell ref="Q3:Q4"/>
    <mergeCell ref="B5:Q5"/>
    <mergeCell ref="B8:Q8"/>
    <mergeCell ref="B1:R2"/>
    <mergeCell ref="H3:K3"/>
    <mergeCell ref="L3:O3"/>
    <mergeCell ref="B3:B4"/>
    <mergeCell ref="C3:C4"/>
    <mergeCell ref="D3:D4"/>
    <mergeCell ref="R3:R4"/>
    <mergeCell ref="G3:G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32" customWidth="1"/>
    <col min="2" max="2" width="25.375" style="11" customWidth="1"/>
    <col min="3" max="3" width="25.625" style="11" customWidth="1"/>
    <col min="4" max="4" width="12.75390625" style="11" customWidth="1"/>
    <col min="5" max="5" width="8.375" style="11" bestFit="1" customWidth="1"/>
    <col min="6" max="6" width="22.75390625" style="11" bestFit="1" customWidth="1"/>
    <col min="7" max="7" width="26.875" style="11" bestFit="1" customWidth="1"/>
    <col min="8" max="10" width="5.625" style="11" bestFit="1" customWidth="1"/>
    <col min="11" max="11" width="4.625" style="11" bestFit="1" customWidth="1"/>
    <col min="12" max="12" width="11.375" style="47" customWidth="1"/>
    <col min="13" max="13" width="8.625" style="11" bestFit="1" customWidth="1"/>
    <col min="14" max="14" width="19.375" style="11" bestFit="1" customWidth="1"/>
  </cols>
  <sheetData>
    <row r="1" spans="1:14" s="1" customFormat="1" ht="15" customHeight="1">
      <c r="A1" s="53"/>
      <c r="B1" s="100" t="s">
        <v>531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99.75" customHeight="1" thickBot="1">
      <c r="A2" s="53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9</v>
      </c>
      <c r="F3" s="93" t="s">
        <v>7</v>
      </c>
      <c r="G3" s="93" t="s">
        <v>373</v>
      </c>
      <c r="H3" s="93" t="s">
        <v>3</v>
      </c>
      <c r="I3" s="93"/>
      <c r="J3" s="93"/>
      <c r="K3" s="93"/>
      <c r="L3" s="111" t="s">
        <v>375</v>
      </c>
      <c r="M3" s="93" t="s">
        <v>6</v>
      </c>
      <c r="N3" s="97" t="s">
        <v>5</v>
      </c>
    </row>
    <row r="4" spans="1:14" s="2" customFormat="1" ht="21" customHeight="1" thickBot="1">
      <c r="A4" s="96"/>
      <c r="B4" s="107"/>
      <c r="C4" s="94"/>
      <c r="D4" s="109"/>
      <c r="E4" s="94"/>
      <c r="F4" s="94"/>
      <c r="G4" s="94"/>
      <c r="H4" s="3">
        <v>1</v>
      </c>
      <c r="I4" s="3">
        <v>2</v>
      </c>
      <c r="J4" s="3">
        <v>3</v>
      </c>
      <c r="K4" s="3" t="s">
        <v>8</v>
      </c>
      <c r="L4" s="112"/>
      <c r="M4" s="94"/>
      <c r="N4" s="98"/>
    </row>
    <row r="5" spans="2:13" ht="15">
      <c r="B5" s="99" t="s">
        <v>199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4" ht="12.75">
      <c r="A6" s="32">
        <v>1</v>
      </c>
      <c r="B6" s="12" t="s">
        <v>449</v>
      </c>
      <c r="C6" s="12" t="s">
        <v>251</v>
      </c>
      <c r="D6" s="12" t="s">
        <v>252</v>
      </c>
      <c r="E6" s="12" t="str">
        <f>"1,3699"</f>
        <v>1,3699</v>
      </c>
      <c r="F6" s="12" t="s">
        <v>74</v>
      </c>
      <c r="G6" s="12" t="s">
        <v>75</v>
      </c>
      <c r="H6" s="31" t="s">
        <v>15</v>
      </c>
      <c r="I6" s="31" t="s">
        <v>21</v>
      </c>
      <c r="J6" s="31" t="s">
        <v>16</v>
      </c>
      <c r="K6" s="28"/>
      <c r="L6" s="43">
        <v>65</v>
      </c>
      <c r="M6" s="29" t="str">
        <f>"89,0435"</f>
        <v>89,0435</v>
      </c>
      <c r="N6" s="12" t="s">
        <v>457</v>
      </c>
    </row>
    <row r="8" spans="2:13" ht="15">
      <c r="B8" s="110" t="s">
        <v>35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4" ht="12.75">
      <c r="A9" s="32">
        <v>1</v>
      </c>
      <c r="B9" s="12" t="s">
        <v>450</v>
      </c>
      <c r="C9" s="12" t="s">
        <v>203</v>
      </c>
      <c r="D9" s="12" t="s">
        <v>204</v>
      </c>
      <c r="E9" s="12" t="str">
        <f>"0,7901"</f>
        <v>0,7901</v>
      </c>
      <c r="F9" s="12" t="s">
        <v>13</v>
      </c>
      <c r="G9" s="12" t="s">
        <v>205</v>
      </c>
      <c r="H9" s="31" t="s">
        <v>81</v>
      </c>
      <c r="I9" s="31" t="s">
        <v>57</v>
      </c>
      <c r="J9" s="30" t="s">
        <v>142</v>
      </c>
      <c r="K9" s="28"/>
      <c r="L9" s="43">
        <v>210</v>
      </c>
      <c r="M9" s="29" t="str">
        <f>"165,9210"</f>
        <v>165,9210</v>
      </c>
      <c r="N9" s="12" t="s">
        <v>165</v>
      </c>
    </row>
    <row r="11" spans="2:13" ht="15">
      <c r="B11" s="110" t="s">
        <v>160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4" ht="12.75">
      <c r="A12" s="32">
        <v>1</v>
      </c>
      <c r="B12" s="19" t="s">
        <v>451</v>
      </c>
      <c r="C12" s="19" t="s">
        <v>253</v>
      </c>
      <c r="D12" s="19" t="s">
        <v>254</v>
      </c>
      <c r="E12" s="19" t="str">
        <f>"0,6800"</f>
        <v>0,6800</v>
      </c>
      <c r="F12" s="19" t="s">
        <v>13</v>
      </c>
      <c r="G12" s="19" t="s">
        <v>75</v>
      </c>
      <c r="H12" s="38" t="s">
        <v>89</v>
      </c>
      <c r="I12" s="38" t="s">
        <v>71</v>
      </c>
      <c r="J12" s="39" t="s">
        <v>108</v>
      </c>
      <c r="K12" s="35"/>
      <c r="L12" s="44">
        <v>245</v>
      </c>
      <c r="M12" s="34" t="str">
        <f>"166,6000"</f>
        <v>166,6000</v>
      </c>
      <c r="N12" s="19" t="s">
        <v>165</v>
      </c>
    </row>
    <row r="13" spans="1:14" ht="12.75">
      <c r="A13" s="32">
        <v>2</v>
      </c>
      <c r="B13" s="20" t="s">
        <v>452</v>
      </c>
      <c r="C13" s="20" t="s">
        <v>255</v>
      </c>
      <c r="D13" s="20" t="s">
        <v>256</v>
      </c>
      <c r="E13" s="20" t="str">
        <f>"0,6832"</f>
        <v>0,6832</v>
      </c>
      <c r="F13" s="20" t="s">
        <v>13</v>
      </c>
      <c r="G13" s="20" t="s">
        <v>14</v>
      </c>
      <c r="H13" s="49" t="s">
        <v>57</v>
      </c>
      <c r="I13" s="40" t="s">
        <v>257</v>
      </c>
      <c r="J13" s="49" t="s">
        <v>257</v>
      </c>
      <c r="K13" s="36"/>
      <c r="L13" s="46">
        <v>222.5</v>
      </c>
      <c r="M13" s="37" t="str">
        <f>"152,0120"</f>
        <v>152,0120</v>
      </c>
      <c r="N13" s="20" t="s">
        <v>458</v>
      </c>
    </row>
    <row r="15" spans="2:13" ht="15">
      <c r="B15" s="110" t="s">
        <v>59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4" ht="12.75">
      <c r="A16" s="32">
        <v>1</v>
      </c>
      <c r="B16" s="19" t="s">
        <v>453</v>
      </c>
      <c r="C16" s="19" t="s">
        <v>258</v>
      </c>
      <c r="D16" s="19" t="s">
        <v>259</v>
      </c>
      <c r="E16" s="19" t="str">
        <f>"0,6588"</f>
        <v>0,6588</v>
      </c>
      <c r="F16" s="19" t="s">
        <v>13</v>
      </c>
      <c r="G16" s="19" t="s">
        <v>14</v>
      </c>
      <c r="H16" s="38" t="s">
        <v>57</v>
      </c>
      <c r="I16" s="38" t="s">
        <v>69</v>
      </c>
      <c r="J16" s="38" t="s">
        <v>260</v>
      </c>
      <c r="K16" s="35"/>
      <c r="L16" s="44">
        <v>232.5</v>
      </c>
      <c r="M16" s="34" t="str">
        <f>"153,1710"</f>
        <v>153,1710</v>
      </c>
      <c r="N16" s="19" t="s">
        <v>459</v>
      </c>
    </row>
    <row r="17" spans="1:14" ht="12.75">
      <c r="A17" s="32">
        <v>2</v>
      </c>
      <c r="B17" s="20" t="s">
        <v>454</v>
      </c>
      <c r="C17" s="20" t="s">
        <v>261</v>
      </c>
      <c r="D17" s="20" t="s">
        <v>262</v>
      </c>
      <c r="E17" s="20" t="str">
        <f>"0,6557"</f>
        <v>0,6557</v>
      </c>
      <c r="F17" s="20" t="s">
        <v>13</v>
      </c>
      <c r="G17" s="20" t="s">
        <v>75</v>
      </c>
      <c r="H17" s="49" t="s">
        <v>76</v>
      </c>
      <c r="I17" s="49" t="s">
        <v>44</v>
      </c>
      <c r="J17" s="40" t="s">
        <v>81</v>
      </c>
      <c r="K17" s="36"/>
      <c r="L17" s="46">
        <v>185</v>
      </c>
      <c r="M17" s="37" t="str">
        <f>"121,3045"</f>
        <v>121,3045</v>
      </c>
      <c r="N17" s="20" t="s">
        <v>165</v>
      </c>
    </row>
    <row r="19" spans="2:13" ht="15">
      <c r="B19" s="110" t="s">
        <v>78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4" ht="12.75">
      <c r="A20" s="32">
        <v>1</v>
      </c>
      <c r="B20" s="12" t="s">
        <v>455</v>
      </c>
      <c r="C20" s="12" t="s">
        <v>263</v>
      </c>
      <c r="D20" s="12" t="s">
        <v>264</v>
      </c>
      <c r="E20" s="12" t="str">
        <f>"0,6229"</f>
        <v>0,6229</v>
      </c>
      <c r="F20" s="12" t="s">
        <v>265</v>
      </c>
      <c r="G20" s="12" t="s">
        <v>14</v>
      </c>
      <c r="H20" s="31" t="s">
        <v>87</v>
      </c>
      <c r="I20" s="31" t="s">
        <v>266</v>
      </c>
      <c r="J20" s="30" t="s">
        <v>93</v>
      </c>
      <c r="K20" s="28"/>
      <c r="L20" s="43">
        <v>265</v>
      </c>
      <c r="M20" s="29" t="str">
        <f>"165,0685"</f>
        <v>165,0685</v>
      </c>
      <c r="N20" s="12" t="s">
        <v>165</v>
      </c>
    </row>
    <row r="22" spans="2:13" ht="15">
      <c r="B22" s="110" t="s">
        <v>193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4" ht="12.75">
      <c r="A23" s="32">
        <v>1</v>
      </c>
      <c r="B23" s="12" t="s">
        <v>456</v>
      </c>
      <c r="C23" s="12" t="s">
        <v>231</v>
      </c>
      <c r="D23" s="12" t="s">
        <v>232</v>
      </c>
      <c r="E23" s="12" t="str">
        <f>"0,5757"</f>
        <v>0,5757</v>
      </c>
      <c r="F23" s="12" t="s">
        <v>13</v>
      </c>
      <c r="G23" s="12" t="s">
        <v>75</v>
      </c>
      <c r="H23" s="31" t="s">
        <v>69</v>
      </c>
      <c r="I23" s="31" t="s">
        <v>89</v>
      </c>
      <c r="J23" s="31" t="s">
        <v>267</v>
      </c>
      <c r="K23" s="28"/>
      <c r="L23" s="43">
        <v>240</v>
      </c>
      <c r="M23" s="29" t="str">
        <f>"138,1680"</f>
        <v>138,1680</v>
      </c>
      <c r="N23" s="12" t="s">
        <v>233</v>
      </c>
    </row>
    <row r="25" spans="2:3" ht="18">
      <c r="B25" s="13" t="s">
        <v>110</v>
      </c>
      <c r="C25" s="13"/>
    </row>
    <row r="26" spans="2:3" ht="15">
      <c r="B26" s="14" t="s">
        <v>117</v>
      </c>
      <c r="C26" s="14"/>
    </row>
    <row r="27" spans="2:3" ht="14.25">
      <c r="B27" s="16"/>
      <c r="C27" s="17" t="s">
        <v>530</v>
      </c>
    </row>
    <row r="28" spans="2:6" ht="15">
      <c r="B28" s="18" t="s">
        <v>112</v>
      </c>
      <c r="C28" s="18" t="s">
        <v>113</v>
      </c>
      <c r="D28" s="18" t="s">
        <v>114</v>
      </c>
      <c r="E28" s="18" t="s">
        <v>115</v>
      </c>
      <c r="F28" s="18" t="s">
        <v>116</v>
      </c>
    </row>
    <row r="29" spans="1:6" ht="12.75">
      <c r="A29" s="32">
        <v>1</v>
      </c>
      <c r="B29" s="15" t="s">
        <v>446</v>
      </c>
      <c r="C29" s="51" t="s">
        <v>111</v>
      </c>
      <c r="D29" s="52" t="s">
        <v>460</v>
      </c>
      <c r="E29" s="52" t="s">
        <v>71</v>
      </c>
      <c r="F29" s="52" t="s">
        <v>268</v>
      </c>
    </row>
    <row r="30" spans="1:6" ht="12.75">
      <c r="A30" s="32">
        <v>2</v>
      </c>
      <c r="B30" s="15" t="s">
        <v>447</v>
      </c>
      <c r="C30" s="51" t="s">
        <v>111</v>
      </c>
      <c r="D30" s="52" t="s">
        <v>420</v>
      </c>
      <c r="E30" s="52" t="s">
        <v>57</v>
      </c>
      <c r="F30" s="52" t="s">
        <v>269</v>
      </c>
    </row>
    <row r="31" spans="1:6" ht="12.75">
      <c r="A31" s="32">
        <v>3</v>
      </c>
      <c r="B31" s="15" t="s">
        <v>448</v>
      </c>
      <c r="C31" s="51" t="s">
        <v>111</v>
      </c>
      <c r="D31" s="52" t="s">
        <v>388</v>
      </c>
      <c r="E31" s="52" t="s">
        <v>266</v>
      </c>
      <c r="F31" s="52" t="s">
        <v>270</v>
      </c>
    </row>
  </sheetData>
  <sheetProtection/>
  <mergeCells count="18"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B15:M15"/>
    <mergeCell ref="B19:M19"/>
    <mergeCell ref="B22:M22"/>
    <mergeCell ref="L3:L4"/>
    <mergeCell ref="M3:M4"/>
    <mergeCell ref="N3:N4"/>
    <mergeCell ref="B5:M5"/>
    <mergeCell ref="B8:M8"/>
    <mergeCell ref="B11:M1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32" customWidth="1"/>
    <col min="2" max="2" width="31.875" style="11" bestFit="1" customWidth="1"/>
    <col min="3" max="3" width="28.875" style="11" bestFit="1" customWidth="1"/>
    <col min="4" max="4" width="12.375" style="11" customWidth="1"/>
    <col min="5" max="5" width="8.375" style="11" bestFit="1" customWidth="1"/>
    <col min="6" max="6" width="22.75390625" style="11" bestFit="1" customWidth="1"/>
    <col min="7" max="7" width="26.875" style="11" bestFit="1" customWidth="1"/>
    <col min="8" max="10" width="5.625" style="52" bestFit="1" customWidth="1"/>
    <col min="11" max="11" width="4.625" style="52" bestFit="1" customWidth="1"/>
    <col min="12" max="12" width="10.375" style="70" customWidth="1"/>
    <col min="13" max="13" width="8.625" style="52" bestFit="1" customWidth="1"/>
    <col min="14" max="14" width="21.125" style="11" bestFit="1" customWidth="1"/>
  </cols>
  <sheetData>
    <row r="1" spans="1:14" s="1" customFormat="1" ht="15" customHeight="1">
      <c r="A1" s="53"/>
      <c r="B1" s="100" t="s">
        <v>532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91.5" customHeight="1" thickBot="1">
      <c r="A2" s="53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9</v>
      </c>
      <c r="F3" s="93" t="s">
        <v>7</v>
      </c>
      <c r="G3" s="93" t="s">
        <v>373</v>
      </c>
      <c r="H3" s="93" t="s">
        <v>3</v>
      </c>
      <c r="I3" s="93"/>
      <c r="J3" s="93"/>
      <c r="K3" s="93"/>
      <c r="L3" s="111" t="s">
        <v>375</v>
      </c>
      <c r="M3" s="93" t="s">
        <v>6</v>
      </c>
      <c r="N3" s="97" t="s">
        <v>5</v>
      </c>
    </row>
    <row r="4" spans="1:14" s="2" customFormat="1" ht="21" customHeight="1" thickBot="1">
      <c r="A4" s="96"/>
      <c r="B4" s="107"/>
      <c r="C4" s="94"/>
      <c r="D4" s="109"/>
      <c r="E4" s="94"/>
      <c r="F4" s="94"/>
      <c r="G4" s="94"/>
      <c r="H4" s="3">
        <v>1</v>
      </c>
      <c r="I4" s="3">
        <v>2</v>
      </c>
      <c r="J4" s="3">
        <v>3</v>
      </c>
      <c r="K4" s="3" t="s">
        <v>8</v>
      </c>
      <c r="L4" s="112"/>
      <c r="M4" s="94"/>
      <c r="N4" s="98"/>
    </row>
    <row r="5" spans="2:13" ht="15">
      <c r="B5" s="99" t="s">
        <v>46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4" ht="12.75">
      <c r="A6" s="32">
        <v>1</v>
      </c>
      <c r="B6" s="12" t="s">
        <v>413</v>
      </c>
      <c r="C6" s="12" t="s">
        <v>154</v>
      </c>
      <c r="D6" s="12" t="s">
        <v>155</v>
      </c>
      <c r="E6" s="12" t="str">
        <f>"0,7278"</f>
        <v>0,7278</v>
      </c>
      <c r="F6" s="12" t="s">
        <v>156</v>
      </c>
      <c r="G6" s="12" t="s">
        <v>75</v>
      </c>
      <c r="H6" s="31" t="s">
        <v>62</v>
      </c>
      <c r="I6" s="31" t="s">
        <v>66</v>
      </c>
      <c r="J6" s="30" t="s">
        <v>43</v>
      </c>
      <c r="K6" s="28"/>
      <c r="L6" s="43">
        <v>165</v>
      </c>
      <c r="M6" s="29" t="str">
        <f>"120,0870"</f>
        <v>120,0870</v>
      </c>
      <c r="N6" s="12" t="s">
        <v>165</v>
      </c>
    </row>
    <row r="8" spans="2:13" ht="15">
      <c r="B8" s="110" t="s">
        <v>59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4" ht="12.75">
      <c r="A9" s="32">
        <v>1</v>
      </c>
      <c r="B9" s="19" t="s">
        <v>461</v>
      </c>
      <c r="C9" s="19" t="s">
        <v>166</v>
      </c>
      <c r="D9" s="19" t="s">
        <v>167</v>
      </c>
      <c r="E9" s="19" t="str">
        <f>"0,6421"</f>
        <v>0,6421</v>
      </c>
      <c r="F9" s="19" t="s">
        <v>13</v>
      </c>
      <c r="G9" s="19" t="s">
        <v>14</v>
      </c>
      <c r="H9" s="38" t="s">
        <v>70</v>
      </c>
      <c r="I9" s="38" t="s">
        <v>71</v>
      </c>
      <c r="J9" s="39" t="s">
        <v>87</v>
      </c>
      <c r="K9" s="35"/>
      <c r="L9" s="44">
        <v>245</v>
      </c>
      <c r="M9" s="34" t="str">
        <f>"157,3145"</f>
        <v>157,3145</v>
      </c>
      <c r="N9" s="19" t="s">
        <v>165</v>
      </c>
    </row>
    <row r="10" spans="1:14" ht="12.75">
      <c r="A10" s="32">
        <v>1</v>
      </c>
      <c r="B10" s="20" t="s">
        <v>137</v>
      </c>
      <c r="C10" s="20" t="s">
        <v>72</v>
      </c>
      <c r="D10" s="20" t="s">
        <v>73</v>
      </c>
      <c r="E10" s="20" t="str">
        <f>"0,6511"</f>
        <v>0,6511</v>
      </c>
      <c r="F10" s="20" t="s">
        <v>74</v>
      </c>
      <c r="G10" s="20" t="s">
        <v>75</v>
      </c>
      <c r="H10" s="49" t="s">
        <v>39</v>
      </c>
      <c r="I10" s="49" t="s">
        <v>62</v>
      </c>
      <c r="J10" s="49" t="s">
        <v>66</v>
      </c>
      <c r="K10" s="36"/>
      <c r="L10" s="46">
        <v>165</v>
      </c>
      <c r="M10" s="37" t="str">
        <f>"107,4315"</f>
        <v>107,4315</v>
      </c>
      <c r="N10" s="20" t="s">
        <v>394</v>
      </c>
    </row>
    <row r="12" spans="2:13" ht="15">
      <c r="B12" s="110" t="s">
        <v>78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4" ht="12.75">
      <c r="A13" s="32">
        <v>1</v>
      </c>
      <c r="B13" s="12" t="s">
        <v>462</v>
      </c>
      <c r="C13" s="12" t="s">
        <v>240</v>
      </c>
      <c r="D13" s="12" t="s">
        <v>241</v>
      </c>
      <c r="E13" s="12" t="str">
        <f>"0,6295"</f>
        <v>0,6295</v>
      </c>
      <c r="F13" s="12" t="s">
        <v>13</v>
      </c>
      <c r="G13" s="12" t="s">
        <v>14</v>
      </c>
      <c r="H13" s="31" t="s">
        <v>57</v>
      </c>
      <c r="I13" s="31" t="s">
        <v>69</v>
      </c>
      <c r="J13" s="31" t="s">
        <v>89</v>
      </c>
      <c r="K13" s="28"/>
      <c r="L13" s="43">
        <v>230</v>
      </c>
      <c r="M13" s="29" t="str">
        <f>"144,7850"</f>
        <v>144,7850</v>
      </c>
      <c r="N13" s="12" t="s">
        <v>165</v>
      </c>
    </row>
    <row r="15" spans="2:13" ht="15">
      <c r="B15" s="110" t="s">
        <v>82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4" ht="12.75">
      <c r="A16" s="32">
        <v>1</v>
      </c>
      <c r="B16" s="19" t="s">
        <v>463</v>
      </c>
      <c r="C16" s="19" t="s">
        <v>83</v>
      </c>
      <c r="D16" s="19" t="s">
        <v>84</v>
      </c>
      <c r="E16" s="19" t="str">
        <f>"0,5895"</f>
        <v>0,5895</v>
      </c>
      <c r="F16" s="19" t="s">
        <v>85</v>
      </c>
      <c r="G16" s="19" t="s">
        <v>86</v>
      </c>
      <c r="H16" s="38" t="s">
        <v>89</v>
      </c>
      <c r="I16" s="38" t="s">
        <v>87</v>
      </c>
      <c r="J16" s="39" t="s">
        <v>90</v>
      </c>
      <c r="K16" s="35"/>
      <c r="L16" s="44">
        <v>250</v>
      </c>
      <c r="M16" s="34" t="str">
        <f>"147,3750"</f>
        <v>147,3750</v>
      </c>
      <c r="N16" s="19" t="s">
        <v>165</v>
      </c>
    </row>
    <row r="17" spans="1:14" ht="12.75">
      <c r="A17" s="32">
        <v>1</v>
      </c>
      <c r="B17" s="20" t="s">
        <v>250</v>
      </c>
      <c r="C17" s="20" t="s">
        <v>102</v>
      </c>
      <c r="D17" s="20" t="s">
        <v>84</v>
      </c>
      <c r="E17" s="20" t="str">
        <f>"0,5895"</f>
        <v>0,5895</v>
      </c>
      <c r="F17" s="20" t="s">
        <v>13</v>
      </c>
      <c r="G17" s="20" t="s">
        <v>86</v>
      </c>
      <c r="H17" s="49" t="s">
        <v>89</v>
      </c>
      <c r="I17" s="49" t="s">
        <v>87</v>
      </c>
      <c r="J17" s="40" t="s">
        <v>90</v>
      </c>
      <c r="K17" s="36"/>
      <c r="L17" s="46">
        <v>250</v>
      </c>
      <c r="M17" s="37" t="str">
        <f>"149,4383"</f>
        <v>149,4383</v>
      </c>
      <c r="N17" s="20" t="s">
        <v>165</v>
      </c>
    </row>
    <row r="19" spans="2:13" ht="15">
      <c r="B19" s="110" t="s">
        <v>193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4" ht="12.75">
      <c r="A20" s="32">
        <v>1</v>
      </c>
      <c r="B20" s="12" t="s">
        <v>464</v>
      </c>
      <c r="C20" s="12" t="s">
        <v>242</v>
      </c>
      <c r="D20" s="12" t="s">
        <v>243</v>
      </c>
      <c r="E20" s="12" t="str">
        <f>"0,5828"</f>
        <v>0,5828</v>
      </c>
      <c r="F20" s="12" t="s">
        <v>156</v>
      </c>
      <c r="G20" s="12" t="s">
        <v>75</v>
      </c>
      <c r="H20" s="31" t="s">
        <v>142</v>
      </c>
      <c r="I20" s="31" t="s">
        <v>143</v>
      </c>
      <c r="J20" s="31" t="s">
        <v>70</v>
      </c>
      <c r="K20" s="28"/>
      <c r="L20" s="43">
        <v>235</v>
      </c>
      <c r="M20" s="29" t="str">
        <f>"136,9580"</f>
        <v>136,9580</v>
      </c>
      <c r="N20" s="12" t="s">
        <v>165</v>
      </c>
    </row>
    <row r="22" spans="2:13" ht="15">
      <c r="B22" s="110" t="s">
        <v>104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4" ht="12.75">
      <c r="A23" s="32">
        <v>1</v>
      </c>
      <c r="B23" s="12" t="s">
        <v>432</v>
      </c>
      <c r="C23" s="12" t="s">
        <v>244</v>
      </c>
      <c r="D23" s="12" t="s">
        <v>245</v>
      </c>
      <c r="E23" s="12" t="str">
        <f>"0,5653"</f>
        <v>0,5653</v>
      </c>
      <c r="F23" s="12" t="s">
        <v>13</v>
      </c>
      <c r="G23" s="12" t="s">
        <v>150</v>
      </c>
      <c r="H23" s="31" t="s">
        <v>109</v>
      </c>
      <c r="I23" s="31" t="s">
        <v>88</v>
      </c>
      <c r="J23" s="31" t="s">
        <v>246</v>
      </c>
      <c r="K23" s="28"/>
      <c r="L23" s="43">
        <v>297.5</v>
      </c>
      <c r="M23" s="29" t="str">
        <f>"168,1767"</f>
        <v>168,1767</v>
      </c>
      <c r="N23" s="12" t="s">
        <v>165</v>
      </c>
    </row>
    <row r="25" spans="2:3" ht="18">
      <c r="B25" s="13" t="s">
        <v>110</v>
      </c>
      <c r="C25" s="13"/>
    </row>
    <row r="26" spans="2:3" ht="14.25">
      <c r="B26" s="16"/>
      <c r="C26" s="17" t="s">
        <v>530</v>
      </c>
    </row>
    <row r="27" spans="2:6" ht="15">
      <c r="B27" s="18" t="s">
        <v>112</v>
      </c>
      <c r="C27" s="18" t="s">
        <v>113</v>
      </c>
      <c r="D27" s="18" t="s">
        <v>114</v>
      </c>
      <c r="E27" s="18" t="s">
        <v>115</v>
      </c>
      <c r="F27" s="18" t="s">
        <v>116</v>
      </c>
    </row>
    <row r="28" spans="1:6" ht="12.75">
      <c r="A28" s="32">
        <v>1</v>
      </c>
      <c r="B28" s="15" t="s">
        <v>432</v>
      </c>
      <c r="C28" s="51" t="s">
        <v>111</v>
      </c>
      <c r="D28" s="52" t="s">
        <v>466</v>
      </c>
      <c r="E28" s="52" t="s">
        <v>246</v>
      </c>
      <c r="F28" s="52" t="s">
        <v>247</v>
      </c>
    </row>
    <row r="29" spans="1:6" ht="12.75">
      <c r="A29" s="32">
        <v>2</v>
      </c>
      <c r="B29" s="15" t="s">
        <v>463</v>
      </c>
      <c r="C29" s="51" t="s">
        <v>111</v>
      </c>
      <c r="D29" s="52" t="s">
        <v>467</v>
      </c>
      <c r="E29" s="52" t="s">
        <v>87</v>
      </c>
      <c r="F29" s="52" t="s">
        <v>248</v>
      </c>
    </row>
    <row r="30" spans="1:6" ht="12.75">
      <c r="A30" s="32">
        <v>3</v>
      </c>
      <c r="B30" s="15" t="s">
        <v>465</v>
      </c>
      <c r="C30" s="51" t="s">
        <v>111</v>
      </c>
      <c r="D30" s="52" t="s">
        <v>388</v>
      </c>
      <c r="E30" s="52" t="s">
        <v>89</v>
      </c>
      <c r="F30" s="52" t="s">
        <v>249</v>
      </c>
    </row>
  </sheetData>
  <sheetProtection/>
  <mergeCells count="18"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B15:M15"/>
    <mergeCell ref="B19:M19"/>
    <mergeCell ref="B22:M22"/>
    <mergeCell ref="L3:L4"/>
    <mergeCell ref="M3:M4"/>
    <mergeCell ref="N3:N4"/>
    <mergeCell ref="B5:M5"/>
    <mergeCell ref="B8:M8"/>
    <mergeCell ref="B12:M1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L45" sqref="K44:L45"/>
    </sheetView>
  </sheetViews>
  <sheetFormatPr defaultColWidth="8.75390625" defaultRowHeight="12.75"/>
  <cols>
    <col min="1" max="1" width="9.125" style="32" customWidth="1"/>
    <col min="2" max="2" width="23.25390625" style="11" customWidth="1"/>
    <col min="3" max="3" width="25.375" style="11" customWidth="1"/>
    <col min="4" max="4" width="10.00390625" style="11" customWidth="1"/>
    <col min="5" max="5" width="8.375" style="11" bestFit="1" customWidth="1"/>
    <col min="6" max="6" width="22.75390625" style="11" bestFit="1" customWidth="1"/>
    <col min="7" max="7" width="32.125" style="11" customWidth="1"/>
    <col min="8" max="10" width="5.625" style="52" bestFit="1" customWidth="1"/>
    <col min="11" max="11" width="4.625" style="52" bestFit="1" customWidth="1"/>
    <col min="12" max="12" width="11.125" style="70" customWidth="1"/>
    <col min="13" max="13" width="8.625" style="52" bestFit="1" customWidth="1"/>
    <col min="14" max="14" width="21.25390625" style="11" customWidth="1"/>
  </cols>
  <sheetData>
    <row r="1" spans="1:14" s="1" customFormat="1" ht="15" customHeight="1">
      <c r="A1" s="53"/>
      <c r="B1" s="100" t="s">
        <v>533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93.75" customHeight="1" thickBot="1">
      <c r="A2" s="53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9</v>
      </c>
      <c r="F3" s="93" t="s">
        <v>7</v>
      </c>
      <c r="G3" s="93" t="s">
        <v>373</v>
      </c>
      <c r="H3" s="93" t="s">
        <v>2</v>
      </c>
      <c r="I3" s="93"/>
      <c r="J3" s="93"/>
      <c r="K3" s="93"/>
      <c r="L3" s="111" t="s">
        <v>375</v>
      </c>
      <c r="M3" s="93" t="s">
        <v>6</v>
      </c>
      <c r="N3" s="97" t="s">
        <v>5</v>
      </c>
    </row>
    <row r="4" spans="1:14" s="2" customFormat="1" ht="21" customHeight="1" thickBot="1">
      <c r="A4" s="96"/>
      <c r="B4" s="107"/>
      <c r="C4" s="94"/>
      <c r="D4" s="109"/>
      <c r="E4" s="94"/>
      <c r="F4" s="94"/>
      <c r="G4" s="94"/>
      <c r="H4" s="3">
        <v>1</v>
      </c>
      <c r="I4" s="3">
        <v>2</v>
      </c>
      <c r="J4" s="3">
        <v>3</v>
      </c>
      <c r="K4" s="3" t="s">
        <v>8</v>
      </c>
      <c r="L4" s="112"/>
      <c r="M4" s="94"/>
      <c r="N4" s="98"/>
    </row>
    <row r="5" spans="2:13" ht="15">
      <c r="B5" s="99" t="s">
        <v>199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4" ht="12.75">
      <c r="A6" s="32">
        <v>1</v>
      </c>
      <c r="B6" s="12" t="s">
        <v>468</v>
      </c>
      <c r="C6" s="12" t="s">
        <v>200</v>
      </c>
      <c r="D6" s="12" t="s">
        <v>201</v>
      </c>
      <c r="E6" s="12" t="str">
        <f>"1,4936"</f>
        <v>1,4936</v>
      </c>
      <c r="F6" s="12" t="s">
        <v>13</v>
      </c>
      <c r="G6" s="12" t="s">
        <v>14</v>
      </c>
      <c r="H6" s="31" t="s">
        <v>202</v>
      </c>
      <c r="I6" s="30" t="s">
        <v>20</v>
      </c>
      <c r="J6" s="31" t="s">
        <v>20</v>
      </c>
      <c r="K6" s="28"/>
      <c r="L6" s="43">
        <v>45</v>
      </c>
      <c r="M6" s="29" t="str">
        <f>"67,2120"</f>
        <v>67,2120</v>
      </c>
      <c r="N6" s="12" t="s">
        <v>477</v>
      </c>
    </row>
    <row r="8" spans="2:13" ht="15">
      <c r="B8" s="110" t="s">
        <v>35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4" ht="12.75">
      <c r="A9" s="32">
        <v>1</v>
      </c>
      <c r="B9" s="12" t="s">
        <v>450</v>
      </c>
      <c r="C9" s="12" t="s">
        <v>203</v>
      </c>
      <c r="D9" s="12" t="s">
        <v>204</v>
      </c>
      <c r="E9" s="12" t="str">
        <f>"0,7901"</f>
        <v>0,7901</v>
      </c>
      <c r="F9" s="12" t="s">
        <v>13</v>
      </c>
      <c r="G9" s="12" t="s">
        <v>205</v>
      </c>
      <c r="H9" s="31" t="s">
        <v>54</v>
      </c>
      <c r="I9" s="31" t="s">
        <v>140</v>
      </c>
      <c r="J9" s="30" t="s">
        <v>34</v>
      </c>
      <c r="K9" s="28"/>
      <c r="L9" s="43">
        <v>120</v>
      </c>
      <c r="M9" s="29" t="str">
        <f>"94,8120"</f>
        <v>94,8120</v>
      </c>
      <c r="N9" s="12" t="s">
        <v>165</v>
      </c>
    </row>
    <row r="11" spans="2:13" ht="15">
      <c r="B11" s="110" t="s">
        <v>46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4" ht="12.75">
      <c r="A12" s="32">
        <v>1</v>
      </c>
      <c r="B12" s="19" t="s">
        <v>238</v>
      </c>
      <c r="C12" s="19" t="s">
        <v>206</v>
      </c>
      <c r="D12" s="19" t="s">
        <v>207</v>
      </c>
      <c r="E12" s="19" t="str">
        <f>"0,7249"</f>
        <v>0,7249</v>
      </c>
      <c r="F12" s="19" t="s">
        <v>208</v>
      </c>
      <c r="G12" s="19" t="s">
        <v>205</v>
      </c>
      <c r="H12" s="38" t="s">
        <v>39</v>
      </c>
      <c r="I12" s="38" t="s">
        <v>50</v>
      </c>
      <c r="J12" s="39" t="s">
        <v>62</v>
      </c>
      <c r="K12" s="35"/>
      <c r="L12" s="44">
        <v>150</v>
      </c>
      <c r="M12" s="34" t="str">
        <f>"108,7350"</f>
        <v>108,7350</v>
      </c>
      <c r="N12" s="19" t="s">
        <v>165</v>
      </c>
    </row>
    <row r="13" spans="1:14" ht="12.75">
      <c r="A13" s="32">
        <v>1</v>
      </c>
      <c r="B13" s="20" t="s">
        <v>469</v>
      </c>
      <c r="C13" s="20" t="s">
        <v>209</v>
      </c>
      <c r="D13" s="20" t="s">
        <v>210</v>
      </c>
      <c r="E13" s="20" t="str">
        <f>"0,7152"</f>
        <v>0,7152</v>
      </c>
      <c r="F13" s="20" t="s">
        <v>13</v>
      </c>
      <c r="G13" s="20" t="s">
        <v>75</v>
      </c>
      <c r="H13" s="49" t="s">
        <v>54</v>
      </c>
      <c r="I13" s="49" t="s">
        <v>33</v>
      </c>
      <c r="J13" s="40" t="s">
        <v>140</v>
      </c>
      <c r="K13" s="36"/>
      <c r="L13" s="46">
        <v>117.5</v>
      </c>
      <c r="M13" s="37" t="str">
        <f>"96,6414"</f>
        <v>96,6414</v>
      </c>
      <c r="N13" s="20" t="s">
        <v>478</v>
      </c>
    </row>
    <row r="15" spans="2:13" ht="15">
      <c r="B15" s="110" t="s">
        <v>160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4" ht="12.75">
      <c r="A16" s="32">
        <v>1</v>
      </c>
      <c r="B16" s="19" t="s">
        <v>470</v>
      </c>
      <c r="C16" s="19" t="s">
        <v>161</v>
      </c>
      <c r="D16" s="19" t="s">
        <v>162</v>
      </c>
      <c r="E16" s="19" t="str">
        <f>"0,6785"</f>
        <v>0,6785</v>
      </c>
      <c r="F16" s="19" t="s">
        <v>13</v>
      </c>
      <c r="G16" s="19" t="s">
        <v>479</v>
      </c>
      <c r="H16" s="38" t="s">
        <v>49</v>
      </c>
      <c r="I16" s="38" t="s">
        <v>140</v>
      </c>
      <c r="J16" s="39" t="s">
        <v>146</v>
      </c>
      <c r="K16" s="35"/>
      <c r="L16" s="44">
        <v>120</v>
      </c>
      <c r="M16" s="34" t="str">
        <f>"81,4200"</f>
        <v>81,4200</v>
      </c>
      <c r="N16" s="19" t="s">
        <v>165</v>
      </c>
    </row>
    <row r="17" spans="1:14" ht="12.75">
      <c r="A17" s="32">
        <v>1</v>
      </c>
      <c r="B17" s="21" t="s">
        <v>471</v>
      </c>
      <c r="C17" s="21" t="s">
        <v>211</v>
      </c>
      <c r="D17" s="21" t="s">
        <v>212</v>
      </c>
      <c r="E17" s="21" t="str">
        <f>"0,6854"</f>
        <v>0,6854</v>
      </c>
      <c r="F17" s="21" t="s">
        <v>13</v>
      </c>
      <c r="G17" s="21" t="s">
        <v>75</v>
      </c>
      <c r="H17" s="48" t="s">
        <v>62</v>
      </c>
      <c r="I17" s="48" t="s">
        <v>213</v>
      </c>
      <c r="J17" s="42"/>
      <c r="K17" s="42"/>
      <c r="L17" s="45">
        <v>167.5</v>
      </c>
      <c r="M17" s="41" t="str">
        <f>"114,8045"</f>
        <v>114,8045</v>
      </c>
      <c r="N17" s="21" t="s">
        <v>165</v>
      </c>
    </row>
    <row r="18" spans="1:14" ht="12.75">
      <c r="A18" s="32">
        <v>2</v>
      </c>
      <c r="B18" s="21" t="s">
        <v>472</v>
      </c>
      <c r="C18" s="21" t="s">
        <v>214</v>
      </c>
      <c r="D18" s="21" t="s">
        <v>215</v>
      </c>
      <c r="E18" s="21" t="str">
        <f>"0,6759"</f>
        <v>0,6759</v>
      </c>
      <c r="F18" s="21" t="s">
        <v>13</v>
      </c>
      <c r="G18" s="21" t="s">
        <v>205</v>
      </c>
      <c r="H18" s="48" t="s">
        <v>50</v>
      </c>
      <c r="I18" s="48" t="s">
        <v>62</v>
      </c>
      <c r="J18" s="50" t="s">
        <v>63</v>
      </c>
      <c r="K18" s="42"/>
      <c r="L18" s="45">
        <v>155</v>
      </c>
      <c r="M18" s="41" t="str">
        <f>"104,7645"</f>
        <v>104,7645</v>
      </c>
      <c r="N18" s="21" t="s">
        <v>165</v>
      </c>
    </row>
    <row r="19" spans="1:14" ht="12.75">
      <c r="A19" s="32">
        <v>3</v>
      </c>
      <c r="B19" s="21" t="s">
        <v>239</v>
      </c>
      <c r="C19" s="21" t="s">
        <v>216</v>
      </c>
      <c r="D19" s="21" t="s">
        <v>217</v>
      </c>
      <c r="E19" s="21" t="str">
        <f>"0,6749"</f>
        <v>0,6749</v>
      </c>
      <c r="F19" s="21" t="s">
        <v>218</v>
      </c>
      <c r="G19" s="21" t="s">
        <v>14</v>
      </c>
      <c r="H19" s="50" t="s">
        <v>49</v>
      </c>
      <c r="I19" s="48" t="s">
        <v>49</v>
      </c>
      <c r="J19" s="48" t="s">
        <v>54</v>
      </c>
      <c r="K19" s="42"/>
      <c r="L19" s="45">
        <v>115</v>
      </c>
      <c r="M19" s="41" t="str">
        <f>"77,6135"</f>
        <v>77,6135</v>
      </c>
      <c r="N19" s="21" t="s">
        <v>481</v>
      </c>
    </row>
    <row r="20" spans="1:14" ht="12.75">
      <c r="A20" s="32">
        <v>1</v>
      </c>
      <c r="B20" s="20" t="s">
        <v>77</v>
      </c>
      <c r="C20" s="20" t="s">
        <v>219</v>
      </c>
      <c r="D20" s="20" t="s">
        <v>220</v>
      </c>
      <c r="E20" s="20" t="str">
        <f>"0,6714"</f>
        <v>0,6714</v>
      </c>
      <c r="F20" s="20" t="s">
        <v>74</v>
      </c>
      <c r="G20" s="20" t="s">
        <v>75</v>
      </c>
      <c r="H20" s="49" t="s">
        <v>54</v>
      </c>
      <c r="I20" s="49" t="s">
        <v>34</v>
      </c>
      <c r="J20" s="49" t="s">
        <v>53</v>
      </c>
      <c r="K20" s="36"/>
      <c r="L20" s="46">
        <v>130</v>
      </c>
      <c r="M20" s="37" t="str">
        <f>"111,1100"</f>
        <v>111,1100</v>
      </c>
      <c r="N20" s="20" t="s">
        <v>165</v>
      </c>
    </row>
    <row r="22" spans="2:13" ht="15">
      <c r="B22" s="110" t="s">
        <v>59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4" ht="12.75">
      <c r="A23" s="32">
        <v>1</v>
      </c>
      <c r="B23" s="19" t="s">
        <v>429</v>
      </c>
      <c r="C23" s="19" t="s">
        <v>221</v>
      </c>
      <c r="D23" s="19" t="s">
        <v>167</v>
      </c>
      <c r="E23" s="19" t="str">
        <f>"0,6421"</f>
        <v>0,6421</v>
      </c>
      <c r="F23" s="19" t="s">
        <v>13</v>
      </c>
      <c r="G23" s="19" t="s">
        <v>222</v>
      </c>
      <c r="H23" s="38" t="s">
        <v>38</v>
      </c>
      <c r="I23" s="39" t="s">
        <v>141</v>
      </c>
      <c r="J23" s="39" t="s">
        <v>141</v>
      </c>
      <c r="K23" s="35"/>
      <c r="L23" s="44">
        <v>135</v>
      </c>
      <c r="M23" s="34" t="str">
        <f>"86,6835"</f>
        <v>86,6835</v>
      </c>
      <c r="N23" s="19" t="s">
        <v>165</v>
      </c>
    </row>
    <row r="24" spans="1:14" ht="12.75">
      <c r="A24" s="32">
        <v>1</v>
      </c>
      <c r="B24" s="20" t="s">
        <v>473</v>
      </c>
      <c r="C24" s="20" t="s">
        <v>223</v>
      </c>
      <c r="D24" s="20" t="s">
        <v>73</v>
      </c>
      <c r="E24" s="20" t="str">
        <f>"0,6511"</f>
        <v>0,6511</v>
      </c>
      <c r="F24" s="20" t="s">
        <v>13</v>
      </c>
      <c r="G24" s="20" t="s">
        <v>14</v>
      </c>
      <c r="H24" s="49" t="s">
        <v>146</v>
      </c>
      <c r="I24" s="49" t="s">
        <v>147</v>
      </c>
      <c r="J24" s="40" t="s">
        <v>186</v>
      </c>
      <c r="K24" s="36"/>
      <c r="L24" s="46">
        <v>127.5</v>
      </c>
      <c r="M24" s="37" t="str">
        <f>"84,1775"</f>
        <v>84,1775</v>
      </c>
      <c r="N24" s="20" t="s">
        <v>165</v>
      </c>
    </row>
    <row r="26" spans="2:13" ht="15">
      <c r="B26" s="110" t="s">
        <v>78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14" ht="12.75">
      <c r="A27" s="32">
        <v>1</v>
      </c>
      <c r="B27" s="19" t="s">
        <v>237</v>
      </c>
      <c r="C27" s="19" t="s">
        <v>224</v>
      </c>
      <c r="D27" s="19" t="s">
        <v>225</v>
      </c>
      <c r="E27" s="19" t="str">
        <f>"0,6152"</f>
        <v>0,6152</v>
      </c>
      <c r="F27" s="19" t="s">
        <v>85</v>
      </c>
      <c r="G27" s="19" t="s">
        <v>86</v>
      </c>
      <c r="H27" s="38" t="s">
        <v>159</v>
      </c>
      <c r="I27" s="39" t="s">
        <v>226</v>
      </c>
      <c r="J27" s="39" t="s">
        <v>226</v>
      </c>
      <c r="K27" s="35"/>
      <c r="L27" s="44">
        <v>145</v>
      </c>
      <c r="M27" s="34" t="str">
        <f>"89,2040"</f>
        <v>89,2040</v>
      </c>
      <c r="N27" s="19" t="s">
        <v>165</v>
      </c>
    </row>
    <row r="28" spans="1:14" ht="12.75">
      <c r="A28" s="32">
        <v>2</v>
      </c>
      <c r="B28" s="20" t="s">
        <v>474</v>
      </c>
      <c r="C28" s="20" t="s">
        <v>227</v>
      </c>
      <c r="D28" s="20" t="s">
        <v>228</v>
      </c>
      <c r="E28" s="20" t="str">
        <f>"0,6285"</f>
        <v>0,6285</v>
      </c>
      <c r="F28" s="20" t="s">
        <v>13</v>
      </c>
      <c r="G28" s="20" t="s">
        <v>480</v>
      </c>
      <c r="H28" s="49" t="s">
        <v>38</v>
      </c>
      <c r="I28" s="40" t="s">
        <v>159</v>
      </c>
      <c r="J28" s="40" t="s">
        <v>159</v>
      </c>
      <c r="K28" s="36"/>
      <c r="L28" s="46">
        <v>135</v>
      </c>
      <c r="M28" s="37" t="str">
        <f>"84,8475"</f>
        <v>84,8475</v>
      </c>
      <c r="N28" s="20" t="s">
        <v>482</v>
      </c>
    </row>
    <row r="30" spans="2:13" ht="15">
      <c r="B30" s="110" t="s">
        <v>82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4" ht="12.75">
      <c r="A31" s="32">
        <v>1</v>
      </c>
      <c r="B31" s="12" t="s">
        <v>475</v>
      </c>
      <c r="C31" s="12" t="s">
        <v>229</v>
      </c>
      <c r="D31" s="12" t="s">
        <v>230</v>
      </c>
      <c r="E31" s="12" t="str">
        <f>"0,5890"</f>
        <v>0,5890</v>
      </c>
      <c r="F31" s="12" t="s">
        <v>13</v>
      </c>
      <c r="G31" s="12" t="s">
        <v>75</v>
      </c>
      <c r="H31" s="30" t="s">
        <v>39</v>
      </c>
      <c r="I31" s="31" t="s">
        <v>39</v>
      </c>
      <c r="J31" s="31" t="s">
        <v>101</v>
      </c>
      <c r="K31" s="28"/>
      <c r="L31" s="43">
        <v>147.5</v>
      </c>
      <c r="M31" s="29" t="str">
        <f>"86,8775"</f>
        <v>86,8775</v>
      </c>
      <c r="N31" s="12" t="s">
        <v>165</v>
      </c>
    </row>
    <row r="33" spans="2:13" ht="15">
      <c r="B33" s="110" t="s">
        <v>193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4" ht="12.75">
      <c r="A34" s="32">
        <v>1</v>
      </c>
      <c r="B34" s="12" t="s">
        <v>476</v>
      </c>
      <c r="C34" s="12" t="s">
        <v>231</v>
      </c>
      <c r="D34" s="12" t="s">
        <v>232</v>
      </c>
      <c r="E34" s="12" t="str">
        <f>"0,5757"</f>
        <v>0,5757</v>
      </c>
      <c r="F34" s="12" t="s">
        <v>13</v>
      </c>
      <c r="G34" s="12" t="s">
        <v>75</v>
      </c>
      <c r="H34" s="31" t="s">
        <v>159</v>
      </c>
      <c r="I34" s="30" t="s">
        <v>65</v>
      </c>
      <c r="J34" s="31" t="s">
        <v>65</v>
      </c>
      <c r="K34" s="28"/>
      <c r="L34" s="43">
        <v>152.5</v>
      </c>
      <c r="M34" s="29" t="str">
        <f>"87,7942"</f>
        <v>87,7942</v>
      </c>
      <c r="N34" s="12" t="s">
        <v>233</v>
      </c>
    </row>
    <row r="36" spans="2:3" ht="18">
      <c r="B36" s="13" t="s">
        <v>110</v>
      </c>
      <c r="C36" s="13"/>
    </row>
    <row r="37" spans="2:3" ht="14.25">
      <c r="B37" s="16"/>
      <c r="C37" s="17" t="s">
        <v>530</v>
      </c>
    </row>
    <row r="38" spans="2:6" ht="15">
      <c r="B38" s="18" t="s">
        <v>112</v>
      </c>
      <c r="C38" s="18" t="s">
        <v>113</v>
      </c>
      <c r="D38" s="18" t="s">
        <v>114</v>
      </c>
      <c r="E38" s="18" t="s">
        <v>115</v>
      </c>
      <c r="F38" s="18" t="s">
        <v>116</v>
      </c>
    </row>
    <row r="39" spans="1:6" ht="12.75">
      <c r="A39" s="32">
        <v>1</v>
      </c>
      <c r="B39" s="15" t="s">
        <v>435</v>
      </c>
      <c r="C39" s="51" t="s">
        <v>111</v>
      </c>
      <c r="D39" s="52" t="s">
        <v>460</v>
      </c>
      <c r="E39" s="52" t="s">
        <v>213</v>
      </c>
      <c r="F39" s="52" t="s">
        <v>234</v>
      </c>
    </row>
    <row r="40" spans="1:6" ht="12.75">
      <c r="A40" s="32">
        <v>2</v>
      </c>
      <c r="B40" s="15" t="s">
        <v>374</v>
      </c>
      <c r="C40" s="51" t="s">
        <v>111</v>
      </c>
      <c r="D40" s="52" t="s">
        <v>389</v>
      </c>
      <c r="E40" s="52" t="s">
        <v>50</v>
      </c>
      <c r="F40" s="52" t="s">
        <v>235</v>
      </c>
    </row>
    <row r="41" spans="1:6" ht="12.75">
      <c r="A41" s="32">
        <v>3</v>
      </c>
      <c r="B41" s="15" t="s">
        <v>434</v>
      </c>
      <c r="C41" s="51" t="s">
        <v>111</v>
      </c>
      <c r="D41" s="52" t="s">
        <v>460</v>
      </c>
      <c r="E41" s="52" t="s">
        <v>62</v>
      </c>
      <c r="F41" s="52" t="s">
        <v>236</v>
      </c>
    </row>
  </sheetData>
  <sheetProtection/>
  <mergeCells count="20">
    <mergeCell ref="A3:A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B15:M15"/>
    <mergeCell ref="B22:M22"/>
    <mergeCell ref="B26:M26"/>
    <mergeCell ref="B30:M30"/>
    <mergeCell ref="B33:M33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L44" sqref="L44"/>
    </sheetView>
  </sheetViews>
  <sheetFormatPr defaultColWidth="8.75390625" defaultRowHeight="12.75"/>
  <cols>
    <col min="1" max="1" width="9.125" style="32" customWidth="1"/>
    <col min="2" max="2" width="27.875" style="11" customWidth="1"/>
    <col min="3" max="3" width="26.00390625" style="11" customWidth="1"/>
    <col min="4" max="4" width="11.625" style="11" customWidth="1"/>
    <col min="5" max="5" width="8.375" style="11" bestFit="1" customWidth="1"/>
    <col min="6" max="6" width="22.75390625" style="11" bestFit="1" customWidth="1"/>
    <col min="7" max="7" width="27.25390625" style="11" customWidth="1"/>
    <col min="8" max="10" width="5.625" style="52" bestFit="1" customWidth="1"/>
    <col min="11" max="11" width="4.625" style="52" bestFit="1" customWidth="1"/>
    <col min="12" max="12" width="11.875" style="70" customWidth="1"/>
    <col min="13" max="13" width="8.625" style="52" bestFit="1" customWidth="1"/>
    <col min="14" max="14" width="20.875" style="11" customWidth="1"/>
  </cols>
  <sheetData>
    <row r="1" spans="1:14" s="1" customFormat="1" ht="15" customHeight="1">
      <c r="A1" s="53"/>
      <c r="B1" s="100" t="s">
        <v>534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90" customHeight="1" thickBot="1">
      <c r="A2" s="53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9</v>
      </c>
      <c r="F3" s="93" t="s">
        <v>7</v>
      </c>
      <c r="G3" s="93" t="s">
        <v>373</v>
      </c>
      <c r="H3" s="93" t="s">
        <v>2</v>
      </c>
      <c r="I3" s="93"/>
      <c r="J3" s="93"/>
      <c r="K3" s="93"/>
      <c r="L3" s="111" t="s">
        <v>375</v>
      </c>
      <c r="M3" s="93" t="s">
        <v>6</v>
      </c>
      <c r="N3" s="97" t="s">
        <v>5</v>
      </c>
    </row>
    <row r="4" spans="1:14" s="2" customFormat="1" ht="21" customHeight="1" thickBot="1">
      <c r="A4" s="96"/>
      <c r="B4" s="107"/>
      <c r="C4" s="94"/>
      <c r="D4" s="109"/>
      <c r="E4" s="94"/>
      <c r="F4" s="94"/>
      <c r="G4" s="94"/>
      <c r="H4" s="3">
        <v>1</v>
      </c>
      <c r="I4" s="3">
        <v>2</v>
      </c>
      <c r="J4" s="3">
        <v>3</v>
      </c>
      <c r="K4" s="3" t="s">
        <v>8</v>
      </c>
      <c r="L4" s="112"/>
      <c r="M4" s="94"/>
      <c r="N4" s="98"/>
    </row>
    <row r="5" spans="2:13" ht="15">
      <c r="B5" s="99" t="s">
        <v>35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4" ht="12.75">
      <c r="A6" s="32">
        <v>1</v>
      </c>
      <c r="B6" s="19" t="s">
        <v>483</v>
      </c>
      <c r="C6" s="19" t="s">
        <v>144</v>
      </c>
      <c r="D6" s="19" t="s">
        <v>145</v>
      </c>
      <c r="E6" s="19" t="str">
        <f>"0,7823"</f>
        <v>0,7823</v>
      </c>
      <c r="F6" s="19" t="s">
        <v>13</v>
      </c>
      <c r="G6" s="19" t="s">
        <v>75</v>
      </c>
      <c r="H6" s="38" t="s">
        <v>146</v>
      </c>
      <c r="I6" s="39" t="s">
        <v>147</v>
      </c>
      <c r="J6" s="39" t="s">
        <v>147</v>
      </c>
      <c r="K6" s="35"/>
      <c r="L6" s="44">
        <v>122.5</v>
      </c>
      <c r="M6" s="34" t="str">
        <f>"95,8317"</f>
        <v>95,8317</v>
      </c>
      <c r="N6" s="19" t="s">
        <v>498</v>
      </c>
    </row>
    <row r="7" spans="1:14" ht="12.75">
      <c r="A7" s="32">
        <v>1</v>
      </c>
      <c r="B7" s="20" t="s">
        <v>409</v>
      </c>
      <c r="C7" s="20" t="s">
        <v>148</v>
      </c>
      <c r="D7" s="20" t="s">
        <v>149</v>
      </c>
      <c r="E7" s="20" t="str">
        <f>"0,7747"</f>
        <v>0,7747</v>
      </c>
      <c r="F7" s="20" t="s">
        <v>13</v>
      </c>
      <c r="G7" s="20" t="s">
        <v>150</v>
      </c>
      <c r="H7" s="49" t="s">
        <v>50</v>
      </c>
      <c r="I7" s="40" t="s">
        <v>62</v>
      </c>
      <c r="J7" s="36"/>
      <c r="K7" s="36"/>
      <c r="L7" s="46">
        <v>150</v>
      </c>
      <c r="M7" s="37" t="str">
        <f>"131,5441"</f>
        <v>131,5441</v>
      </c>
      <c r="N7" s="20" t="s">
        <v>165</v>
      </c>
    </row>
    <row r="9" spans="2:13" ht="15">
      <c r="B9" s="110" t="s">
        <v>46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4" ht="12.75">
      <c r="A10" s="32">
        <v>1</v>
      </c>
      <c r="B10" s="19" t="s">
        <v>484</v>
      </c>
      <c r="C10" s="19" t="s">
        <v>151</v>
      </c>
      <c r="D10" s="19" t="s">
        <v>152</v>
      </c>
      <c r="E10" s="19" t="str">
        <f>"0,7375"</f>
        <v>0,7375</v>
      </c>
      <c r="F10" s="19" t="s">
        <v>13</v>
      </c>
      <c r="G10" s="19" t="s">
        <v>14</v>
      </c>
      <c r="H10" s="38" t="s">
        <v>38</v>
      </c>
      <c r="I10" s="38" t="s">
        <v>39</v>
      </c>
      <c r="J10" s="38" t="s">
        <v>101</v>
      </c>
      <c r="K10" s="35"/>
      <c r="L10" s="44">
        <v>147.5</v>
      </c>
      <c r="M10" s="34" t="str">
        <f>"108,7813"</f>
        <v>108,7813</v>
      </c>
      <c r="N10" s="19" t="s">
        <v>499</v>
      </c>
    </row>
    <row r="11" spans="1:14" ht="12.75">
      <c r="A11" s="32">
        <v>1</v>
      </c>
      <c r="B11" s="21" t="s">
        <v>413</v>
      </c>
      <c r="C11" s="21" t="s">
        <v>154</v>
      </c>
      <c r="D11" s="21" t="s">
        <v>155</v>
      </c>
      <c r="E11" s="21" t="str">
        <f>"0,7278"</f>
        <v>0,7278</v>
      </c>
      <c r="F11" s="21" t="s">
        <v>156</v>
      </c>
      <c r="G11" s="21" t="s">
        <v>75</v>
      </c>
      <c r="H11" s="48" t="s">
        <v>49</v>
      </c>
      <c r="I11" s="50" t="s">
        <v>54</v>
      </c>
      <c r="J11" s="50" t="s">
        <v>54</v>
      </c>
      <c r="K11" s="42"/>
      <c r="L11" s="45">
        <v>110</v>
      </c>
      <c r="M11" s="41" t="str">
        <f>"80,0580"</f>
        <v>80,0580</v>
      </c>
      <c r="N11" s="21" t="s">
        <v>165</v>
      </c>
    </row>
    <row r="12" spans="1:14" ht="12.75">
      <c r="A12" s="32">
        <v>1</v>
      </c>
      <c r="B12" s="20" t="s">
        <v>485</v>
      </c>
      <c r="C12" s="20" t="s">
        <v>157</v>
      </c>
      <c r="D12" s="20" t="s">
        <v>158</v>
      </c>
      <c r="E12" s="20" t="str">
        <f>"0,7207"</f>
        <v>0,7207</v>
      </c>
      <c r="F12" s="20" t="s">
        <v>13</v>
      </c>
      <c r="G12" s="20" t="s">
        <v>75</v>
      </c>
      <c r="H12" s="49" t="s">
        <v>159</v>
      </c>
      <c r="I12" s="40" t="s">
        <v>62</v>
      </c>
      <c r="J12" s="49" t="s">
        <v>62</v>
      </c>
      <c r="K12" s="36"/>
      <c r="L12" s="46">
        <v>155</v>
      </c>
      <c r="M12" s="37" t="str">
        <f>"113,2724"</f>
        <v>113,2724</v>
      </c>
      <c r="N12" s="20" t="s">
        <v>165</v>
      </c>
    </row>
    <row r="14" spans="2:13" ht="15">
      <c r="B14" s="110" t="s">
        <v>160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4" ht="12.75">
      <c r="A15" s="32">
        <v>1</v>
      </c>
      <c r="B15" s="19" t="s">
        <v>470</v>
      </c>
      <c r="C15" s="19" t="s">
        <v>161</v>
      </c>
      <c r="D15" s="19" t="s">
        <v>162</v>
      </c>
      <c r="E15" s="19" t="str">
        <f>"0,6785"</f>
        <v>0,6785</v>
      </c>
      <c r="F15" s="19" t="s">
        <v>13</v>
      </c>
      <c r="G15" s="19" t="s">
        <v>479</v>
      </c>
      <c r="H15" s="38" t="s">
        <v>49</v>
      </c>
      <c r="I15" s="38" t="s">
        <v>140</v>
      </c>
      <c r="J15" s="39" t="s">
        <v>146</v>
      </c>
      <c r="K15" s="35"/>
      <c r="L15" s="44">
        <v>120</v>
      </c>
      <c r="M15" s="34" t="str">
        <f>"81,4200"</f>
        <v>81,4200</v>
      </c>
      <c r="N15" s="19" t="s">
        <v>165</v>
      </c>
    </row>
    <row r="16" spans="1:14" ht="12.75">
      <c r="A16" s="32">
        <v>1</v>
      </c>
      <c r="B16" s="20" t="s">
        <v>486</v>
      </c>
      <c r="C16" s="20" t="s">
        <v>163</v>
      </c>
      <c r="D16" s="20" t="s">
        <v>164</v>
      </c>
      <c r="E16" s="20" t="str">
        <f>"0,7005"</f>
        <v>0,7005</v>
      </c>
      <c r="F16" s="20" t="s">
        <v>156</v>
      </c>
      <c r="G16" s="20" t="s">
        <v>75</v>
      </c>
      <c r="H16" s="49" t="s">
        <v>39</v>
      </c>
      <c r="I16" s="49" t="s">
        <v>159</v>
      </c>
      <c r="J16" s="49" t="s">
        <v>50</v>
      </c>
      <c r="K16" s="36"/>
      <c r="L16" s="46">
        <v>150</v>
      </c>
      <c r="M16" s="37" t="str">
        <f>"105,0750"</f>
        <v>105,0750</v>
      </c>
      <c r="N16" s="20" t="s">
        <v>165</v>
      </c>
    </row>
    <row r="18" spans="2:13" ht="15">
      <c r="B18" s="110" t="s">
        <v>59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2:14" ht="12.75">
      <c r="B19" s="19" t="s">
        <v>487</v>
      </c>
      <c r="C19" s="19" t="s">
        <v>166</v>
      </c>
      <c r="D19" s="19" t="s">
        <v>167</v>
      </c>
      <c r="E19" s="19" t="str">
        <f>"0,6421"</f>
        <v>0,6421</v>
      </c>
      <c r="F19" s="19" t="s">
        <v>13</v>
      </c>
      <c r="G19" s="19" t="s">
        <v>14</v>
      </c>
      <c r="H19" s="39" t="s">
        <v>168</v>
      </c>
      <c r="I19" s="39" t="s">
        <v>168</v>
      </c>
      <c r="J19" s="35"/>
      <c r="K19" s="35"/>
      <c r="L19" s="75">
        <v>0</v>
      </c>
      <c r="M19" s="34" t="s">
        <v>379</v>
      </c>
      <c r="N19" s="71" t="s">
        <v>165</v>
      </c>
    </row>
    <row r="20" spans="1:14" ht="12.75">
      <c r="A20" s="32">
        <v>1</v>
      </c>
      <c r="B20" s="21" t="s">
        <v>488</v>
      </c>
      <c r="C20" s="21" t="s">
        <v>169</v>
      </c>
      <c r="D20" s="21" t="s">
        <v>170</v>
      </c>
      <c r="E20" s="21" t="str">
        <f>"0,6463"</f>
        <v>0,6463</v>
      </c>
      <c r="F20" s="21" t="s">
        <v>13</v>
      </c>
      <c r="G20" s="21" t="s">
        <v>150</v>
      </c>
      <c r="H20" s="50" t="s">
        <v>76</v>
      </c>
      <c r="I20" s="48" t="s">
        <v>76</v>
      </c>
      <c r="J20" s="48" t="s">
        <v>43</v>
      </c>
      <c r="K20" s="42"/>
      <c r="L20" s="45">
        <v>175</v>
      </c>
      <c r="M20" s="41" t="str">
        <f>"113,1025"</f>
        <v>113,1025</v>
      </c>
      <c r="N20" s="21" t="s">
        <v>500</v>
      </c>
    </row>
    <row r="21" spans="1:14" ht="12.75">
      <c r="A21" s="32">
        <v>2</v>
      </c>
      <c r="B21" s="21" t="s">
        <v>489</v>
      </c>
      <c r="C21" s="21" t="s">
        <v>171</v>
      </c>
      <c r="D21" s="21" t="s">
        <v>172</v>
      </c>
      <c r="E21" s="21" t="str">
        <f>"0,6417"</f>
        <v>0,6417</v>
      </c>
      <c r="F21" s="21" t="s">
        <v>13</v>
      </c>
      <c r="G21" s="21" t="s">
        <v>150</v>
      </c>
      <c r="H21" s="50" t="s">
        <v>159</v>
      </c>
      <c r="I21" s="48" t="s">
        <v>159</v>
      </c>
      <c r="J21" s="50" t="s">
        <v>65</v>
      </c>
      <c r="K21" s="42"/>
      <c r="L21" s="45">
        <v>145</v>
      </c>
      <c r="M21" s="41" t="str">
        <f>"93,0465"</f>
        <v>93,0465</v>
      </c>
      <c r="N21" s="21" t="s">
        <v>165</v>
      </c>
    </row>
    <row r="22" spans="2:14" ht="12.75">
      <c r="B22" s="20" t="s">
        <v>381</v>
      </c>
      <c r="C22" s="20" t="s">
        <v>173</v>
      </c>
      <c r="D22" s="20" t="s">
        <v>174</v>
      </c>
      <c r="E22" s="20" t="str">
        <f>"0,6384"</f>
        <v>0,6384</v>
      </c>
      <c r="F22" s="20" t="s">
        <v>85</v>
      </c>
      <c r="G22" s="20" t="s">
        <v>86</v>
      </c>
      <c r="H22" s="40" t="s">
        <v>99</v>
      </c>
      <c r="I22" s="40" t="s">
        <v>99</v>
      </c>
      <c r="J22" s="40" t="s">
        <v>99</v>
      </c>
      <c r="K22" s="36"/>
      <c r="L22" s="72">
        <v>0</v>
      </c>
      <c r="M22" s="37" t="s">
        <v>379</v>
      </c>
      <c r="N22" s="20" t="s">
        <v>165</v>
      </c>
    </row>
    <row r="24" spans="2:13" ht="15">
      <c r="B24" s="110" t="s">
        <v>78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2:14" ht="12.75">
      <c r="B25" s="12" t="s">
        <v>490</v>
      </c>
      <c r="C25" s="12" t="s">
        <v>175</v>
      </c>
      <c r="D25" s="12" t="s">
        <v>176</v>
      </c>
      <c r="E25" s="12" t="str">
        <f>"0,9224"</f>
        <v>0,9224</v>
      </c>
      <c r="F25" s="12" t="s">
        <v>13</v>
      </c>
      <c r="G25" s="12" t="s">
        <v>14</v>
      </c>
      <c r="H25" s="30" t="s">
        <v>76</v>
      </c>
      <c r="I25" s="30" t="s">
        <v>76</v>
      </c>
      <c r="J25" s="30" t="s">
        <v>76</v>
      </c>
      <c r="K25" s="28"/>
      <c r="L25" s="73">
        <v>0</v>
      </c>
      <c r="M25" s="29" t="s">
        <v>379</v>
      </c>
      <c r="N25" s="12" t="s">
        <v>501</v>
      </c>
    </row>
    <row r="27" spans="2:13" ht="15">
      <c r="B27" s="110" t="s">
        <v>82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4" ht="12.75">
      <c r="A28" s="32">
        <v>1</v>
      </c>
      <c r="B28" s="19" t="s">
        <v>491</v>
      </c>
      <c r="C28" s="19" t="s">
        <v>177</v>
      </c>
      <c r="D28" s="19" t="s">
        <v>178</v>
      </c>
      <c r="E28" s="19" t="str">
        <f>"0,5907"</f>
        <v>0,5907</v>
      </c>
      <c r="F28" s="19" t="s">
        <v>13</v>
      </c>
      <c r="G28" s="19" t="s">
        <v>75</v>
      </c>
      <c r="H28" s="38" t="s">
        <v>69</v>
      </c>
      <c r="I28" s="38" t="s">
        <v>179</v>
      </c>
      <c r="J28" s="38" t="s">
        <v>89</v>
      </c>
      <c r="K28" s="35"/>
      <c r="L28" s="44">
        <v>230</v>
      </c>
      <c r="M28" s="34" t="str">
        <f>"135,8610"</f>
        <v>135,8610</v>
      </c>
      <c r="N28" s="19" t="s">
        <v>165</v>
      </c>
    </row>
    <row r="29" spans="1:14" ht="12.75">
      <c r="A29" s="32">
        <v>2</v>
      </c>
      <c r="B29" s="21" t="s">
        <v>492</v>
      </c>
      <c r="C29" s="21" t="s">
        <v>180</v>
      </c>
      <c r="D29" s="21" t="s">
        <v>181</v>
      </c>
      <c r="E29" s="21" t="str">
        <f>"0,5980"</f>
        <v>0,5980</v>
      </c>
      <c r="F29" s="21" t="s">
        <v>182</v>
      </c>
      <c r="G29" s="21" t="s">
        <v>150</v>
      </c>
      <c r="H29" s="48" t="s">
        <v>50</v>
      </c>
      <c r="I29" s="48" t="s">
        <v>63</v>
      </c>
      <c r="J29" s="48" t="s">
        <v>183</v>
      </c>
      <c r="K29" s="42"/>
      <c r="L29" s="45">
        <v>172.5</v>
      </c>
      <c r="M29" s="41" t="str">
        <f>"103,1550"</f>
        <v>103,1550</v>
      </c>
      <c r="N29" s="21" t="s">
        <v>165</v>
      </c>
    </row>
    <row r="30" spans="1:14" ht="12.75">
      <c r="A30" s="32">
        <v>3</v>
      </c>
      <c r="B30" s="21" t="s">
        <v>493</v>
      </c>
      <c r="C30" s="21" t="s">
        <v>184</v>
      </c>
      <c r="D30" s="21" t="s">
        <v>185</v>
      </c>
      <c r="E30" s="21" t="str">
        <f>"0,6062"</f>
        <v>0,6062</v>
      </c>
      <c r="F30" s="21" t="s">
        <v>13</v>
      </c>
      <c r="G30" s="21" t="s">
        <v>14</v>
      </c>
      <c r="H30" s="48" t="s">
        <v>54</v>
      </c>
      <c r="I30" s="48" t="s">
        <v>34</v>
      </c>
      <c r="J30" s="48" t="s">
        <v>186</v>
      </c>
      <c r="K30" s="42"/>
      <c r="L30" s="45">
        <v>132.5</v>
      </c>
      <c r="M30" s="41" t="str">
        <f>"80,3215"</f>
        <v>80,3215</v>
      </c>
      <c r="N30" s="21" t="s">
        <v>165</v>
      </c>
    </row>
    <row r="31" spans="2:14" ht="12.75">
      <c r="B31" s="21" t="s">
        <v>494</v>
      </c>
      <c r="C31" s="21" t="s">
        <v>187</v>
      </c>
      <c r="D31" s="21" t="s">
        <v>188</v>
      </c>
      <c r="E31" s="21" t="str">
        <f>"0,5946"</f>
        <v>0,5946</v>
      </c>
      <c r="F31" s="21" t="s">
        <v>156</v>
      </c>
      <c r="G31" s="21" t="s">
        <v>75</v>
      </c>
      <c r="H31" s="50" t="s">
        <v>63</v>
      </c>
      <c r="I31" s="50" t="s">
        <v>63</v>
      </c>
      <c r="J31" s="50" t="s">
        <v>63</v>
      </c>
      <c r="K31" s="42"/>
      <c r="L31" s="74">
        <v>0</v>
      </c>
      <c r="M31" s="41" t="s">
        <v>379</v>
      </c>
      <c r="N31" s="21" t="s">
        <v>165</v>
      </c>
    </row>
    <row r="32" spans="2:14" ht="12.75">
      <c r="B32" s="21" t="s">
        <v>495</v>
      </c>
      <c r="C32" s="21" t="s">
        <v>189</v>
      </c>
      <c r="D32" s="21" t="s">
        <v>190</v>
      </c>
      <c r="E32" s="21" t="str">
        <f>"0,5943"</f>
        <v>0,5943</v>
      </c>
      <c r="F32" s="21" t="s">
        <v>85</v>
      </c>
      <c r="G32" s="21" t="s">
        <v>86</v>
      </c>
      <c r="H32" s="50" t="s">
        <v>44</v>
      </c>
      <c r="I32" s="50" t="s">
        <v>44</v>
      </c>
      <c r="J32" s="50" t="s">
        <v>44</v>
      </c>
      <c r="K32" s="42"/>
      <c r="L32" s="74">
        <v>0</v>
      </c>
      <c r="M32" s="41" t="s">
        <v>379</v>
      </c>
      <c r="N32" s="21" t="s">
        <v>165</v>
      </c>
    </row>
    <row r="33" spans="1:14" ht="12.75">
      <c r="A33" s="32">
        <v>1</v>
      </c>
      <c r="B33" s="21" t="s">
        <v>431</v>
      </c>
      <c r="C33" s="21" t="s">
        <v>191</v>
      </c>
      <c r="D33" s="21" t="s">
        <v>192</v>
      </c>
      <c r="E33" s="21" t="str">
        <f>"0,6076"</f>
        <v>0,6076</v>
      </c>
      <c r="F33" s="21" t="s">
        <v>13</v>
      </c>
      <c r="G33" s="21" t="s">
        <v>75</v>
      </c>
      <c r="H33" s="48" t="s">
        <v>99</v>
      </c>
      <c r="I33" s="50" t="s">
        <v>56</v>
      </c>
      <c r="J33" s="42"/>
      <c r="K33" s="42"/>
      <c r="L33" s="45">
        <v>190</v>
      </c>
      <c r="M33" s="41" t="str">
        <f>"120,5235"</f>
        <v>120,5235</v>
      </c>
      <c r="N33" s="21" t="s">
        <v>165</v>
      </c>
    </row>
    <row r="34" spans="1:14" ht="12.75">
      <c r="A34" s="32">
        <v>2</v>
      </c>
      <c r="B34" s="20" t="s">
        <v>250</v>
      </c>
      <c r="C34" s="20" t="s">
        <v>102</v>
      </c>
      <c r="D34" s="20" t="s">
        <v>84</v>
      </c>
      <c r="E34" s="20" t="str">
        <f>"0,5895"</f>
        <v>0,5895</v>
      </c>
      <c r="F34" s="20" t="s">
        <v>13</v>
      </c>
      <c r="G34" s="20" t="s">
        <v>86</v>
      </c>
      <c r="H34" s="49" t="s">
        <v>50</v>
      </c>
      <c r="I34" s="49" t="s">
        <v>63</v>
      </c>
      <c r="J34" s="49" t="s">
        <v>76</v>
      </c>
      <c r="K34" s="36"/>
      <c r="L34" s="46">
        <v>170</v>
      </c>
      <c r="M34" s="37" t="str">
        <f>"101,6180"</f>
        <v>101,6180</v>
      </c>
      <c r="N34" s="20" t="s">
        <v>165</v>
      </c>
    </row>
    <row r="36" spans="2:13" ht="15">
      <c r="B36" s="110" t="s">
        <v>193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1:14" ht="12.75">
      <c r="A37" s="32">
        <v>1</v>
      </c>
      <c r="B37" s="12" t="s">
        <v>496</v>
      </c>
      <c r="C37" s="12" t="s">
        <v>194</v>
      </c>
      <c r="D37" s="12" t="s">
        <v>195</v>
      </c>
      <c r="E37" s="12" t="str">
        <f>"0,5843"</f>
        <v>0,5843</v>
      </c>
      <c r="F37" s="12" t="s">
        <v>13</v>
      </c>
      <c r="G37" s="12" t="s">
        <v>14</v>
      </c>
      <c r="H37" s="31" t="s">
        <v>38</v>
      </c>
      <c r="I37" s="30" t="s">
        <v>159</v>
      </c>
      <c r="J37" s="31" t="s">
        <v>50</v>
      </c>
      <c r="K37" s="28"/>
      <c r="L37" s="43">
        <v>150</v>
      </c>
      <c r="M37" s="29" t="str">
        <f>"87,6450"</f>
        <v>87,6450</v>
      </c>
      <c r="N37" s="12" t="s">
        <v>502</v>
      </c>
    </row>
    <row r="39" spans="2:3" ht="18">
      <c r="B39" s="13" t="s">
        <v>110</v>
      </c>
      <c r="C39" s="13"/>
    </row>
    <row r="40" spans="2:3" ht="14.25">
      <c r="B40" s="16"/>
      <c r="C40" s="17" t="s">
        <v>530</v>
      </c>
    </row>
    <row r="41" spans="2:6" ht="15">
      <c r="B41" s="18" t="s">
        <v>112</v>
      </c>
      <c r="C41" s="18" t="s">
        <v>113</v>
      </c>
      <c r="D41" s="18" t="s">
        <v>114</v>
      </c>
      <c r="E41" s="18" t="s">
        <v>115</v>
      </c>
      <c r="F41" s="18" t="s">
        <v>116</v>
      </c>
    </row>
    <row r="42" spans="1:6" ht="12.75">
      <c r="A42" s="32">
        <v>1</v>
      </c>
      <c r="B42" s="15" t="s">
        <v>503</v>
      </c>
      <c r="C42" s="51" t="s">
        <v>111</v>
      </c>
      <c r="D42" s="52" t="s">
        <v>467</v>
      </c>
      <c r="E42" s="52" t="s">
        <v>89</v>
      </c>
      <c r="F42" s="52" t="s">
        <v>196</v>
      </c>
    </row>
    <row r="43" spans="1:6" ht="12.75">
      <c r="A43" s="32">
        <v>2</v>
      </c>
      <c r="B43" s="15" t="s">
        <v>504</v>
      </c>
      <c r="C43" s="51" t="s">
        <v>111</v>
      </c>
      <c r="D43" s="52" t="s">
        <v>497</v>
      </c>
      <c r="E43" s="52" t="s">
        <v>43</v>
      </c>
      <c r="F43" s="52" t="s">
        <v>197</v>
      </c>
    </row>
    <row r="44" spans="1:6" ht="12.75">
      <c r="A44" s="32">
        <v>3</v>
      </c>
      <c r="B44" s="15" t="s">
        <v>486</v>
      </c>
      <c r="C44" s="51" t="s">
        <v>111</v>
      </c>
      <c r="D44" s="52" t="s">
        <v>460</v>
      </c>
      <c r="E44" s="52" t="s">
        <v>50</v>
      </c>
      <c r="F44" s="52" t="s">
        <v>198</v>
      </c>
    </row>
  </sheetData>
  <sheetProtection/>
  <mergeCells count="19">
    <mergeCell ref="A3:A4"/>
    <mergeCell ref="N3:N4"/>
    <mergeCell ref="B5:M5"/>
    <mergeCell ref="B9:M9"/>
    <mergeCell ref="B14:M14"/>
    <mergeCell ref="B1:N2"/>
    <mergeCell ref="B3:B4"/>
    <mergeCell ref="C3:C4"/>
    <mergeCell ref="D3:D4"/>
    <mergeCell ref="E3:E4"/>
    <mergeCell ref="F3:F4"/>
    <mergeCell ref="B18:M18"/>
    <mergeCell ref="B24:M24"/>
    <mergeCell ref="B27:M27"/>
    <mergeCell ref="B36:M36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G20" sqref="G20"/>
    </sheetView>
  </sheetViews>
  <sheetFormatPr defaultColWidth="8.75390625" defaultRowHeight="12.75"/>
  <cols>
    <col min="1" max="1" width="8.75390625" style="0" customWidth="1"/>
    <col min="2" max="2" width="20.75390625" style="11" customWidth="1"/>
    <col min="3" max="3" width="25.125" style="11" customWidth="1"/>
    <col min="4" max="4" width="10.625" style="11" bestFit="1" customWidth="1"/>
    <col min="5" max="5" width="8.375" style="11" bestFit="1" customWidth="1"/>
    <col min="6" max="6" width="15.875" style="11" customWidth="1"/>
    <col min="7" max="7" width="26.875" style="11" bestFit="1" customWidth="1"/>
    <col min="8" max="10" width="5.625" style="11" bestFit="1" customWidth="1"/>
    <col min="11" max="11" width="4.625" style="11" bestFit="1" customWidth="1"/>
    <col min="12" max="14" width="5.625" style="11" bestFit="1" customWidth="1"/>
    <col min="15" max="15" width="4.625" style="11" bestFit="1" customWidth="1"/>
    <col min="16" max="18" width="5.625" style="11" bestFit="1" customWidth="1"/>
    <col min="19" max="19" width="4.625" style="11" bestFit="1" customWidth="1"/>
    <col min="20" max="20" width="7.875" style="11" bestFit="1" customWidth="1"/>
    <col min="21" max="21" width="8.625" style="11" bestFit="1" customWidth="1"/>
    <col min="22" max="22" width="16.125" style="11" bestFit="1" customWidth="1"/>
  </cols>
  <sheetData>
    <row r="1" spans="2:22" s="1" customFormat="1" ht="15" customHeight="1">
      <c r="B1" s="100" t="s">
        <v>535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/>
    </row>
    <row r="2" spans="2:22" s="1" customFormat="1" ht="90.75" customHeight="1" thickBot="1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5"/>
    </row>
    <row r="3" spans="1:22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9</v>
      </c>
      <c r="F3" s="93" t="s">
        <v>7</v>
      </c>
      <c r="G3" s="93" t="s">
        <v>373</v>
      </c>
      <c r="H3" s="93" t="s">
        <v>1</v>
      </c>
      <c r="I3" s="93"/>
      <c r="J3" s="93"/>
      <c r="K3" s="93"/>
      <c r="L3" s="93" t="s">
        <v>2</v>
      </c>
      <c r="M3" s="93"/>
      <c r="N3" s="93"/>
      <c r="O3" s="93"/>
      <c r="P3" s="93" t="s">
        <v>3</v>
      </c>
      <c r="Q3" s="93"/>
      <c r="R3" s="93"/>
      <c r="S3" s="93"/>
      <c r="T3" s="93" t="s">
        <v>4</v>
      </c>
      <c r="U3" s="93" t="s">
        <v>6</v>
      </c>
      <c r="V3" s="97" t="s">
        <v>5</v>
      </c>
    </row>
    <row r="4" spans="1:22" s="2" customFormat="1" ht="21" customHeight="1" thickBot="1">
      <c r="A4" s="96"/>
      <c r="B4" s="107"/>
      <c r="C4" s="94"/>
      <c r="D4" s="109"/>
      <c r="E4" s="94"/>
      <c r="F4" s="94"/>
      <c r="G4" s="94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94"/>
      <c r="U4" s="94"/>
      <c r="V4" s="98"/>
    </row>
    <row r="5" spans="2:21" ht="15">
      <c r="B5" s="99" t="s">
        <v>59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2" ht="12.75">
      <c r="A6" s="32">
        <v>1</v>
      </c>
      <c r="B6" s="12" t="s">
        <v>153</v>
      </c>
      <c r="C6" s="12" t="s">
        <v>138</v>
      </c>
      <c r="D6" s="12" t="s">
        <v>139</v>
      </c>
      <c r="E6" s="12" t="str">
        <f>"0,6651"</f>
        <v>0,6651</v>
      </c>
      <c r="F6" s="12" t="s">
        <v>13</v>
      </c>
      <c r="G6" s="12" t="s">
        <v>14</v>
      </c>
      <c r="H6" s="31" t="s">
        <v>43</v>
      </c>
      <c r="I6" s="31" t="s">
        <v>44</v>
      </c>
      <c r="J6" s="31" t="s">
        <v>81</v>
      </c>
      <c r="K6" s="28"/>
      <c r="L6" s="31" t="s">
        <v>140</v>
      </c>
      <c r="M6" s="31" t="s">
        <v>53</v>
      </c>
      <c r="N6" s="31" t="s">
        <v>141</v>
      </c>
      <c r="O6" s="28"/>
      <c r="P6" s="31" t="s">
        <v>81</v>
      </c>
      <c r="Q6" s="31" t="s">
        <v>142</v>
      </c>
      <c r="R6" s="31" t="s">
        <v>143</v>
      </c>
      <c r="S6" s="28"/>
      <c r="T6" s="29">
        <v>567.5</v>
      </c>
      <c r="U6" s="29" t="str">
        <f>"377,4442"</f>
        <v>377,4442</v>
      </c>
      <c r="V6" s="12" t="s">
        <v>505</v>
      </c>
    </row>
    <row r="29" ht="12.75">
      <c r="K29" s="11" t="s">
        <v>530</v>
      </c>
    </row>
  </sheetData>
  <sheetProtection/>
  <mergeCells count="15">
    <mergeCell ref="U3:U4"/>
    <mergeCell ref="V3:V4"/>
    <mergeCell ref="B5:U5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T3:T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11.375" style="53" customWidth="1"/>
    <col min="2" max="2" width="21.625" style="60" customWidth="1"/>
    <col min="3" max="3" width="26.00390625" style="5" customWidth="1"/>
    <col min="4" max="4" width="11.25390625" style="5" customWidth="1"/>
    <col min="5" max="5" width="8.375" style="5" bestFit="1" customWidth="1"/>
    <col min="6" max="6" width="12.875" style="5" customWidth="1"/>
    <col min="7" max="7" width="27.25390625" style="5" customWidth="1"/>
    <col min="8" max="10" width="5.625" style="53" bestFit="1" customWidth="1"/>
    <col min="11" max="11" width="4.625" style="53" bestFit="1" customWidth="1"/>
    <col min="12" max="14" width="5.625" style="53" bestFit="1" customWidth="1"/>
    <col min="15" max="15" width="4.625" style="53" bestFit="1" customWidth="1"/>
    <col min="16" max="18" width="5.625" style="53" bestFit="1" customWidth="1"/>
    <col min="19" max="19" width="4.625" style="53" bestFit="1" customWidth="1"/>
    <col min="20" max="20" width="7.875" style="53" bestFit="1" customWidth="1"/>
    <col min="21" max="21" width="8.625" style="53" bestFit="1" customWidth="1"/>
    <col min="22" max="22" width="16.875" style="5" customWidth="1"/>
    <col min="23" max="16384" width="11.375" style="1" customWidth="1"/>
  </cols>
  <sheetData>
    <row r="1" spans="2:22" ht="15" customHeight="1">
      <c r="B1" s="100" t="s">
        <v>536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/>
    </row>
    <row r="2" spans="2:22" ht="93" customHeight="1" thickBot="1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5"/>
    </row>
    <row r="3" spans="1:22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9</v>
      </c>
      <c r="F3" s="93" t="s">
        <v>7</v>
      </c>
      <c r="G3" s="93" t="s">
        <v>373</v>
      </c>
      <c r="H3" s="93" t="s">
        <v>1</v>
      </c>
      <c r="I3" s="93"/>
      <c r="J3" s="93"/>
      <c r="K3" s="93"/>
      <c r="L3" s="93" t="s">
        <v>2</v>
      </c>
      <c r="M3" s="93"/>
      <c r="N3" s="93"/>
      <c r="O3" s="93"/>
      <c r="P3" s="93" t="s">
        <v>3</v>
      </c>
      <c r="Q3" s="93"/>
      <c r="R3" s="93"/>
      <c r="S3" s="93"/>
      <c r="T3" s="93" t="s">
        <v>4</v>
      </c>
      <c r="U3" s="93" t="s">
        <v>6</v>
      </c>
      <c r="V3" s="97" t="s">
        <v>5</v>
      </c>
    </row>
    <row r="4" spans="1:22" s="2" customFormat="1" ht="21" customHeight="1" thickBot="1">
      <c r="A4" s="96"/>
      <c r="B4" s="107"/>
      <c r="C4" s="94"/>
      <c r="D4" s="109"/>
      <c r="E4" s="94"/>
      <c r="F4" s="94"/>
      <c r="G4" s="94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94"/>
      <c r="U4" s="94"/>
      <c r="V4" s="98"/>
    </row>
    <row r="5" spans="2:21" ht="15">
      <c r="B5" s="115" t="s">
        <v>10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2" ht="12.75">
      <c r="A6" s="53" t="s">
        <v>391</v>
      </c>
      <c r="B6" s="54" t="s">
        <v>506</v>
      </c>
      <c r="C6" s="6" t="s">
        <v>11</v>
      </c>
      <c r="D6" s="6" t="s">
        <v>12</v>
      </c>
      <c r="E6" s="6" t="str">
        <f>"1,1266"</f>
        <v>1,1266</v>
      </c>
      <c r="F6" s="6" t="s">
        <v>13</v>
      </c>
      <c r="G6" s="6" t="s">
        <v>14</v>
      </c>
      <c r="H6" s="31" t="s">
        <v>15</v>
      </c>
      <c r="I6" s="31" t="s">
        <v>16</v>
      </c>
      <c r="J6" s="31" t="s">
        <v>17</v>
      </c>
      <c r="K6" s="56"/>
      <c r="L6" s="31" t="s">
        <v>18</v>
      </c>
      <c r="M6" s="31" t="s">
        <v>19</v>
      </c>
      <c r="N6" s="69" t="s">
        <v>20</v>
      </c>
      <c r="O6" s="56"/>
      <c r="P6" s="31" t="s">
        <v>21</v>
      </c>
      <c r="Q6" s="31" t="s">
        <v>22</v>
      </c>
      <c r="R6" s="31" t="s">
        <v>23</v>
      </c>
      <c r="S6" s="56"/>
      <c r="T6" s="55" t="s">
        <v>56</v>
      </c>
      <c r="U6" s="55" t="str">
        <f>"219,6870"</f>
        <v>219,6870</v>
      </c>
      <c r="V6" s="6" t="s">
        <v>165</v>
      </c>
    </row>
    <row r="8" spans="2:21" ht="15">
      <c r="B8" s="114" t="s">
        <v>10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2" ht="12.75">
      <c r="A9" s="53" t="s">
        <v>391</v>
      </c>
      <c r="B9" s="54" t="s">
        <v>507</v>
      </c>
      <c r="C9" s="6" t="s">
        <v>24</v>
      </c>
      <c r="D9" s="6" t="s">
        <v>25</v>
      </c>
      <c r="E9" s="6" t="str">
        <f>"0,8594"</f>
        <v>0,8594</v>
      </c>
      <c r="F9" s="6" t="s">
        <v>13</v>
      </c>
      <c r="G9" s="6" t="s">
        <v>26</v>
      </c>
      <c r="H9" s="31" t="s">
        <v>17</v>
      </c>
      <c r="I9" s="31" t="s">
        <v>27</v>
      </c>
      <c r="J9" s="69" t="s">
        <v>28</v>
      </c>
      <c r="K9" s="56"/>
      <c r="L9" s="31" t="s">
        <v>29</v>
      </c>
      <c r="M9" s="31" t="s">
        <v>30</v>
      </c>
      <c r="N9" s="31" t="s">
        <v>31</v>
      </c>
      <c r="O9" s="56"/>
      <c r="P9" s="31" t="s">
        <v>32</v>
      </c>
      <c r="Q9" s="31" t="s">
        <v>33</v>
      </c>
      <c r="R9" s="31" t="s">
        <v>34</v>
      </c>
      <c r="S9" s="56"/>
      <c r="T9" s="55" t="s">
        <v>109</v>
      </c>
      <c r="U9" s="55" t="str">
        <f>"236,3350"</f>
        <v>236,3350</v>
      </c>
      <c r="V9" s="6" t="s">
        <v>521</v>
      </c>
    </row>
    <row r="11" spans="2:21" ht="15">
      <c r="B11" s="114" t="s">
        <v>35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22" ht="12.75">
      <c r="A12" s="53" t="s">
        <v>391</v>
      </c>
      <c r="B12" s="54" t="s">
        <v>508</v>
      </c>
      <c r="C12" s="6" t="s">
        <v>36</v>
      </c>
      <c r="D12" s="6" t="s">
        <v>37</v>
      </c>
      <c r="E12" s="6" t="str">
        <f>"0,7942"</f>
        <v>0,7942</v>
      </c>
      <c r="F12" s="6" t="s">
        <v>13</v>
      </c>
      <c r="G12" s="6" t="s">
        <v>26</v>
      </c>
      <c r="H12" s="31" t="s">
        <v>34</v>
      </c>
      <c r="I12" s="31" t="s">
        <v>38</v>
      </c>
      <c r="J12" s="69" t="s">
        <v>39</v>
      </c>
      <c r="K12" s="56"/>
      <c r="L12" s="31" t="s">
        <v>40</v>
      </c>
      <c r="M12" s="31" t="s">
        <v>41</v>
      </c>
      <c r="N12" s="31" t="s">
        <v>42</v>
      </c>
      <c r="O12" s="56"/>
      <c r="P12" s="31" t="s">
        <v>43</v>
      </c>
      <c r="Q12" s="69" t="s">
        <v>44</v>
      </c>
      <c r="R12" s="31" t="s">
        <v>45</v>
      </c>
      <c r="S12" s="56"/>
      <c r="T12" s="55" t="s">
        <v>122</v>
      </c>
      <c r="U12" s="55" t="str">
        <f>"337,5350"</f>
        <v>337,5350</v>
      </c>
      <c r="V12" s="6" t="s">
        <v>521</v>
      </c>
    </row>
    <row r="14" spans="2:21" ht="15">
      <c r="B14" s="114" t="s">
        <v>46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</row>
    <row r="15" spans="1:22" ht="12.75">
      <c r="A15" s="53" t="s">
        <v>391</v>
      </c>
      <c r="B15" s="57" t="s">
        <v>509</v>
      </c>
      <c r="C15" s="7" t="s">
        <v>47</v>
      </c>
      <c r="D15" s="7" t="s">
        <v>48</v>
      </c>
      <c r="E15" s="7" t="str">
        <f>"0,7701"</f>
        <v>0,7701</v>
      </c>
      <c r="F15" s="7" t="s">
        <v>13</v>
      </c>
      <c r="G15" s="7" t="s">
        <v>26</v>
      </c>
      <c r="H15" s="38" t="s">
        <v>40</v>
      </c>
      <c r="I15" s="38" t="s">
        <v>41</v>
      </c>
      <c r="J15" s="38" t="s">
        <v>49</v>
      </c>
      <c r="K15" s="76"/>
      <c r="L15" s="38" t="s">
        <v>28</v>
      </c>
      <c r="M15" s="38" t="s">
        <v>32</v>
      </c>
      <c r="N15" s="38" t="s">
        <v>49</v>
      </c>
      <c r="O15" s="76"/>
      <c r="P15" s="38" t="s">
        <v>38</v>
      </c>
      <c r="Q15" s="38" t="s">
        <v>39</v>
      </c>
      <c r="R15" s="79" t="s">
        <v>50</v>
      </c>
      <c r="S15" s="76"/>
      <c r="T15" s="66" t="s">
        <v>118</v>
      </c>
      <c r="U15" s="66" t="str">
        <f>"277,2360"</f>
        <v>277,2360</v>
      </c>
      <c r="V15" s="7" t="s">
        <v>522</v>
      </c>
    </row>
    <row r="16" spans="1:22" ht="12.75">
      <c r="A16" s="53" t="s">
        <v>391</v>
      </c>
      <c r="B16" s="59" t="s">
        <v>510</v>
      </c>
      <c r="C16" s="8" t="s">
        <v>51</v>
      </c>
      <c r="D16" s="8" t="s">
        <v>52</v>
      </c>
      <c r="E16" s="8" t="str">
        <f>"0,7271"</f>
        <v>0,7271</v>
      </c>
      <c r="F16" s="8" t="s">
        <v>13</v>
      </c>
      <c r="G16" s="8" t="s">
        <v>14</v>
      </c>
      <c r="H16" s="49" t="s">
        <v>53</v>
      </c>
      <c r="I16" s="49" t="s">
        <v>39</v>
      </c>
      <c r="J16" s="49" t="s">
        <v>50</v>
      </c>
      <c r="K16" s="77"/>
      <c r="L16" s="49" t="s">
        <v>32</v>
      </c>
      <c r="M16" s="49" t="s">
        <v>49</v>
      </c>
      <c r="N16" s="81" t="s">
        <v>54</v>
      </c>
      <c r="O16" s="77"/>
      <c r="P16" s="49" t="s">
        <v>55</v>
      </c>
      <c r="Q16" s="49" t="s">
        <v>56</v>
      </c>
      <c r="R16" s="81" t="s">
        <v>57</v>
      </c>
      <c r="S16" s="77"/>
      <c r="T16" s="68" t="s">
        <v>124</v>
      </c>
      <c r="U16" s="68" t="str">
        <f>"330,8305"</f>
        <v>330,8305</v>
      </c>
      <c r="V16" s="8" t="s">
        <v>58</v>
      </c>
    </row>
    <row r="18" spans="2:21" ht="15">
      <c r="B18" s="114" t="s">
        <v>59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</row>
    <row r="19" spans="1:22" ht="12.75">
      <c r="A19" s="53" t="s">
        <v>391</v>
      </c>
      <c r="B19" s="57" t="s">
        <v>511</v>
      </c>
      <c r="C19" s="7" t="s">
        <v>60</v>
      </c>
      <c r="D19" s="7" t="s">
        <v>61</v>
      </c>
      <c r="E19" s="7" t="str">
        <f>"0,6413"</f>
        <v>0,6413</v>
      </c>
      <c r="F19" s="7" t="s">
        <v>13</v>
      </c>
      <c r="G19" s="7" t="s">
        <v>14</v>
      </c>
      <c r="H19" s="38" t="s">
        <v>50</v>
      </c>
      <c r="I19" s="38" t="s">
        <v>62</v>
      </c>
      <c r="J19" s="38" t="s">
        <v>63</v>
      </c>
      <c r="K19" s="76"/>
      <c r="L19" s="38" t="s">
        <v>32</v>
      </c>
      <c r="M19" s="38" t="s">
        <v>64</v>
      </c>
      <c r="N19" s="38" t="s">
        <v>33</v>
      </c>
      <c r="O19" s="76"/>
      <c r="P19" s="38" t="s">
        <v>39</v>
      </c>
      <c r="Q19" s="38" t="s">
        <v>65</v>
      </c>
      <c r="R19" s="38" t="s">
        <v>66</v>
      </c>
      <c r="S19" s="76"/>
      <c r="T19" s="66" t="s">
        <v>126</v>
      </c>
      <c r="U19" s="66" t="str">
        <f>"283,7753"</f>
        <v>283,7753</v>
      </c>
      <c r="V19" s="7" t="s">
        <v>165</v>
      </c>
    </row>
    <row r="20" spans="1:22" ht="12.75">
      <c r="A20" s="53" t="s">
        <v>391</v>
      </c>
      <c r="B20" s="58" t="s">
        <v>512</v>
      </c>
      <c r="C20" s="9" t="s">
        <v>67</v>
      </c>
      <c r="D20" s="9" t="s">
        <v>68</v>
      </c>
      <c r="E20" s="9" t="str">
        <f>"0,6483"</f>
        <v>0,6483</v>
      </c>
      <c r="F20" s="9" t="s">
        <v>13</v>
      </c>
      <c r="G20" s="9" t="s">
        <v>14</v>
      </c>
      <c r="H20" s="80" t="s">
        <v>69</v>
      </c>
      <c r="I20" s="80" t="s">
        <v>69</v>
      </c>
      <c r="J20" s="48" t="s">
        <v>69</v>
      </c>
      <c r="K20" s="78"/>
      <c r="L20" s="48" t="s">
        <v>39</v>
      </c>
      <c r="M20" s="48" t="s">
        <v>50</v>
      </c>
      <c r="N20" s="48" t="s">
        <v>63</v>
      </c>
      <c r="O20" s="78"/>
      <c r="P20" s="48" t="s">
        <v>69</v>
      </c>
      <c r="Q20" s="48" t="s">
        <v>70</v>
      </c>
      <c r="R20" s="48" t="s">
        <v>71</v>
      </c>
      <c r="S20" s="78"/>
      <c r="T20" s="67" t="s">
        <v>132</v>
      </c>
      <c r="U20" s="67" t="str">
        <f>"405,1875"</f>
        <v>405,1875</v>
      </c>
      <c r="V20" s="9" t="s">
        <v>165</v>
      </c>
    </row>
    <row r="21" spans="1:22" ht="12.75">
      <c r="A21" s="53" t="s">
        <v>421</v>
      </c>
      <c r="B21" s="59" t="s">
        <v>137</v>
      </c>
      <c r="C21" s="8" t="s">
        <v>72</v>
      </c>
      <c r="D21" s="8" t="s">
        <v>73</v>
      </c>
      <c r="E21" s="8" t="str">
        <f>"0,6511"</f>
        <v>0,6511</v>
      </c>
      <c r="F21" s="8" t="s">
        <v>74</v>
      </c>
      <c r="G21" s="8" t="s">
        <v>75</v>
      </c>
      <c r="H21" s="49" t="s">
        <v>50</v>
      </c>
      <c r="I21" s="49" t="s">
        <v>63</v>
      </c>
      <c r="J21" s="49" t="s">
        <v>76</v>
      </c>
      <c r="K21" s="77"/>
      <c r="L21" s="49" t="s">
        <v>54</v>
      </c>
      <c r="M21" s="49" t="s">
        <v>34</v>
      </c>
      <c r="N21" s="81" t="s">
        <v>53</v>
      </c>
      <c r="O21" s="77"/>
      <c r="P21" s="49" t="s">
        <v>39</v>
      </c>
      <c r="Q21" s="49" t="s">
        <v>62</v>
      </c>
      <c r="R21" s="49" t="s">
        <v>66</v>
      </c>
      <c r="S21" s="77"/>
      <c r="T21" s="68" t="s">
        <v>135</v>
      </c>
      <c r="U21" s="68" t="str">
        <f>"299,5060"</f>
        <v>299,5060</v>
      </c>
      <c r="V21" s="8" t="s">
        <v>523</v>
      </c>
    </row>
    <row r="23" spans="2:21" ht="15">
      <c r="B23" s="114" t="s">
        <v>78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</row>
    <row r="24" spans="1:22" ht="12.75">
      <c r="A24" s="53" t="s">
        <v>391</v>
      </c>
      <c r="B24" s="54" t="s">
        <v>513</v>
      </c>
      <c r="C24" s="6" t="s">
        <v>79</v>
      </c>
      <c r="D24" s="6" t="s">
        <v>80</v>
      </c>
      <c r="E24" s="6" t="str">
        <f>"0,6174"</f>
        <v>0,6174</v>
      </c>
      <c r="F24" s="6" t="s">
        <v>13</v>
      </c>
      <c r="G24" s="6" t="s">
        <v>14</v>
      </c>
      <c r="H24" s="31" t="s">
        <v>50</v>
      </c>
      <c r="I24" s="69" t="s">
        <v>63</v>
      </c>
      <c r="J24" s="31" t="s">
        <v>63</v>
      </c>
      <c r="K24" s="56"/>
      <c r="L24" s="69" t="s">
        <v>41</v>
      </c>
      <c r="M24" s="31" t="s">
        <v>41</v>
      </c>
      <c r="N24" s="56"/>
      <c r="O24" s="56"/>
      <c r="P24" s="31" t="s">
        <v>76</v>
      </c>
      <c r="Q24" s="31" t="s">
        <v>44</v>
      </c>
      <c r="R24" s="69" t="s">
        <v>81</v>
      </c>
      <c r="S24" s="56"/>
      <c r="T24" s="55" t="s">
        <v>127</v>
      </c>
      <c r="U24" s="55" t="str">
        <f>"274,7430"</f>
        <v>274,7430</v>
      </c>
      <c r="V24" s="6" t="s">
        <v>505</v>
      </c>
    </row>
    <row r="26" spans="2:21" ht="15">
      <c r="B26" s="114" t="s">
        <v>82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</row>
    <row r="27" spans="1:22" ht="12.75">
      <c r="A27" s="53" t="s">
        <v>391</v>
      </c>
      <c r="B27" s="57" t="s">
        <v>463</v>
      </c>
      <c r="C27" s="7" t="s">
        <v>83</v>
      </c>
      <c r="D27" s="7" t="s">
        <v>84</v>
      </c>
      <c r="E27" s="7" t="str">
        <f>"0,5895"</f>
        <v>0,5895</v>
      </c>
      <c r="F27" s="7" t="s">
        <v>85</v>
      </c>
      <c r="G27" s="7" t="s">
        <v>86</v>
      </c>
      <c r="H27" s="79" t="s">
        <v>87</v>
      </c>
      <c r="I27" s="76"/>
      <c r="J27" s="38" t="s">
        <v>88</v>
      </c>
      <c r="K27" s="76"/>
      <c r="L27" s="79" t="s">
        <v>50</v>
      </c>
      <c r="M27" s="76"/>
      <c r="N27" s="38" t="s">
        <v>76</v>
      </c>
      <c r="O27" s="76"/>
      <c r="P27" s="38" t="s">
        <v>89</v>
      </c>
      <c r="Q27" s="38" t="s">
        <v>87</v>
      </c>
      <c r="R27" s="79" t="s">
        <v>90</v>
      </c>
      <c r="S27" s="76"/>
      <c r="T27" s="66" t="s">
        <v>128</v>
      </c>
      <c r="U27" s="66" t="str">
        <f>"418,5450"</f>
        <v>418,5450</v>
      </c>
      <c r="V27" s="7" t="s">
        <v>165</v>
      </c>
    </row>
    <row r="28" spans="1:22" ht="12.75">
      <c r="A28" s="53" t="s">
        <v>421</v>
      </c>
      <c r="B28" s="58" t="s">
        <v>514</v>
      </c>
      <c r="C28" s="9" t="s">
        <v>91</v>
      </c>
      <c r="D28" s="9" t="s">
        <v>92</v>
      </c>
      <c r="E28" s="9" t="str">
        <f>"0,6057"</f>
        <v>0,6057</v>
      </c>
      <c r="F28" s="9" t="s">
        <v>13</v>
      </c>
      <c r="G28" s="9" t="s">
        <v>14</v>
      </c>
      <c r="H28" s="48" t="s">
        <v>81</v>
      </c>
      <c r="I28" s="48" t="s">
        <v>69</v>
      </c>
      <c r="J28" s="78"/>
      <c r="K28" s="78"/>
      <c r="L28" s="48" t="s">
        <v>50</v>
      </c>
      <c r="M28" s="48" t="s">
        <v>63</v>
      </c>
      <c r="N28" s="48" t="s">
        <v>76</v>
      </c>
      <c r="O28" s="78"/>
      <c r="P28" s="48" t="s">
        <v>93</v>
      </c>
      <c r="Q28" s="48" t="s">
        <v>94</v>
      </c>
      <c r="R28" s="80" t="s">
        <v>95</v>
      </c>
      <c r="S28" s="78"/>
      <c r="T28" s="67" t="s">
        <v>130</v>
      </c>
      <c r="U28" s="67" t="str">
        <f>"417,9330"</f>
        <v>417,9330</v>
      </c>
      <c r="V28" s="9" t="s">
        <v>96</v>
      </c>
    </row>
    <row r="29" spans="1:22" ht="12.75">
      <c r="A29" s="53" t="s">
        <v>422</v>
      </c>
      <c r="B29" s="58" t="s">
        <v>515</v>
      </c>
      <c r="C29" s="9" t="s">
        <v>97</v>
      </c>
      <c r="D29" s="9" t="s">
        <v>98</v>
      </c>
      <c r="E29" s="9" t="str">
        <f>"0,5990"</f>
        <v>0,5990</v>
      </c>
      <c r="F29" s="9" t="s">
        <v>13</v>
      </c>
      <c r="G29" s="9" t="s">
        <v>14</v>
      </c>
      <c r="H29" s="48" t="s">
        <v>99</v>
      </c>
      <c r="I29" s="80" t="s">
        <v>100</v>
      </c>
      <c r="J29" s="48" t="s">
        <v>100</v>
      </c>
      <c r="K29" s="78"/>
      <c r="L29" s="48" t="s">
        <v>39</v>
      </c>
      <c r="M29" s="48" t="s">
        <v>101</v>
      </c>
      <c r="N29" s="48" t="s">
        <v>62</v>
      </c>
      <c r="O29" s="78"/>
      <c r="P29" s="48" t="s">
        <v>63</v>
      </c>
      <c r="Q29" s="48" t="s">
        <v>55</v>
      </c>
      <c r="R29" s="48" t="s">
        <v>81</v>
      </c>
      <c r="S29" s="78"/>
      <c r="T29" s="67" t="s">
        <v>134</v>
      </c>
      <c r="U29" s="67" t="str">
        <f>"335,4400"</f>
        <v>335,4400</v>
      </c>
      <c r="V29" s="9" t="s">
        <v>524</v>
      </c>
    </row>
    <row r="30" spans="1:22" ht="12.75">
      <c r="A30" s="53" t="s">
        <v>391</v>
      </c>
      <c r="B30" s="59" t="s">
        <v>463</v>
      </c>
      <c r="C30" s="8" t="s">
        <v>102</v>
      </c>
      <c r="D30" s="8" t="s">
        <v>84</v>
      </c>
      <c r="E30" s="8" t="str">
        <f>"0,5895"</f>
        <v>0,5895</v>
      </c>
      <c r="F30" s="8" t="s">
        <v>85</v>
      </c>
      <c r="G30" s="8" t="s">
        <v>86</v>
      </c>
      <c r="H30" s="49" t="s">
        <v>87</v>
      </c>
      <c r="I30" s="49" t="s">
        <v>103</v>
      </c>
      <c r="J30" s="49" t="s">
        <v>88</v>
      </c>
      <c r="K30" s="77"/>
      <c r="L30" s="49" t="s">
        <v>50</v>
      </c>
      <c r="M30" s="49" t="s">
        <v>63</v>
      </c>
      <c r="N30" s="49" t="s">
        <v>76</v>
      </c>
      <c r="O30" s="77"/>
      <c r="P30" s="49" t="s">
        <v>89</v>
      </c>
      <c r="Q30" s="49" t="s">
        <v>87</v>
      </c>
      <c r="R30" s="81" t="s">
        <v>90</v>
      </c>
      <c r="S30" s="77"/>
      <c r="T30" s="68" t="s">
        <v>128</v>
      </c>
      <c r="U30" s="68" t="str">
        <f>"424,4046"</f>
        <v>424,4046</v>
      </c>
      <c r="V30" s="8" t="s">
        <v>165</v>
      </c>
    </row>
    <row r="32" spans="2:21" ht="15">
      <c r="B32" s="114" t="s">
        <v>104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2" ht="12.75">
      <c r="A33" s="53" t="s">
        <v>391</v>
      </c>
      <c r="B33" s="54" t="s">
        <v>516</v>
      </c>
      <c r="C33" s="6" t="s">
        <v>105</v>
      </c>
      <c r="D33" s="6" t="s">
        <v>106</v>
      </c>
      <c r="E33" s="6" t="str">
        <f>"0,5681"</f>
        <v>0,5681</v>
      </c>
      <c r="F33" s="6" t="s">
        <v>85</v>
      </c>
      <c r="G33" s="6" t="s">
        <v>86</v>
      </c>
      <c r="H33" s="31" t="s">
        <v>103</v>
      </c>
      <c r="I33" s="31" t="s">
        <v>94</v>
      </c>
      <c r="J33" s="69" t="s">
        <v>107</v>
      </c>
      <c r="K33" s="56"/>
      <c r="L33" s="31" t="s">
        <v>63</v>
      </c>
      <c r="M33" s="31" t="s">
        <v>43</v>
      </c>
      <c r="N33" s="69" t="s">
        <v>44</v>
      </c>
      <c r="O33" s="56"/>
      <c r="P33" s="31" t="s">
        <v>70</v>
      </c>
      <c r="Q33" s="31" t="s">
        <v>108</v>
      </c>
      <c r="R33" s="31" t="s">
        <v>109</v>
      </c>
      <c r="S33" s="56"/>
      <c r="T33" s="55" t="s">
        <v>120</v>
      </c>
      <c r="U33" s="55" t="str">
        <f>"426,0750"</f>
        <v>426,0750</v>
      </c>
      <c r="V33" s="6" t="s">
        <v>165</v>
      </c>
    </row>
    <row r="35" spans="2:3" ht="18">
      <c r="B35" s="61" t="s">
        <v>110</v>
      </c>
      <c r="C35" s="61"/>
    </row>
    <row r="36" spans="2:3" ht="14.25">
      <c r="B36" s="62"/>
      <c r="C36" s="65" t="s">
        <v>530</v>
      </c>
    </row>
    <row r="37" spans="2:6" ht="15">
      <c r="B37" s="63" t="s">
        <v>112</v>
      </c>
      <c r="C37" s="22" t="s">
        <v>113</v>
      </c>
      <c r="D37" s="22" t="s">
        <v>114</v>
      </c>
      <c r="E37" s="22" t="s">
        <v>115</v>
      </c>
      <c r="F37" s="10" t="s">
        <v>116</v>
      </c>
    </row>
    <row r="38" spans="1:6" ht="12.75">
      <c r="A38" s="53" t="s">
        <v>391</v>
      </c>
      <c r="B38" s="64" t="s">
        <v>516</v>
      </c>
      <c r="C38" s="1" t="s">
        <v>119</v>
      </c>
      <c r="D38" s="53" t="s">
        <v>466</v>
      </c>
      <c r="E38" s="53" t="s">
        <v>120</v>
      </c>
      <c r="F38" s="53" t="s">
        <v>121</v>
      </c>
    </row>
    <row r="39" spans="1:6" ht="12.75">
      <c r="A39" s="53" t="s">
        <v>421</v>
      </c>
      <c r="B39" s="64" t="s">
        <v>517</v>
      </c>
      <c r="C39" s="1" t="s">
        <v>119</v>
      </c>
      <c r="D39" s="53" t="s">
        <v>420</v>
      </c>
      <c r="E39" s="53" t="s">
        <v>122</v>
      </c>
      <c r="F39" s="53" t="s">
        <v>123</v>
      </c>
    </row>
    <row r="40" spans="1:6" ht="12.75">
      <c r="A40" s="53" t="s">
        <v>422</v>
      </c>
      <c r="B40" s="64" t="s">
        <v>518</v>
      </c>
      <c r="C40" s="1" t="s">
        <v>119</v>
      </c>
      <c r="D40" s="53" t="s">
        <v>389</v>
      </c>
      <c r="E40" s="53" t="s">
        <v>124</v>
      </c>
      <c r="F40" s="53" t="s">
        <v>125</v>
      </c>
    </row>
    <row r="42" spans="2:3" ht="14.25">
      <c r="B42" s="62"/>
      <c r="C42" s="65" t="s">
        <v>530</v>
      </c>
    </row>
    <row r="43" spans="2:6" ht="15">
      <c r="B43" s="63" t="s">
        <v>112</v>
      </c>
      <c r="C43" s="22" t="s">
        <v>113</v>
      </c>
      <c r="D43" s="22" t="s">
        <v>114</v>
      </c>
      <c r="E43" s="22" t="s">
        <v>115</v>
      </c>
      <c r="F43" s="10" t="s">
        <v>116</v>
      </c>
    </row>
    <row r="44" spans="1:6" ht="12.75">
      <c r="A44" s="53" t="s">
        <v>391</v>
      </c>
      <c r="B44" s="64" t="s">
        <v>463</v>
      </c>
      <c r="C44" s="1" t="s">
        <v>111</v>
      </c>
      <c r="D44" s="53" t="s">
        <v>467</v>
      </c>
      <c r="E44" s="53" t="s">
        <v>128</v>
      </c>
      <c r="F44" s="53" t="s">
        <v>129</v>
      </c>
    </row>
    <row r="45" spans="1:6" ht="12.75">
      <c r="A45" s="53" t="s">
        <v>421</v>
      </c>
      <c r="B45" s="64" t="s">
        <v>519</v>
      </c>
      <c r="C45" s="1" t="s">
        <v>111</v>
      </c>
      <c r="D45" s="53" t="s">
        <v>467</v>
      </c>
      <c r="E45" s="53" t="s">
        <v>130</v>
      </c>
      <c r="F45" s="53" t="s">
        <v>131</v>
      </c>
    </row>
    <row r="46" spans="1:6" ht="12.75">
      <c r="A46" s="53" t="s">
        <v>422</v>
      </c>
      <c r="B46" s="64" t="s">
        <v>520</v>
      </c>
      <c r="C46" s="1" t="s">
        <v>111</v>
      </c>
      <c r="D46" s="53" t="s">
        <v>497</v>
      </c>
      <c r="E46" s="53" t="s">
        <v>132</v>
      </c>
      <c r="F46" s="53" t="s">
        <v>133</v>
      </c>
    </row>
  </sheetData>
  <sheetProtection/>
  <mergeCells count="22">
    <mergeCell ref="B5:U5"/>
    <mergeCell ref="B8:U8"/>
    <mergeCell ref="A3:A4"/>
    <mergeCell ref="G3:G4"/>
    <mergeCell ref="B1:V2"/>
    <mergeCell ref="H3:K3"/>
    <mergeCell ref="L3:O3"/>
    <mergeCell ref="P3:S3"/>
    <mergeCell ref="B3:B4"/>
    <mergeCell ref="C3:C4"/>
    <mergeCell ref="V3:V4"/>
    <mergeCell ref="F3:F4"/>
    <mergeCell ref="B18:U18"/>
    <mergeCell ref="B23:U23"/>
    <mergeCell ref="B26:U26"/>
    <mergeCell ref="B32:U32"/>
    <mergeCell ref="D3:D4"/>
    <mergeCell ref="B11:U11"/>
    <mergeCell ref="E3:E4"/>
    <mergeCell ref="T3:T4"/>
    <mergeCell ref="U3:U4"/>
    <mergeCell ref="B14:U1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C15" sqref="C15"/>
    </sheetView>
  </sheetViews>
  <sheetFormatPr defaultColWidth="8.75390625" defaultRowHeight="12.75"/>
  <cols>
    <col min="1" max="1" width="12.125" style="0" customWidth="1"/>
    <col min="2" max="2" width="20.375" style="0" customWidth="1"/>
    <col min="3" max="3" width="18.75390625" style="0" customWidth="1"/>
  </cols>
  <sheetData>
    <row r="1" ht="13.5" thickBot="1"/>
    <row r="2" spans="1:3" ht="13.5" thickBot="1">
      <c r="A2" s="84" t="s">
        <v>370</v>
      </c>
      <c r="B2" s="85" t="s">
        <v>136</v>
      </c>
      <c r="C2" s="86" t="s">
        <v>6</v>
      </c>
    </row>
    <row r="3" spans="1:3" ht="12.75">
      <c r="A3" s="87">
        <v>1</v>
      </c>
      <c r="B3" s="8" t="s">
        <v>74</v>
      </c>
      <c r="C3" s="90">
        <v>105</v>
      </c>
    </row>
    <row r="4" spans="1:3" ht="12.75">
      <c r="A4" s="88">
        <v>2</v>
      </c>
      <c r="B4" s="8" t="s">
        <v>85</v>
      </c>
      <c r="C4" s="91">
        <v>100</v>
      </c>
    </row>
    <row r="5" spans="1:3" ht="12.75">
      <c r="A5" s="88">
        <v>3</v>
      </c>
      <c r="B5" s="82" t="s">
        <v>304</v>
      </c>
      <c r="C5" s="91">
        <v>96</v>
      </c>
    </row>
    <row r="6" spans="1:3" ht="12.75">
      <c r="A6" s="88">
        <v>4</v>
      </c>
      <c r="B6" s="82" t="s">
        <v>525</v>
      </c>
      <c r="C6" s="91">
        <v>24</v>
      </c>
    </row>
    <row r="7" spans="1:3" ht="12.75">
      <c r="A7" s="88">
        <v>5</v>
      </c>
      <c r="B7" s="82" t="s">
        <v>526</v>
      </c>
      <c r="C7" s="91">
        <v>24</v>
      </c>
    </row>
    <row r="8" spans="1:3" ht="12.75">
      <c r="A8" s="88">
        <v>6</v>
      </c>
      <c r="B8" s="82" t="s">
        <v>527</v>
      </c>
      <c r="C8" s="91">
        <v>9</v>
      </c>
    </row>
    <row r="9" spans="1:3" ht="13.5" thickBot="1">
      <c r="A9" s="89">
        <v>7</v>
      </c>
      <c r="B9" s="83" t="s">
        <v>528</v>
      </c>
      <c r="C9" s="92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18.875" style="11" customWidth="1"/>
    <col min="3" max="3" width="27.125" style="11" customWidth="1"/>
    <col min="4" max="4" width="9.25390625" style="11" customWidth="1"/>
    <col min="5" max="5" width="8.375" style="11" bestFit="1" customWidth="1"/>
    <col min="6" max="6" width="16.125" style="11" customWidth="1"/>
    <col min="7" max="7" width="26.875" style="11" bestFit="1" customWidth="1"/>
    <col min="8" max="10" width="5.625" style="11" bestFit="1" customWidth="1"/>
    <col min="11" max="11" width="4.625" style="11" bestFit="1" customWidth="1"/>
    <col min="12" max="14" width="5.625" style="11" bestFit="1" customWidth="1"/>
    <col min="15" max="15" width="4.625" style="11" bestFit="1" customWidth="1"/>
    <col min="16" max="18" width="5.625" style="11" bestFit="1" customWidth="1"/>
    <col min="19" max="19" width="4.625" style="11" bestFit="1" customWidth="1"/>
    <col min="20" max="20" width="7.875" style="11" bestFit="1" customWidth="1"/>
    <col min="21" max="21" width="8.625" style="11" bestFit="1" customWidth="1"/>
    <col min="22" max="22" width="15.375" style="11" bestFit="1" customWidth="1"/>
  </cols>
  <sheetData>
    <row r="1" spans="2:22" s="1" customFormat="1" ht="15" customHeight="1">
      <c r="B1" s="100" t="s">
        <v>538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/>
    </row>
    <row r="2" spans="2:22" s="1" customFormat="1" ht="99.75" customHeight="1" thickBot="1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5"/>
    </row>
    <row r="3" spans="1:22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281</v>
      </c>
      <c r="F3" s="93" t="s">
        <v>7</v>
      </c>
      <c r="G3" s="93" t="s">
        <v>373</v>
      </c>
      <c r="H3" s="93" t="s">
        <v>1</v>
      </c>
      <c r="I3" s="93"/>
      <c r="J3" s="93"/>
      <c r="K3" s="93"/>
      <c r="L3" s="93" t="s">
        <v>2</v>
      </c>
      <c r="M3" s="93"/>
      <c r="N3" s="93"/>
      <c r="O3" s="93"/>
      <c r="P3" s="93" t="s">
        <v>3</v>
      </c>
      <c r="Q3" s="93"/>
      <c r="R3" s="93"/>
      <c r="S3" s="93"/>
      <c r="T3" s="93" t="s">
        <v>4</v>
      </c>
      <c r="U3" s="93" t="s">
        <v>6</v>
      </c>
      <c r="V3" s="97" t="s">
        <v>5</v>
      </c>
    </row>
    <row r="4" spans="1:22" s="2" customFormat="1" ht="21" customHeight="1" thickBot="1">
      <c r="A4" s="96"/>
      <c r="B4" s="107"/>
      <c r="C4" s="94"/>
      <c r="D4" s="109"/>
      <c r="E4" s="94"/>
      <c r="F4" s="94"/>
      <c r="G4" s="94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94"/>
      <c r="U4" s="94"/>
      <c r="V4" s="98"/>
    </row>
    <row r="5" spans="2:21" ht="15">
      <c r="B5" s="99" t="s">
        <v>78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2" ht="12.75">
      <c r="A6" s="32">
        <v>1</v>
      </c>
      <c r="B6" s="19" t="s">
        <v>377</v>
      </c>
      <c r="C6" s="19" t="s">
        <v>366</v>
      </c>
      <c r="D6" s="19" t="s">
        <v>365</v>
      </c>
      <c r="E6" s="19" t="s">
        <v>552</v>
      </c>
      <c r="F6" s="19" t="s">
        <v>85</v>
      </c>
      <c r="G6" s="19" t="s">
        <v>86</v>
      </c>
      <c r="H6" s="38" t="s">
        <v>90</v>
      </c>
      <c r="I6" s="39" t="s">
        <v>103</v>
      </c>
      <c r="J6" s="39" t="s">
        <v>103</v>
      </c>
      <c r="K6" s="35"/>
      <c r="L6" s="39" t="s">
        <v>76</v>
      </c>
      <c r="M6" s="38" t="s">
        <v>76</v>
      </c>
      <c r="N6" s="39" t="s">
        <v>55</v>
      </c>
      <c r="O6" s="35"/>
      <c r="P6" s="38" t="s">
        <v>103</v>
      </c>
      <c r="Q6" s="39" t="s">
        <v>364</v>
      </c>
      <c r="R6" s="39" t="s">
        <v>364</v>
      </c>
      <c r="S6" s="35"/>
      <c r="T6" s="34" t="s">
        <v>361</v>
      </c>
      <c r="U6" s="34" t="s">
        <v>554</v>
      </c>
      <c r="V6" s="19" t="s">
        <v>165</v>
      </c>
    </row>
    <row r="7" spans="2:22" ht="12.75">
      <c r="B7" s="20" t="s">
        <v>378</v>
      </c>
      <c r="C7" s="20" t="s">
        <v>363</v>
      </c>
      <c r="D7" s="20" t="s">
        <v>362</v>
      </c>
      <c r="E7" s="20" t="s">
        <v>553</v>
      </c>
      <c r="F7" s="20" t="s">
        <v>13</v>
      </c>
      <c r="G7" s="20" t="s">
        <v>14</v>
      </c>
      <c r="H7" s="40" t="s">
        <v>87</v>
      </c>
      <c r="I7" s="40" t="s">
        <v>90</v>
      </c>
      <c r="J7" s="40" t="s">
        <v>90</v>
      </c>
      <c r="K7" s="36"/>
      <c r="L7" s="36"/>
      <c r="M7" s="36"/>
      <c r="N7" s="36"/>
      <c r="O7" s="36"/>
      <c r="P7" s="36"/>
      <c r="Q7" s="36"/>
      <c r="R7" s="36"/>
      <c r="S7" s="36"/>
      <c r="T7" s="37">
        <v>0</v>
      </c>
      <c r="U7" s="37" t="s">
        <v>379</v>
      </c>
      <c r="V7" s="20" t="s">
        <v>165</v>
      </c>
    </row>
    <row r="26" ht="12.75">
      <c r="G26" s="11" t="s">
        <v>529</v>
      </c>
    </row>
  </sheetData>
  <sheetProtection/>
  <mergeCells count="15">
    <mergeCell ref="G3:G4"/>
    <mergeCell ref="H3:K3"/>
    <mergeCell ref="L3:O3"/>
    <mergeCell ref="P3:S3"/>
    <mergeCell ref="T3:T4"/>
    <mergeCell ref="U3:U4"/>
    <mergeCell ref="V3:V4"/>
    <mergeCell ref="B5:U5"/>
    <mergeCell ref="A3:A4"/>
    <mergeCell ref="B1:V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23.125" style="11" customWidth="1"/>
    <col min="3" max="3" width="29.25390625" style="11" customWidth="1"/>
    <col min="4" max="4" width="11.375" style="11" customWidth="1"/>
    <col min="5" max="5" width="8.375" style="11" bestFit="1" customWidth="1"/>
    <col min="6" max="6" width="22.75390625" style="11" bestFit="1" customWidth="1"/>
    <col min="7" max="7" width="25.00390625" style="11" bestFit="1" customWidth="1"/>
    <col min="8" max="10" width="5.625" style="11" bestFit="1" customWidth="1"/>
    <col min="11" max="11" width="4.625" style="11" bestFit="1" customWidth="1"/>
    <col min="12" max="12" width="12.375" style="11" customWidth="1"/>
    <col min="13" max="13" width="8.625" style="11" bestFit="1" customWidth="1"/>
    <col min="14" max="14" width="16.125" style="11" customWidth="1"/>
  </cols>
  <sheetData>
    <row r="1" spans="2:14" s="1" customFormat="1" ht="15" customHeight="1">
      <c r="B1" s="100" t="s">
        <v>539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2:14" s="1" customFormat="1" ht="117" customHeight="1" thickBot="1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281</v>
      </c>
      <c r="F3" s="93" t="s">
        <v>7</v>
      </c>
      <c r="G3" s="93" t="s">
        <v>373</v>
      </c>
      <c r="H3" s="93" t="s">
        <v>2</v>
      </c>
      <c r="I3" s="93"/>
      <c r="J3" s="93"/>
      <c r="K3" s="93"/>
      <c r="L3" s="93" t="s">
        <v>375</v>
      </c>
      <c r="M3" s="93" t="s">
        <v>6</v>
      </c>
      <c r="N3" s="97" t="s">
        <v>5</v>
      </c>
    </row>
    <row r="4" spans="1:14" s="2" customFormat="1" ht="21" customHeight="1" thickBot="1">
      <c r="A4" s="96"/>
      <c r="B4" s="107"/>
      <c r="C4" s="94"/>
      <c r="D4" s="109"/>
      <c r="E4" s="94"/>
      <c r="F4" s="94"/>
      <c r="G4" s="94"/>
      <c r="H4" s="3">
        <v>1</v>
      </c>
      <c r="I4" s="3">
        <v>2</v>
      </c>
      <c r="J4" s="3">
        <v>3</v>
      </c>
      <c r="K4" s="3" t="s">
        <v>8</v>
      </c>
      <c r="L4" s="94"/>
      <c r="M4" s="94"/>
      <c r="N4" s="98"/>
    </row>
    <row r="5" spans="2:13" ht="15">
      <c r="B5" s="99" t="s">
        <v>46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4" ht="12.75">
      <c r="A6" s="32">
        <v>1</v>
      </c>
      <c r="B6" s="12" t="s">
        <v>374</v>
      </c>
      <c r="C6" s="12" t="s">
        <v>206</v>
      </c>
      <c r="D6" s="12" t="s">
        <v>367</v>
      </c>
      <c r="E6" s="12" t="s">
        <v>555</v>
      </c>
      <c r="F6" s="12" t="s">
        <v>208</v>
      </c>
      <c r="G6" s="12" t="s">
        <v>205</v>
      </c>
      <c r="H6" s="31" t="s">
        <v>76</v>
      </c>
      <c r="I6" s="30" t="s">
        <v>55</v>
      </c>
      <c r="J6" s="30" t="s">
        <v>44</v>
      </c>
      <c r="K6" s="28"/>
      <c r="L6" s="29" t="s">
        <v>76</v>
      </c>
      <c r="M6" s="29" t="s">
        <v>556</v>
      </c>
      <c r="N6" s="33" t="s">
        <v>376</v>
      </c>
    </row>
  </sheetData>
  <sheetProtection/>
  <mergeCells count="13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A3: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E3" sqref="E3:E4"/>
    </sheetView>
  </sheetViews>
  <sheetFormatPr defaultColWidth="8.75390625" defaultRowHeight="12.75"/>
  <cols>
    <col min="1" max="1" width="9.125" style="32" customWidth="1"/>
    <col min="2" max="2" width="23.00390625" style="11" customWidth="1"/>
    <col min="3" max="3" width="28.875" style="11" customWidth="1"/>
    <col min="4" max="4" width="11.625" style="11" customWidth="1"/>
    <col min="5" max="5" width="8.375" style="11" bestFit="1" customWidth="1"/>
    <col min="6" max="6" width="22.75390625" style="11" bestFit="1" customWidth="1"/>
    <col min="7" max="7" width="26.875" style="11" bestFit="1" customWidth="1"/>
    <col min="8" max="10" width="5.625" style="11" bestFit="1" customWidth="1"/>
    <col min="11" max="11" width="4.625" style="11" bestFit="1" customWidth="1"/>
    <col min="12" max="12" width="11.00390625" style="47" customWidth="1"/>
    <col min="13" max="13" width="8.625" style="11" bestFit="1" customWidth="1"/>
    <col min="14" max="14" width="15.75390625" style="11" bestFit="1" customWidth="1"/>
  </cols>
  <sheetData>
    <row r="1" spans="1:14" s="1" customFormat="1" ht="15" customHeight="1">
      <c r="A1" s="53"/>
      <c r="B1" s="100" t="s">
        <v>540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111.75" customHeight="1" thickBot="1">
      <c r="A2" s="53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281</v>
      </c>
      <c r="F3" s="93" t="s">
        <v>7</v>
      </c>
      <c r="G3" s="93" t="s">
        <v>373</v>
      </c>
      <c r="H3" s="93" t="s">
        <v>2</v>
      </c>
      <c r="I3" s="93"/>
      <c r="J3" s="93"/>
      <c r="K3" s="93"/>
      <c r="L3" s="111" t="s">
        <v>375</v>
      </c>
      <c r="M3" s="93" t="s">
        <v>6</v>
      </c>
      <c r="N3" s="97" t="s">
        <v>5</v>
      </c>
    </row>
    <row r="4" spans="1:14" s="2" customFormat="1" ht="21" customHeight="1" thickBot="1">
      <c r="A4" s="96"/>
      <c r="B4" s="107"/>
      <c r="C4" s="94"/>
      <c r="D4" s="109"/>
      <c r="E4" s="94"/>
      <c r="F4" s="94"/>
      <c r="G4" s="94"/>
      <c r="H4" s="3">
        <v>1</v>
      </c>
      <c r="I4" s="3">
        <v>2</v>
      </c>
      <c r="J4" s="3">
        <v>3</v>
      </c>
      <c r="K4" s="3" t="s">
        <v>8</v>
      </c>
      <c r="L4" s="112"/>
      <c r="M4" s="94"/>
      <c r="N4" s="98"/>
    </row>
    <row r="5" spans="2:13" ht="15">
      <c r="B5" s="99" t="s">
        <v>46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4" ht="12.75">
      <c r="A6" s="32">
        <v>1</v>
      </c>
      <c r="B6" s="12" t="s">
        <v>380</v>
      </c>
      <c r="C6" s="12" t="s">
        <v>360</v>
      </c>
      <c r="D6" s="12" t="s">
        <v>359</v>
      </c>
      <c r="E6" s="12" t="s">
        <v>557</v>
      </c>
      <c r="F6" s="12" t="s">
        <v>85</v>
      </c>
      <c r="G6" s="12" t="s">
        <v>86</v>
      </c>
      <c r="H6" s="31" t="s">
        <v>100</v>
      </c>
      <c r="I6" s="30" t="s">
        <v>69</v>
      </c>
      <c r="J6" s="31" t="s">
        <v>260</v>
      </c>
      <c r="K6" s="28"/>
      <c r="L6" s="43">
        <v>232.5</v>
      </c>
      <c r="M6" s="29" t="s">
        <v>564</v>
      </c>
      <c r="N6" s="12" t="s">
        <v>165</v>
      </c>
    </row>
    <row r="8" spans="2:13" ht="15">
      <c r="B8" s="110" t="s">
        <v>59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4" ht="12.75">
      <c r="A9" s="32">
        <v>1</v>
      </c>
      <c r="B9" s="19" t="s">
        <v>381</v>
      </c>
      <c r="C9" s="19" t="s">
        <v>173</v>
      </c>
      <c r="D9" s="19" t="s">
        <v>174</v>
      </c>
      <c r="E9" s="27" t="s">
        <v>558</v>
      </c>
      <c r="F9" s="19" t="s">
        <v>85</v>
      </c>
      <c r="G9" s="26" t="s">
        <v>86</v>
      </c>
      <c r="H9" s="39" t="s">
        <v>90</v>
      </c>
      <c r="I9" s="39" t="s">
        <v>90</v>
      </c>
      <c r="J9" s="38" t="s">
        <v>344</v>
      </c>
      <c r="K9" s="35"/>
      <c r="L9" s="44">
        <v>272.5</v>
      </c>
      <c r="M9" s="34" t="s">
        <v>565</v>
      </c>
      <c r="N9" s="19" t="s">
        <v>165</v>
      </c>
    </row>
    <row r="10" spans="1:14" ht="12.75">
      <c r="A10" s="32">
        <v>2</v>
      </c>
      <c r="B10" s="21" t="s">
        <v>382</v>
      </c>
      <c r="C10" s="21" t="s">
        <v>358</v>
      </c>
      <c r="D10" s="21" t="s">
        <v>167</v>
      </c>
      <c r="E10" s="25" t="s">
        <v>559</v>
      </c>
      <c r="F10" s="21" t="s">
        <v>13</v>
      </c>
      <c r="G10" s="24" t="s">
        <v>14</v>
      </c>
      <c r="H10" s="48" t="s">
        <v>81</v>
      </c>
      <c r="I10" s="50" t="s">
        <v>57</v>
      </c>
      <c r="J10" s="48" t="s">
        <v>57</v>
      </c>
      <c r="K10" s="42"/>
      <c r="L10" s="45">
        <v>210</v>
      </c>
      <c r="M10" s="41" t="s">
        <v>566</v>
      </c>
      <c r="N10" s="21" t="s">
        <v>165</v>
      </c>
    </row>
    <row r="11" spans="1:14" ht="12.75">
      <c r="A11" s="32">
        <v>3</v>
      </c>
      <c r="B11" s="21" t="s">
        <v>383</v>
      </c>
      <c r="C11" s="21" t="s">
        <v>357</v>
      </c>
      <c r="D11" s="21" t="s">
        <v>174</v>
      </c>
      <c r="E11" s="27" t="s">
        <v>558</v>
      </c>
      <c r="F11" s="21" t="s">
        <v>85</v>
      </c>
      <c r="G11" s="24" t="s">
        <v>86</v>
      </c>
      <c r="H11" s="50" t="s">
        <v>99</v>
      </c>
      <c r="I11" s="48" t="s">
        <v>99</v>
      </c>
      <c r="J11" s="50" t="s">
        <v>100</v>
      </c>
      <c r="K11" s="42"/>
      <c r="L11" s="45">
        <v>190</v>
      </c>
      <c r="M11" s="41" t="s">
        <v>567</v>
      </c>
      <c r="N11" s="21" t="s">
        <v>165</v>
      </c>
    </row>
    <row r="12" spans="1:14" ht="12.75">
      <c r="A12" s="32">
        <v>1</v>
      </c>
      <c r="B12" s="20" t="s">
        <v>382</v>
      </c>
      <c r="C12" s="20" t="s">
        <v>356</v>
      </c>
      <c r="D12" s="20" t="s">
        <v>167</v>
      </c>
      <c r="E12" s="20" t="s">
        <v>559</v>
      </c>
      <c r="F12" s="20" t="s">
        <v>13</v>
      </c>
      <c r="G12" s="23" t="s">
        <v>14</v>
      </c>
      <c r="H12" s="49" t="s">
        <v>81</v>
      </c>
      <c r="I12" s="40" t="s">
        <v>57</v>
      </c>
      <c r="J12" s="49" t="s">
        <v>57</v>
      </c>
      <c r="K12" s="36"/>
      <c r="L12" s="46">
        <v>210</v>
      </c>
      <c r="M12" s="37" t="s">
        <v>566</v>
      </c>
      <c r="N12" s="20" t="s">
        <v>165</v>
      </c>
    </row>
    <row r="14" spans="2:13" ht="15">
      <c r="B14" s="110" t="s">
        <v>78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4" ht="12.75">
      <c r="A15" s="32">
        <v>1</v>
      </c>
      <c r="B15" s="19" t="s">
        <v>384</v>
      </c>
      <c r="C15" s="19" t="s">
        <v>355</v>
      </c>
      <c r="D15" s="19" t="s">
        <v>354</v>
      </c>
      <c r="E15" s="19" t="s">
        <v>560</v>
      </c>
      <c r="F15" s="19" t="s">
        <v>13</v>
      </c>
      <c r="G15" s="19" t="s">
        <v>14</v>
      </c>
      <c r="H15" s="38" t="s">
        <v>53</v>
      </c>
      <c r="I15" s="38" t="s">
        <v>39</v>
      </c>
      <c r="J15" s="38" t="s">
        <v>141</v>
      </c>
      <c r="K15" s="35"/>
      <c r="L15" s="44">
        <v>142.5</v>
      </c>
      <c r="M15" s="34" t="s">
        <v>568</v>
      </c>
      <c r="N15" s="19" t="s">
        <v>165</v>
      </c>
    </row>
    <row r="16" spans="1:14" ht="12.75">
      <c r="A16" s="32">
        <v>1</v>
      </c>
      <c r="B16" s="21" t="s">
        <v>385</v>
      </c>
      <c r="C16" s="21" t="s">
        <v>353</v>
      </c>
      <c r="D16" s="21" t="s">
        <v>352</v>
      </c>
      <c r="E16" s="21" t="s">
        <v>561</v>
      </c>
      <c r="F16" s="21" t="s">
        <v>13</v>
      </c>
      <c r="G16" s="21" t="s">
        <v>14</v>
      </c>
      <c r="H16" s="48" t="s">
        <v>94</v>
      </c>
      <c r="I16" s="48" t="s">
        <v>95</v>
      </c>
      <c r="J16" s="48" t="s">
        <v>346</v>
      </c>
      <c r="K16" s="42"/>
      <c r="L16" s="45">
        <v>320</v>
      </c>
      <c r="M16" s="41" t="s">
        <v>569</v>
      </c>
      <c r="N16" s="21" t="s">
        <v>165</v>
      </c>
    </row>
    <row r="17" spans="1:14" ht="12.75">
      <c r="A17" s="32">
        <v>2</v>
      </c>
      <c r="B17" s="21" t="s">
        <v>386</v>
      </c>
      <c r="C17" s="21" t="s">
        <v>351</v>
      </c>
      <c r="D17" s="21" t="s">
        <v>350</v>
      </c>
      <c r="E17" s="21" t="s">
        <v>562</v>
      </c>
      <c r="F17" s="21" t="s">
        <v>13</v>
      </c>
      <c r="G17" s="21" t="s">
        <v>14</v>
      </c>
      <c r="H17" s="48" t="s">
        <v>349</v>
      </c>
      <c r="I17" s="48" t="s">
        <v>345</v>
      </c>
      <c r="J17" s="50" t="s">
        <v>95</v>
      </c>
      <c r="K17" s="42"/>
      <c r="L17" s="45">
        <v>305</v>
      </c>
      <c r="M17" s="41" t="s">
        <v>570</v>
      </c>
      <c r="N17" s="21" t="s">
        <v>549</v>
      </c>
    </row>
    <row r="18" spans="1:14" ht="12.75">
      <c r="A18" s="32">
        <v>3</v>
      </c>
      <c r="B18" s="20" t="s">
        <v>387</v>
      </c>
      <c r="C18" s="20" t="s">
        <v>348</v>
      </c>
      <c r="D18" s="20" t="s">
        <v>347</v>
      </c>
      <c r="E18" s="20" t="s">
        <v>563</v>
      </c>
      <c r="F18" s="20" t="s">
        <v>13</v>
      </c>
      <c r="G18" s="20" t="s">
        <v>14</v>
      </c>
      <c r="H18" s="40" t="s">
        <v>87</v>
      </c>
      <c r="I18" s="40" t="s">
        <v>87</v>
      </c>
      <c r="J18" s="49" t="s">
        <v>87</v>
      </c>
      <c r="K18" s="36"/>
      <c r="L18" s="46">
        <v>250</v>
      </c>
      <c r="M18" s="37" t="s">
        <v>571</v>
      </c>
      <c r="N18" s="20" t="s">
        <v>165</v>
      </c>
    </row>
    <row r="20" spans="2:3" ht="18">
      <c r="B20" s="13" t="s">
        <v>110</v>
      </c>
      <c r="C20" s="13"/>
    </row>
    <row r="21" spans="2:3" ht="14.25">
      <c r="B21" s="16"/>
      <c r="C21" s="17" t="s">
        <v>530</v>
      </c>
    </row>
    <row r="22" spans="2:6" ht="15">
      <c r="B22" s="18" t="s">
        <v>112</v>
      </c>
      <c r="C22" s="18" t="s">
        <v>113</v>
      </c>
      <c r="D22" s="18" t="s">
        <v>114</v>
      </c>
      <c r="E22" s="18" t="s">
        <v>115</v>
      </c>
      <c r="F22" s="18" t="s">
        <v>281</v>
      </c>
    </row>
    <row r="23" spans="1:6" ht="12.75">
      <c r="A23" s="32">
        <v>1</v>
      </c>
      <c r="B23" s="15" t="s">
        <v>385</v>
      </c>
      <c r="C23" s="51" t="s">
        <v>111</v>
      </c>
      <c r="D23" s="52" t="s">
        <v>388</v>
      </c>
      <c r="E23" s="52" t="s">
        <v>346</v>
      </c>
      <c r="F23" s="52" t="s">
        <v>569</v>
      </c>
    </row>
    <row r="24" spans="1:6" ht="12.75">
      <c r="A24" s="32">
        <v>2</v>
      </c>
      <c r="B24" s="15" t="s">
        <v>386</v>
      </c>
      <c r="C24" s="51" t="s">
        <v>111</v>
      </c>
      <c r="D24" s="52" t="s">
        <v>388</v>
      </c>
      <c r="E24" s="52" t="s">
        <v>345</v>
      </c>
      <c r="F24" s="52" t="s">
        <v>570</v>
      </c>
    </row>
    <row r="25" spans="1:6" ht="12.75">
      <c r="A25" s="32">
        <v>3</v>
      </c>
      <c r="B25" s="15" t="s">
        <v>380</v>
      </c>
      <c r="C25" s="51" t="s">
        <v>111</v>
      </c>
      <c r="D25" s="52" t="s">
        <v>389</v>
      </c>
      <c r="E25" s="52" t="s">
        <v>260</v>
      </c>
      <c r="F25" s="52" t="s">
        <v>564</v>
      </c>
    </row>
  </sheetData>
  <sheetProtection/>
  <mergeCells count="15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A3:A4"/>
    <mergeCell ref="B8:M8"/>
    <mergeCell ref="B14:M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375" style="1" customWidth="1"/>
    <col min="2" max="2" width="26.125" style="4" customWidth="1"/>
    <col min="3" max="3" width="27.625" style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26.875" style="5" bestFit="1" customWidth="1"/>
    <col min="8" max="9" width="5.625" style="1" bestFit="1" customWidth="1"/>
    <col min="10" max="10" width="4.25390625" style="1" customWidth="1"/>
    <col min="11" max="11" width="4.625" style="1" bestFit="1" customWidth="1"/>
    <col min="12" max="12" width="10.75390625" style="4" customWidth="1"/>
    <col min="13" max="13" width="8.625" style="1" bestFit="1" customWidth="1"/>
    <col min="14" max="14" width="15.75390625" style="5" bestFit="1" customWidth="1"/>
    <col min="15" max="16384" width="11.375" style="1" customWidth="1"/>
  </cols>
  <sheetData>
    <row r="1" spans="2:14" ht="15" customHeight="1">
      <c r="B1" s="100" t="s">
        <v>541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2:14" ht="115.5" customHeight="1" thickBot="1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281</v>
      </c>
      <c r="F3" s="93" t="s">
        <v>7</v>
      </c>
      <c r="G3" s="93" t="s">
        <v>373</v>
      </c>
      <c r="H3" s="93" t="s">
        <v>3</v>
      </c>
      <c r="I3" s="93"/>
      <c r="J3" s="93"/>
      <c r="K3" s="93"/>
      <c r="L3" s="93" t="s">
        <v>375</v>
      </c>
      <c r="M3" s="93" t="s">
        <v>6</v>
      </c>
      <c r="N3" s="97" t="s">
        <v>5</v>
      </c>
    </row>
    <row r="4" spans="1:14" s="2" customFormat="1" ht="21" customHeight="1" thickBot="1">
      <c r="A4" s="96"/>
      <c r="B4" s="107"/>
      <c r="C4" s="94"/>
      <c r="D4" s="109"/>
      <c r="E4" s="94"/>
      <c r="F4" s="94"/>
      <c r="G4" s="94"/>
      <c r="H4" s="3">
        <v>1</v>
      </c>
      <c r="I4" s="3">
        <v>2</v>
      </c>
      <c r="J4" s="3">
        <v>3</v>
      </c>
      <c r="K4" s="3" t="s">
        <v>8</v>
      </c>
      <c r="L4" s="94"/>
      <c r="M4" s="94"/>
      <c r="N4" s="98"/>
    </row>
    <row r="5" spans="2:13" ht="15">
      <c r="B5" s="113" t="s">
        <v>82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4" ht="12.75">
      <c r="A6" s="53" t="s">
        <v>391</v>
      </c>
      <c r="B6" s="54" t="s">
        <v>390</v>
      </c>
      <c r="C6" s="6" t="s">
        <v>324</v>
      </c>
      <c r="D6" s="6" t="s">
        <v>323</v>
      </c>
      <c r="E6" s="6" t="s">
        <v>572</v>
      </c>
      <c r="F6" s="6" t="s">
        <v>13</v>
      </c>
      <c r="G6" s="6" t="s">
        <v>14</v>
      </c>
      <c r="H6" s="31" t="s">
        <v>109</v>
      </c>
      <c r="I6" s="31" t="s">
        <v>88</v>
      </c>
      <c r="J6" s="56"/>
      <c r="K6" s="56"/>
      <c r="L6" s="55" t="s">
        <v>88</v>
      </c>
      <c r="M6" s="55" t="s">
        <v>573</v>
      </c>
      <c r="N6" s="6" t="s">
        <v>165</v>
      </c>
    </row>
  </sheetData>
  <sheetProtection/>
  <mergeCells count="13">
    <mergeCell ref="A3:A4"/>
    <mergeCell ref="B5:M5"/>
    <mergeCell ref="E3:E4"/>
    <mergeCell ref="L3:L4"/>
    <mergeCell ref="M3:M4"/>
    <mergeCell ref="B1:N2"/>
    <mergeCell ref="H3:K3"/>
    <mergeCell ref="B3:B4"/>
    <mergeCell ref="C3:C4"/>
    <mergeCell ref="D3:D4"/>
    <mergeCell ref="N3:N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32" customWidth="1"/>
    <col min="2" max="2" width="31.875" style="11" bestFit="1" customWidth="1"/>
    <col min="3" max="3" width="26.75390625" style="11" customWidth="1"/>
    <col min="4" max="4" width="11.875" style="11" customWidth="1"/>
    <col min="5" max="5" width="8.375" style="11" bestFit="1" customWidth="1"/>
    <col min="6" max="6" width="22.75390625" style="11" bestFit="1" customWidth="1"/>
    <col min="7" max="7" width="33.25390625" style="11" bestFit="1" customWidth="1"/>
    <col min="8" max="8" width="4.75390625" style="11" bestFit="1" customWidth="1"/>
    <col min="9" max="9" width="9.625" style="11" bestFit="1" customWidth="1"/>
    <col min="10" max="10" width="8.375" style="11" customWidth="1"/>
    <col min="11" max="11" width="9.625" style="11" bestFit="1" customWidth="1"/>
    <col min="12" max="12" width="15.375" style="11" bestFit="1" customWidth="1"/>
  </cols>
  <sheetData>
    <row r="1" spans="1:12" s="1" customFormat="1" ht="15" customHeight="1">
      <c r="A1" s="53"/>
      <c r="B1" s="100" t="s">
        <v>542</v>
      </c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s="1" customFormat="1" ht="108.75" customHeight="1" thickBot="1">
      <c r="A2" s="53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1:12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281</v>
      </c>
      <c r="F3" s="93" t="s">
        <v>7</v>
      </c>
      <c r="G3" s="93" t="s">
        <v>373</v>
      </c>
      <c r="H3" s="93" t="s">
        <v>2</v>
      </c>
      <c r="I3" s="93"/>
      <c r="J3" s="93" t="s">
        <v>392</v>
      </c>
      <c r="K3" s="93" t="s">
        <v>6</v>
      </c>
      <c r="L3" s="97" t="s">
        <v>5</v>
      </c>
    </row>
    <row r="4" spans="1:12" s="2" customFormat="1" ht="21" customHeight="1" thickBot="1">
      <c r="A4" s="96"/>
      <c r="B4" s="107"/>
      <c r="C4" s="94"/>
      <c r="D4" s="109"/>
      <c r="E4" s="94"/>
      <c r="F4" s="94"/>
      <c r="G4" s="94"/>
      <c r="H4" s="3" t="s">
        <v>299</v>
      </c>
      <c r="I4" s="3" t="s">
        <v>298</v>
      </c>
      <c r="J4" s="94"/>
      <c r="K4" s="94"/>
      <c r="L4" s="98"/>
    </row>
    <row r="5" spans="2:11" ht="15">
      <c r="B5" s="99" t="s">
        <v>160</v>
      </c>
      <c r="C5" s="99"/>
      <c r="D5" s="99"/>
      <c r="E5" s="99"/>
      <c r="F5" s="99"/>
      <c r="G5" s="99"/>
      <c r="H5" s="99"/>
      <c r="I5" s="99"/>
      <c r="J5" s="99"/>
      <c r="K5" s="99"/>
    </row>
    <row r="6" spans="1:12" ht="12.75">
      <c r="A6" s="32">
        <v>1</v>
      </c>
      <c r="B6" s="12" t="s">
        <v>77</v>
      </c>
      <c r="C6" s="12" t="s">
        <v>276</v>
      </c>
      <c r="D6" s="12" t="s">
        <v>275</v>
      </c>
      <c r="E6" s="12" t="str">
        <f>"0,6464"</f>
        <v>0,6464</v>
      </c>
      <c r="F6" s="12" t="s">
        <v>74</v>
      </c>
      <c r="G6" s="12" t="s">
        <v>75</v>
      </c>
      <c r="H6" s="29" t="s">
        <v>27</v>
      </c>
      <c r="I6" s="29" t="s">
        <v>405</v>
      </c>
      <c r="J6" s="29" t="s">
        <v>296</v>
      </c>
      <c r="K6" s="29" t="str">
        <f>"1860,5072"</f>
        <v>1860,5072</v>
      </c>
      <c r="L6" s="12" t="s">
        <v>165</v>
      </c>
    </row>
    <row r="8" spans="2:11" ht="15">
      <c r="B8" s="110" t="s">
        <v>59</v>
      </c>
      <c r="C8" s="110"/>
      <c r="D8" s="110"/>
      <c r="E8" s="110"/>
      <c r="F8" s="110"/>
      <c r="G8" s="110"/>
      <c r="H8" s="110"/>
      <c r="I8" s="110"/>
      <c r="J8" s="110"/>
      <c r="K8" s="110"/>
    </row>
    <row r="9" spans="1:12" ht="12.75">
      <c r="A9" s="32">
        <v>1</v>
      </c>
      <c r="B9" s="12" t="s">
        <v>429</v>
      </c>
      <c r="C9" s="12" t="s">
        <v>221</v>
      </c>
      <c r="D9" s="12" t="s">
        <v>167</v>
      </c>
      <c r="E9" s="12" t="str">
        <f>"0,6157"</f>
        <v>0,6157</v>
      </c>
      <c r="F9" s="12" t="s">
        <v>13</v>
      </c>
      <c r="G9" s="12" t="s">
        <v>222</v>
      </c>
      <c r="H9" s="29" t="s">
        <v>28</v>
      </c>
      <c r="I9" s="29" t="s">
        <v>406</v>
      </c>
      <c r="J9" s="29" t="s">
        <v>297</v>
      </c>
      <c r="K9" s="29" t="str">
        <f>"1274,4990"</f>
        <v>1274,4990</v>
      </c>
      <c r="L9" s="12" t="s">
        <v>165</v>
      </c>
    </row>
  </sheetData>
  <sheetProtection/>
  <mergeCells count="14">
    <mergeCell ref="L3:L4"/>
    <mergeCell ref="A3:A4"/>
    <mergeCell ref="B5:K5"/>
    <mergeCell ref="B8:K8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375" style="53" customWidth="1"/>
    <col min="2" max="2" width="29.25390625" style="60" bestFit="1" customWidth="1"/>
    <col min="3" max="3" width="26.75390625" style="5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28.00390625" style="5" bestFit="1" customWidth="1"/>
    <col min="8" max="8" width="5.625" style="1" bestFit="1" customWidth="1"/>
    <col min="9" max="9" width="9.625" style="1" bestFit="1" customWidth="1"/>
    <col min="10" max="10" width="9.625" style="4" customWidth="1"/>
    <col min="11" max="11" width="9.625" style="1" bestFit="1" customWidth="1"/>
    <col min="12" max="12" width="18.375" style="5" customWidth="1"/>
    <col min="13" max="16384" width="11.375" style="1" customWidth="1"/>
  </cols>
  <sheetData>
    <row r="1" spans="2:12" ht="15" customHeight="1">
      <c r="B1" s="100" t="s">
        <v>543</v>
      </c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2:12" ht="111.75" customHeight="1" thickBot="1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1:12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281</v>
      </c>
      <c r="F3" s="93" t="s">
        <v>7</v>
      </c>
      <c r="G3" s="93" t="s">
        <v>373</v>
      </c>
      <c r="H3" s="93" t="s">
        <v>2</v>
      </c>
      <c r="I3" s="93"/>
      <c r="J3" s="93" t="s">
        <v>392</v>
      </c>
      <c r="K3" s="93" t="s">
        <v>6</v>
      </c>
      <c r="L3" s="97" t="s">
        <v>5</v>
      </c>
    </row>
    <row r="4" spans="1:12" s="2" customFormat="1" ht="21" customHeight="1" thickBot="1">
      <c r="A4" s="96"/>
      <c r="B4" s="107"/>
      <c r="C4" s="94"/>
      <c r="D4" s="109"/>
      <c r="E4" s="94"/>
      <c r="F4" s="94"/>
      <c r="G4" s="94"/>
      <c r="H4" s="3" t="s">
        <v>299</v>
      </c>
      <c r="I4" s="3" t="s">
        <v>298</v>
      </c>
      <c r="J4" s="94"/>
      <c r="K4" s="94"/>
      <c r="L4" s="98"/>
    </row>
    <row r="5" spans="2:11" ht="15">
      <c r="B5" s="115" t="s">
        <v>35</v>
      </c>
      <c r="C5" s="99"/>
      <c r="D5" s="99"/>
      <c r="E5" s="99"/>
      <c r="F5" s="99"/>
      <c r="G5" s="99"/>
      <c r="H5" s="99"/>
      <c r="I5" s="99"/>
      <c r="J5" s="99"/>
      <c r="K5" s="99"/>
    </row>
    <row r="6" spans="1:12" ht="12.75">
      <c r="A6" s="53" t="s">
        <v>391</v>
      </c>
      <c r="B6" s="57" t="s">
        <v>408</v>
      </c>
      <c r="C6" s="7" t="s">
        <v>343</v>
      </c>
      <c r="D6" s="7" t="s">
        <v>342</v>
      </c>
      <c r="E6" s="7" t="str">
        <f>"0,7508"</f>
        <v>0,7508</v>
      </c>
      <c r="F6" s="7" t="s">
        <v>13</v>
      </c>
      <c r="G6" s="7" t="s">
        <v>341</v>
      </c>
      <c r="H6" s="66" t="s">
        <v>31</v>
      </c>
      <c r="I6" s="66" t="s">
        <v>395</v>
      </c>
      <c r="J6" s="66" t="s">
        <v>321</v>
      </c>
      <c r="K6" s="66" t="str">
        <f>"1266,9750"</f>
        <v>1266,9750</v>
      </c>
      <c r="L6" s="7" t="s">
        <v>393</v>
      </c>
    </row>
    <row r="7" spans="1:12" ht="12.75">
      <c r="A7" s="53" t="s">
        <v>391</v>
      </c>
      <c r="B7" s="58" t="s">
        <v>409</v>
      </c>
      <c r="C7" s="9" t="s">
        <v>340</v>
      </c>
      <c r="D7" s="9" t="s">
        <v>149</v>
      </c>
      <c r="E7" s="9" t="str">
        <f>"0,7522"</f>
        <v>0,7522</v>
      </c>
      <c r="F7" s="9" t="s">
        <v>13</v>
      </c>
      <c r="G7" s="9" t="s">
        <v>150</v>
      </c>
      <c r="H7" s="67" t="s">
        <v>31</v>
      </c>
      <c r="I7" s="67" t="s">
        <v>396</v>
      </c>
      <c r="J7" s="67" t="s">
        <v>317</v>
      </c>
      <c r="K7" s="67" t="str">
        <f>"2234,0340"</f>
        <v>2234,0340</v>
      </c>
      <c r="L7" s="9" t="s">
        <v>165</v>
      </c>
    </row>
    <row r="8" spans="1:12" ht="12.75">
      <c r="A8" s="53" t="s">
        <v>421</v>
      </c>
      <c r="B8" s="59" t="s">
        <v>410</v>
      </c>
      <c r="C8" s="8" t="s">
        <v>339</v>
      </c>
      <c r="D8" s="8" t="s">
        <v>338</v>
      </c>
      <c r="E8" s="8" t="str">
        <f>"0,7792"</f>
        <v>0,7792</v>
      </c>
      <c r="F8" s="8" t="s">
        <v>13</v>
      </c>
      <c r="G8" s="8" t="s">
        <v>326</v>
      </c>
      <c r="H8" s="68" t="s">
        <v>16</v>
      </c>
      <c r="I8" s="68" t="s">
        <v>397</v>
      </c>
      <c r="J8" s="68" t="s">
        <v>315</v>
      </c>
      <c r="K8" s="68" t="str">
        <f>"2025,7900"</f>
        <v>2025,7900</v>
      </c>
      <c r="L8" s="8" t="s">
        <v>165</v>
      </c>
    </row>
    <row r="10" spans="2:11" ht="15">
      <c r="B10" s="114" t="s">
        <v>46</v>
      </c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2" ht="12.75">
      <c r="A11" s="53" t="s">
        <v>391</v>
      </c>
      <c r="B11" s="57" t="s">
        <v>411</v>
      </c>
      <c r="C11" s="7" t="s">
        <v>337</v>
      </c>
      <c r="D11" s="7" t="s">
        <v>158</v>
      </c>
      <c r="E11" s="7" t="str">
        <f>"0,6969"</f>
        <v>0,6969</v>
      </c>
      <c r="F11" s="7" t="s">
        <v>13</v>
      </c>
      <c r="G11" s="7" t="s">
        <v>75</v>
      </c>
      <c r="H11" s="66" t="s">
        <v>17</v>
      </c>
      <c r="I11" s="66" t="s">
        <v>396</v>
      </c>
      <c r="J11" s="66" t="s">
        <v>319</v>
      </c>
      <c r="K11" s="66" t="str">
        <f>"2299,6050"</f>
        <v>2299,6050</v>
      </c>
      <c r="L11" s="7" t="s">
        <v>165</v>
      </c>
    </row>
    <row r="12" spans="1:12" ht="12.75">
      <c r="A12" s="53" t="s">
        <v>421</v>
      </c>
      <c r="B12" s="58" t="s">
        <v>412</v>
      </c>
      <c r="C12" s="9" t="s">
        <v>336</v>
      </c>
      <c r="D12" s="9" t="s">
        <v>335</v>
      </c>
      <c r="E12" s="9" t="str">
        <f>"0,7438"</f>
        <v>0,7438</v>
      </c>
      <c r="F12" s="9" t="s">
        <v>334</v>
      </c>
      <c r="G12" s="9" t="s">
        <v>75</v>
      </c>
      <c r="H12" s="67" t="s">
        <v>22</v>
      </c>
      <c r="I12" s="67" t="s">
        <v>398</v>
      </c>
      <c r="J12" s="67" t="s">
        <v>309</v>
      </c>
      <c r="K12" s="67" t="str">
        <f>"1509,9140"</f>
        <v>1509,9140</v>
      </c>
      <c r="L12" s="9" t="s">
        <v>165</v>
      </c>
    </row>
    <row r="13" spans="1:12" ht="12.75">
      <c r="A13" s="53" t="s">
        <v>422</v>
      </c>
      <c r="B13" s="59" t="s">
        <v>413</v>
      </c>
      <c r="C13" s="8" t="s">
        <v>154</v>
      </c>
      <c r="D13" s="8" t="s">
        <v>155</v>
      </c>
      <c r="E13" s="8" t="str">
        <f>"0,7042"</f>
        <v>0,7042</v>
      </c>
      <c r="F13" s="8" t="s">
        <v>156</v>
      </c>
      <c r="G13" s="8" t="s">
        <v>75</v>
      </c>
      <c r="H13" s="68" t="s">
        <v>17</v>
      </c>
      <c r="I13" s="68" t="s">
        <v>399</v>
      </c>
      <c r="J13" s="68" t="s">
        <v>307</v>
      </c>
      <c r="K13" s="68" t="str">
        <f>"1267,4700"</f>
        <v>1267,4700</v>
      </c>
      <c r="L13" s="8" t="s">
        <v>165</v>
      </c>
    </row>
    <row r="15" spans="2:11" ht="15">
      <c r="B15" s="114" t="s">
        <v>160</v>
      </c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2" ht="12.75">
      <c r="A16" s="53" t="s">
        <v>391</v>
      </c>
      <c r="B16" s="57" t="s">
        <v>414</v>
      </c>
      <c r="C16" s="7" t="s">
        <v>333</v>
      </c>
      <c r="D16" s="7" t="s">
        <v>332</v>
      </c>
      <c r="E16" s="7" t="str">
        <f>"0,6603"</f>
        <v>0,6603</v>
      </c>
      <c r="F16" s="7" t="s">
        <v>13</v>
      </c>
      <c r="G16" s="7" t="s">
        <v>14</v>
      </c>
      <c r="H16" s="66" t="s">
        <v>23</v>
      </c>
      <c r="I16" s="66" t="s">
        <v>400</v>
      </c>
      <c r="J16" s="66" t="s">
        <v>313</v>
      </c>
      <c r="K16" s="66" t="str">
        <f>"1954,5620"</f>
        <v>1954,5620</v>
      </c>
      <c r="L16" s="7" t="s">
        <v>165</v>
      </c>
    </row>
    <row r="17" spans="1:12" ht="12.75">
      <c r="A17" s="53" t="s">
        <v>421</v>
      </c>
      <c r="B17" s="58" t="s">
        <v>415</v>
      </c>
      <c r="C17" s="9" t="s">
        <v>163</v>
      </c>
      <c r="D17" s="9" t="s">
        <v>164</v>
      </c>
      <c r="E17" s="9" t="str">
        <f>"0,6761"</f>
        <v>0,6761</v>
      </c>
      <c r="F17" s="9" t="s">
        <v>156</v>
      </c>
      <c r="G17" s="9" t="s">
        <v>75</v>
      </c>
      <c r="H17" s="67" t="s">
        <v>331</v>
      </c>
      <c r="I17" s="67" t="s">
        <v>401</v>
      </c>
      <c r="J17" s="67" t="s">
        <v>312</v>
      </c>
      <c r="K17" s="67" t="str">
        <f>"1886,3190"</f>
        <v>1886,3190</v>
      </c>
      <c r="L17" s="9" t="s">
        <v>165</v>
      </c>
    </row>
    <row r="18" spans="1:12" ht="12.75">
      <c r="A18" s="53" t="s">
        <v>422</v>
      </c>
      <c r="B18" s="59" t="s">
        <v>282</v>
      </c>
      <c r="C18" s="8" t="s">
        <v>286</v>
      </c>
      <c r="D18" s="8" t="s">
        <v>285</v>
      </c>
      <c r="E18" s="8" t="str">
        <f>"0,6453"</f>
        <v>0,6453</v>
      </c>
      <c r="F18" s="8" t="s">
        <v>156</v>
      </c>
      <c r="G18" s="8" t="s">
        <v>75</v>
      </c>
      <c r="H18" s="68" t="s">
        <v>27</v>
      </c>
      <c r="I18" s="68" t="s">
        <v>402</v>
      </c>
      <c r="J18" s="68" t="s">
        <v>311</v>
      </c>
      <c r="K18" s="68" t="str">
        <f>"1756,9653"</f>
        <v>1756,9653</v>
      </c>
      <c r="L18" s="8" t="s">
        <v>165</v>
      </c>
    </row>
    <row r="20" spans="2:11" ht="15">
      <c r="B20" s="114" t="s">
        <v>59</v>
      </c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2" ht="12.75">
      <c r="A21" s="53" t="s">
        <v>391</v>
      </c>
      <c r="B21" s="57" t="s">
        <v>416</v>
      </c>
      <c r="C21" s="7" t="s">
        <v>330</v>
      </c>
      <c r="D21" s="7" t="s">
        <v>329</v>
      </c>
      <c r="E21" s="7" t="str">
        <f>"0,6281"</f>
        <v>0,6281</v>
      </c>
      <c r="F21" s="7" t="s">
        <v>156</v>
      </c>
      <c r="G21" s="7" t="s">
        <v>75</v>
      </c>
      <c r="H21" s="66" t="s">
        <v>284</v>
      </c>
      <c r="I21" s="66" t="s">
        <v>403</v>
      </c>
      <c r="J21" s="66" t="s">
        <v>320</v>
      </c>
      <c r="K21" s="66" t="str">
        <f>"604,5462"</f>
        <v>604,5462</v>
      </c>
      <c r="L21" s="7" t="s">
        <v>165</v>
      </c>
    </row>
    <row r="22" spans="1:12" ht="12.75">
      <c r="A22" s="53" t="s">
        <v>391</v>
      </c>
      <c r="B22" s="58" t="s">
        <v>137</v>
      </c>
      <c r="C22" s="9" t="s">
        <v>72</v>
      </c>
      <c r="D22" s="9" t="s">
        <v>283</v>
      </c>
      <c r="E22" s="9" t="str">
        <f>"0,6253"</f>
        <v>0,6253</v>
      </c>
      <c r="F22" s="9" t="s">
        <v>74</v>
      </c>
      <c r="G22" s="9" t="s">
        <v>75</v>
      </c>
      <c r="H22" s="67" t="s">
        <v>284</v>
      </c>
      <c r="I22" s="67" t="s">
        <v>404</v>
      </c>
      <c r="J22" s="67" t="s">
        <v>310</v>
      </c>
      <c r="K22" s="67" t="str">
        <f>"1641,4125"</f>
        <v>1641,4125</v>
      </c>
      <c r="L22" s="9" t="s">
        <v>394</v>
      </c>
    </row>
    <row r="23" spans="1:12" ht="12.75">
      <c r="A23" s="53" t="s">
        <v>391</v>
      </c>
      <c r="B23" s="59" t="s">
        <v>417</v>
      </c>
      <c r="C23" s="8" t="s">
        <v>328</v>
      </c>
      <c r="D23" s="8" t="s">
        <v>327</v>
      </c>
      <c r="E23" s="8" t="str">
        <f>"0,6385"</f>
        <v>0,6385</v>
      </c>
      <c r="F23" s="8" t="s">
        <v>13</v>
      </c>
      <c r="G23" s="8" t="s">
        <v>326</v>
      </c>
      <c r="H23" s="68" t="s">
        <v>325</v>
      </c>
      <c r="I23" s="68" t="s">
        <v>405</v>
      </c>
      <c r="J23" s="68" t="s">
        <v>305</v>
      </c>
      <c r="K23" s="68" t="str">
        <f>"1519,5111"</f>
        <v>1519,5111</v>
      </c>
      <c r="L23" s="8" t="s">
        <v>165</v>
      </c>
    </row>
    <row r="25" spans="2:11" ht="15">
      <c r="B25" s="114" t="s">
        <v>82</v>
      </c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2" ht="12.75">
      <c r="A26" s="53" t="s">
        <v>391</v>
      </c>
      <c r="B26" s="57" t="s">
        <v>418</v>
      </c>
      <c r="C26" s="7" t="s">
        <v>324</v>
      </c>
      <c r="D26" s="7" t="s">
        <v>323</v>
      </c>
      <c r="E26" s="7" t="str">
        <f>"0,5676"</f>
        <v>0,5676</v>
      </c>
      <c r="F26" s="7" t="s">
        <v>13</v>
      </c>
      <c r="G26" s="7" t="s">
        <v>14</v>
      </c>
      <c r="H26" s="66" t="s">
        <v>322</v>
      </c>
      <c r="I26" s="66" t="s">
        <v>406</v>
      </c>
      <c r="J26" s="66" t="s">
        <v>308</v>
      </c>
      <c r="K26" s="66" t="str">
        <f>"1403,2674"</f>
        <v>1403,2674</v>
      </c>
      <c r="L26" s="7" t="s">
        <v>165</v>
      </c>
    </row>
    <row r="27" spans="1:12" ht="12.75">
      <c r="A27" s="53" t="s">
        <v>421</v>
      </c>
      <c r="B27" s="59" t="s">
        <v>419</v>
      </c>
      <c r="C27" s="8" t="s">
        <v>187</v>
      </c>
      <c r="D27" s="8" t="s">
        <v>188</v>
      </c>
      <c r="E27" s="8" t="str">
        <f>"0,5680"</f>
        <v>0,5680</v>
      </c>
      <c r="F27" s="8" t="s">
        <v>156</v>
      </c>
      <c r="G27" s="8" t="s">
        <v>75</v>
      </c>
      <c r="H27" s="68" t="s">
        <v>322</v>
      </c>
      <c r="I27" s="68" t="s">
        <v>407</v>
      </c>
      <c r="J27" s="68" t="s">
        <v>306</v>
      </c>
      <c r="K27" s="68" t="str">
        <f>"1037,9286"</f>
        <v>1037,9286</v>
      </c>
      <c r="L27" s="8" t="s">
        <v>165</v>
      </c>
    </row>
    <row r="29" spans="2:3" ht="18">
      <c r="B29" s="61" t="s">
        <v>110</v>
      </c>
      <c r="C29" s="61"/>
    </row>
    <row r="30" spans="2:3" ht="14.25">
      <c r="B30" s="62"/>
      <c r="C30" s="65" t="s">
        <v>530</v>
      </c>
    </row>
    <row r="31" spans="2:6" ht="15">
      <c r="B31" s="63" t="s">
        <v>112</v>
      </c>
      <c r="C31" s="22" t="s">
        <v>113</v>
      </c>
      <c r="D31" s="22" t="s">
        <v>114</v>
      </c>
      <c r="E31" s="22" t="s">
        <v>115</v>
      </c>
      <c r="F31" s="10" t="s">
        <v>272</v>
      </c>
    </row>
    <row r="32" spans="1:6" ht="12.75">
      <c r="A32" s="53" t="s">
        <v>391</v>
      </c>
      <c r="B32" s="64" t="s">
        <v>423</v>
      </c>
      <c r="C32" s="1" t="s">
        <v>111</v>
      </c>
      <c r="D32" s="53" t="s">
        <v>389</v>
      </c>
      <c r="E32" s="53" t="s">
        <v>319</v>
      </c>
      <c r="F32" s="53" t="s">
        <v>318</v>
      </c>
    </row>
    <row r="33" spans="1:6" ht="12.75">
      <c r="A33" s="53" t="s">
        <v>421</v>
      </c>
      <c r="B33" s="64" t="s">
        <v>424</v>
      </c>
      <c r="C33" s="1" t="s">
        <v>111</v>
      </c>
      <c r="D33" s="53" t="s">
        <v>420</v>
      </c>
      <c r="E33" s="53" t="s">
        <v>317</v>
      </c>
      <c r="F33" s="53" t="s">
        <v>316</v>
      </c>
    </row>
    <row r="34" spans="1:6" ht="12.75">
      <c r="A34" s="53" t="s">
        <v>422</v>
      </c>
      <c r="B34" s="64" t="s">
        <v>425</v>
      </c>
      <c r="C34" s="1" t="s">
        <v>111</v>
      </c>
      <c r="D34" s="53" t="s">
        <v>420</v>
      </c>
      <c r="E34" s="53" t="s">
        <v>315</v>
      </c>
      <c r="F34" s="53" t="s">
        <v>314</v>
      </c>
    </row>
  </sheetData>
  <sheetProtection/>
  <mergeCells count="17">
    <mergeCell ref="A3:A4"/>
    <mergeCell ref="B20:K20"/>
    <mergeCell ref="B25:K25"/>
    <mergeCell ref="L3:L4"/>
    <mergeCell ref="G3:G4"/>
    <mergeCell ref="F3:F4"/>
    <mergeCell ref="B5:K5"/>
    <mergeCell ref="B10:K10"/>
    <mergeCell ref="B15:K15"/>
    <mergeCell ref="E3:E4"/>
    <mergeCell ref="J3:J4"/>
    <mergeCell ref="K3:K4"/>
    <mergeCell ref="B1:L2"/>
    <mergeCell ref="H3:I3"/>
    <mergeCell ref="B3:B4"/>
    <mergeCell ref="C3:C4"/>
    <mergeCell ref="D3:D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24.125" style="11" customWidth="1"/>
    <col min="3" max="3" width="27.125" style="11" customWidth="1"/>
    <col min="4" max="4" width="9.125" style="11" customWidth="1"/>
    <col min="5" max="5" width="8.375" style="11" bestFit="1" customWidth="1"/>
    <col min="6" max="6" width="22.75390625" style="11" bestFit="1" customWidth="1"/>
    <col min="7" max="7" width="26.875" style="11" bestFit="1" customWidth="1"/>
    <col min="8" max="8" width="4.75390625" style="11" bestFit="1" customWidth="1"/>
    <col min="9" max="9" width="9.625" style="11" bestFit="1" customWidth="1"/>
    <col min="10" max="10" width="8.75390625" style="11" customWidth="1"/>
    <col min="11" max="11" width="9.625" style="11" bestFit="1" customWidth="1"/>
    <col min="12" max="12" width="16.00390625" style="11" bestFit="1" customWidth="1"/>
  </cols>
  <sheetData>
    <row r="1" spans="2:12" s="1" customFormat="1" ht="15" customHeight="1">
      <c r="B1" s="100" t="s">
        <v>544</v>
      </c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2:12" s="1" customFormat="1" ht="106.5" customHeight="1" thickBot="1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1:12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281</v>
      </c>
      <c r="F3" s="93" t="s">
        <v>7</v>
      </c>
      <c r="G3" s="93" t="s">
        <v>373</v>
      </c>
      <c r="H3" s="93" t="s">
        <v>2</v>
      </c>
      <c r="I3" s="93"/>
      <c r="J3" s="93" t="s">
        <v>392</v>
      </c>
      <c r="K3" s="93" t="s">
        <v>6</v>
      </c>
      <c r="L3" s="97" t="s">
        <v>5</v>
      </c>
    </row>
    <row r="4" spans="1:12" s="2" customFormat="1" ht="21" customHeight="1" thickBot="1">
      <c r="A4" s="96"/>
      <c r="B4" s="107"/>
      <c r="C4" s="94"/>
      <c r="D4" s="109"/>
      <c r="E4" s="94"/>
      <c r="F4" s="94"/>
      <c r="G4" s="94"/>
      <c r="H4" s="3" t="s">
        <v>299</v>
      </c>
      <c r="I4" s="3" t="s">
        <v>298</v>
      </c>
      <c r="J4" s="94"/>
      <c r="K4" s="94"/>
      <c r="L4" s="98"/>
    </row>
    <row r="5" spans="2:11" ht="15">
      <c r="B5" s="99" t="s">
        <v>35</v>
      </c>
      <c r="C5" s="99"/>
      <c r="D5" s="99"/>
      <c r="E5" s="99"/>
      <c r="F5" s="99"/>
      <c r="G5" s="99"/>
      <c r="H5" s="99"/>
      <c r="I5" s="99"/>
      <c r="J5" s="99"/>
      <c r="K5" s="99"/>
    </row>
    <row r="6" spans="1:12" ht="12.75">
      <c r="A6" s="32">
        <v>1</v>
      </c>
      <c r="B6" s="12" t="s">
        <v>426</v>
      </c>
      <c r="C6" s="12" t="s">
        <v>303</v>
      </c>
      <c r="D6" s="12" t="s">
        <v>302</v>
      </c>
      <c r="E6" s="12" t="str">
        <f>"0,8019"</f>
        <v>0,8019</v>
      </c>
      <c r="F6" s="12" t="s">
        <v>265</v>
      </c>
      <c r="G6" s="12" t="s">
        <v>14</v>
      </c>
      <c r="H6" s="29" t="s">
        <v>301</v>
      </c>
      <c r="I6" s="29" t="s">
        <v>427</v>
      </c>
      <c r="J6" s="29" t="s">
        <v>300</v>
      </c>
      <c r="K6" s="29" t="str">
        <f>"1355,1265"</f>
        <v>1355,1265</v>
      </c>
      <c r="L6" s="12" t="s">
        <v>428</v>
      </c>
    </row>
  </sheetData>
  <sheetProtection/>
  <mergeCells count="13">
    <mergeCell ref="G3:G4"/>
    <mergeCell ref="H3:I3"/>
    <mergeCell ref="J3:J4"/>
    <mergeCell ref="K3:K4"/>
    <mergeCell ref="L3:L4"/>
    <mergeCell ref="B5:K5"/>
    <mergeCell ref="A3:A4"/>
    <mergeCell ref="B1:L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32" customWidth="1"/>
    <col min="2" max="2" width="26.00390625" style="11" bestFit="1" customWidth="1"/>
    <col min="3" max="3" width="26.625" style="11" customWidth="1"/>
    <col min="4" max="4" width="10.625" style="11" bestFit="1" customWidth="1"/>
    <col min="5" max="5" width="8.375" style="11" bestFit="1" customWidth="1"/>
    <col min="6" max="6" width="22.75390625" style="11" bestFit="1" customWidth="1"/>
    <col min="7" max="7" width="30.75390625" style="11" customWidth="1"/>
    <col min="8" max="10" width="5.625" style="52" bestFit="1" customWidth="1"/>
    <col min="11" max="11" width="4.625" style="52" bestFit="1" customWidth="1"/>
    <col min="12" max="12" width="10.25390625" style="52" customWidth="1"/>
    <col min="13" max="13" width="8.625" style="52" bestFit="1" customWidth="1"/>
    <col min="14" max="14" width="15.375" style="11" bestFit="1" customWidth="1"/>
  </cols>
  <sheetData>
    <row r="1" spans="1:14" s="1" customFormat="1" ht="15" customHeight="1">
      <c r="A1" s="53"/>
      <c r="B1" s="100" t="s">
        <v>545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93.75" customHeight="1" thickBot="1">
      <c r="A2" s="53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2" customFormat="1" ht="12.75" customHeight="1">
      <c r="A3" s="95" t="s">
        <v>370</v>
      </c>
      <c r="B3" s="106" t="s">
        <v>0</v>
      </c>
      <c r="C3" s="108" t="s">
        <v>371</v>
      </c>
      <c r="D3" s="108" t="s">
        <v>372</v>
      </c>
      <c r="E3" s="93" t="s">
        <v>281</v>
      </c>
      <c r="F3" s="93" t="s">
        <v>7</v>
      </c>
      <c r="G3" s="93" t="s">
        <v>373</v>
      </c>
      <c r="H3" s="93" t="s">
        <v>2</v>
      </c>
      <c r="I3" s="93"/>
      <c r="J3" s="93"/>
      <c r="K3" s="93"/>
      <c r="L3" s="93" t="s">
        <v>375</v>
      </c>
      <c r="M3" s="93" t="s">
        <v>6</v>
      </c>
      <c r="N3" s="97" t="s">
        <v>5</v>
      </c>
    </row>
    <row r="4" spans="1:14" s="2" customFormat="1" ht="21" customHeight="1" thickBot="1">
      <c r="A4" s="96"/>
      <c r="B4" s="107"/>
      <c r="C4" s="94"/>
      <c r="D4" s="109"/>
      <c r="E4" s="94"/>
      <c r="F4" s="94"/>
      <c r="G4" s="94"/>
      <c r="H4" s="3">
        <v>1</v>
      </c>
      <c r="I4" s="3">
        <v>2</v>
      </c>
      <c r="J4" s="3">
        <v>3</v>
      </c>
      <c r="K4" s="3" t="s">
        <v>8</v>
      </c>
      <c r="L4" s="94"/>
      <c r="M4" s="94"/>
      <c r="N4" s="98"/>
    </row>
    <row r="5" spans="2:13" ht="15">
      <c r="B5" s="99" t="s">
        <v>46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4" ht="12.75">
      <c r="A6" s="32">
        <v>1</v>
      </c>
      <c r="B6" s="12" t="s">
        <v>433</v>
      </c>
      <c r="C6" s="12" t="s">
        <v>291</v>
      </c>
      <c r="D6" s="12" t="s">
        <v>290</v>
      </c>
      <c r="E6" s="12" t="str">
        <f>"0,6955"</f>
        <v>0,6955</v>
      </c>
      <c r="F6" s="12" t="s">
        <v>13</v>
      </c>
      <c r="G6" s="12" t="s">
        <v>75</v>
      </c>
      <c r="H6" s="31" t="s">
        <v>38</v>
      </c>
      <c r="I6" s="31" t="s">
        <v>39</v>
      </c>
      <c r="J6" s="30" t="s">
        <v>159</v>
      </c>
      <c r="K6" s="28"/>
      <c r="L6" s="29" t="s">
        <v>39</v>
      </c>
      <c r="M6" s="29" t="str">
        <f>"110,0202"</f>
        <v>110,0202</v>
      </c>
      <c r="N6" s="12" t="s">
        <v>438</v>
      </c>
    </row>
    <row r="8" spans="2:13" ht="15">
      <c r="B8" s="110" t="s">
        <v>160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4" ht="12.75">
      <c r="A9" s="32">
        <v>1</v>
      </c>
      <c r="B9" s="19" t="s">
        <v>434</v>
      </c>
      <c r="C9" s="19" t="s">
        <v>214</v>
      </c>
      <c r="D9" s="19" t="s">
        <v>215</v>
      </c>
      <c r="E9" s="19" t="str">
        <f>"0,6508"</f>
        <v>0,6508</v>
      </c>
      <c r="F9" s="19" t="s">
        <v>13</v>
      </c>
      <c r="G9" s="19" t="s">
        <v>205</v>
      </c>
      <c r="H9" s="38" t="s">
        <v>76</v>
      </c>
      <c r="I9" s="38" t="s">
        <v>55</v>
      </c>
      <c r="J9" s="38" t="s">
        <v>56</v>
      </c>
      <c r="K9" s="35"/>
      <c r="L9" s="34" t="s">
        <v>56</v>
      </c>
      <c r="M9" s="34" t="str">
        <f>"126,9060"</f>
        <v>126,9060</v>
      </c>
      <c r="N9" s="19" t="s">
        <v>165</v>
      </c>
    </row>
    <row r="10" spans="1:14" ht="12.75">
      <c r="A10" s="32">
        <v>2</v>
      </c>
      <c r="B10" s="20" t="s">
        <v>435</v>
      </c>
      <c r="C10" s="20" t="s">
        <v>211</v>
      </c>
      <c r="D10" s="20" t="s">
        <v>212</v>
      </c>
      <c r="E10" s="20" t="str">
        <f>"0,6606"</f>
        <v>0,6606</v>
      </c>
      <c r="F10" s="20" t="s">
        <v>13</v>
      </c>
      <c r="G10" s="20" t="s">
        <v>75</v>
      </c>
      <c r="H10" s="40" t="s">
        <v>55</v>
      </c>
      <c r="I10" s="49" t="s">
        <v>287</v>
      </c>
      <c r="J10" s="40" t="s">
        <v>56</v>
      </c>
      <c r="K10" s="36"/>
      <c r="L10" s="37">
        <v>192.5</v>
      </c>
      <c r="M10" s="37" t="str">
        <f>"127,1655"</f>
        <v>127,1655</v>
      </c>
      <c r="N10" s="20" t="s">
        <v>165</v>
      </c>
    </row>
    <row r="12" spans="2:13" ht="15">
      <c r="B12" s="110" t="s">
        <v>59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4" ht="12.75">
      <c r="A13" s="32">
        <v>1</v>
      </c>
      <c r="B13" s="19" t="s">
        <v>436</v>
      </c>
      <c r="C13" s="19" t="s">
        <v>289</v>
      </c>
      <c r="D13" s="19" t="s">
        <v>262</v>
      </c>
      <c r="E13" s="19" t="str">
        <f>"0,6299"</f>
        <v>0,6299</v>
      </c>
      <c r="F13" s="19" t="s">
        <v>13</v>
      </c>
      <c r="G13" s="19" t="s">
        <v>75</v>
      </c>
      <c r="H13" s="38" t="s">
        <v>66</v>
      </c>
      <c r="I13" s="38" t="s">
        <v>183</v>
      </c>
      <c r="J13" s="39" t="s">
        <v>288</v>
      </c>
      <c r="K13" s="35"/>
      <c r="L13" s="34">
        <v>172.5</v>
      </c>
      <c r="M13" s="34" t="str">
        <f>"108,6577"</f>
        <v>108,6577</v>
      </c>
      <c r="N13" s="19" t="s">
        <v>439</v>
      </c>
    </row>
    <row r="14" spans="1:14" ht="12.75">
      <c r="A14" s="32">
        <v>2</v>
      </c>
      <c r="B14" s="20" t="s">
        <v>437</v>
      </c>
      <c r="C14" s="20" t="s">
        <v>221</v>
      </c>
      <c r="D14" s="20" t="s">
        <v>167</v>
      </c>
      <c r="E14" s="20" t="str">
        <f>"0,6157"</f>
        <v>0,6157</v>
      </c>
      <c r="F14" s="20" t="s">
        <v>13</v>
      </c>
      <c r="G14" s="20" t="s">
        <v>222</v>
      </c>
      <c r="H14" s="49" t="s">
        <v>63</v>
      </c>
      <c r="I14" s="40" t="s">
        <v>213</v>
      </c>
      <c r="J14" s="40" t="s">
        <v>213</v>
      </c>
      <c r="K14" s="36"/>
      <c r="L14" s="37" t="s">
        <v>63</v>
      </c>
      <c r="M14" s="37" t="str">
        <f>"98,5120"</f>
        <v>98,5120</v>
      </c>
      <c r="N14" s="20" t="s">
        <v>165</v>
      </c>
    </row>
  </sheetData>
  <sheetProtection/>
  <mergeCells count="15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8:M8"/>
    <mergeCell ref="B12:M12"/>
    <mergeCell ref="A3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user</cp:lastModifiedBy>
  <cp:lastPrinted>2015-07-16T19:10:53Z</cp:lastPrinted>
  <dcterms:created xsi:type="dcterms:W3CDTF">2002-06-16T13:36:44Z</dcterms:created>
  <dcterms:modified xsi:type="dcterms:W3CDTF">2016-11-04T20:32:13Z</dcterms:modified>
  <cp:category/>
  <cp:version/>
  <cp:contentType/>
  <cp:contentStatus/>
</cp:coreProperties>
</file>