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tabRatio="762" firstSheet="12" activeTab="12"/>
  </bookViews>
  <sheets>
    <sheet name="Пауэрлифтинг в бинтах ДК" sheetId="1" r:id="rId1"/>
    <sheet name="Пауэрифтинг в бинтах" sheetId="2" r:id="rId2"/>
    <sheet name="Пауэрлифтинг без экипировки ДК" sheetId="3" r:id="rId3"/>
    <sheet name="Пауэрлифтинг без экипировки" sheetId="4" r:id="rId4"/>
    <sheet name="Силовое двоеборье без экип. ДК" sheetId="5" r:id="rId5"/>
    <sheet name="Жим лежа без экипировки" sheetId="6" r:id="rId6"/>
    <sheet name="Жим лежа без экипировки ДК" sheetId="7" r:id="rId7"/>
    <sheet name="Жим лежа односл. экип. ДК" sheetId="8" r:id="rId8"/>
    <sheet name="Жим лежа односл. экип. " sheetId="9" r:id="rId9"/>
    <sheet name="Народный жим 1 вес" sheetId="10" r:id="rId10"/>
    <sheet name="Народный жим 1 вес ДК" sheetId="11" r:id="rId11"/>
    <sheet name="Становая тяга без экипировки" sheetId="12" r:id="rId12"/>
    <sheet name="Становая тяга без экипировки ДК" sheetId="13" r:id="rId13"/>
    <sheet name="Командное первенство" sheetId="14" r:id="rId14"/>
  </sheets>
  <definedNames/>
  <calcPr fullCalcOnLoad="1" refMode="R1C1"/>
</workbook>
</file>

<file path=xl/sharedStrings.xml><?xml version="1.0" encoding="utf-8"?>
<sst xmlns="http://schemas.openxmlformats.org/spreadsheetml/2006/main" count="2297" uniqueCount="733">
  <si>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</si>
  <si>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</si>
  <si>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</si>
  <si>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</si>
  <si>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</si>
  <si>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</si>
  <si>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</si>
  <si>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</si>
  <si>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</si>
  <si>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</si>
  <si>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52</t>
  </si>
  <si>
    <t>Лукина Екатерина</t>
  </si>
  <si>
    <t>Open (12.04.1991)/25</t>
  </si>
  <si>
    <t>52,00</t>
  </si>
  <si>
    <t xml:space="preserve">Серпухов/Московская область </t>
  </si>
  <si>
    <t>45,0</t>
  </si>
  <si>
    <t>50,0</t>
  </si>
  <si>
    <t>ВЕСОВАЯ КАТЕГОРИЯ   60</t>
  </si>
  <si>
    <t>Пузырева Екатерина</t>
  </si>
  <si>
    <t>Open (21.06.1991)/25</t>
  </si>
  <si>
    <t>58,70</t>
  </si>
  <si>
    <t>67,5</t>
  </si>
  <si>
    <t>ВЕСОВАЯ КАТЕГОРИЯ   67.5</t>
  </si>
  <si>
    <t>Григорьева Светлана</t>
  </si>
  <si>
    <t>Open (15.07.1982)/34</t>
  </si>
  <si>
    <t>63,70</t>
  </si>
  <si>
    <t xml:space="preserve">Подольск/Московская область </t>
  </si>
  <si>
    <t>70,0</t>
  </si>
  <si>
    <t>75,0</t>
  </si>
  <si>
    <t>77,5</t>
  </si>
  <si>
    <t>Показаньева Дарья</t>
  </si>
  <si>
    <t>Open (03.12.1989)/26</t>
  </si>
  <si>
    <t>64,40</t>
  </si>
  <si>
    <t>55,0</t>
  </si>
  <si>
    <t>60,0</t>
  </si>
  <si>
    <t>62,5</t>
  </si>
  <si>
    <t>ВЕСОВАЯ КАТЕГОРИЯ   75</t>
  </si>
  <si>
    <t>Козлова Марина</t>
  </si>
  <si>
    <t>Open (27.06.1985)/31</t>
  </si>
  <si>
    <t>75,00</t>
  </si>
  <si>
    <t xml:space="preserve">Сварга </t>
  </si>
  <si>
    <t xml:space="preserve">Лобня/Московская область </t>
  </si>
  <si>
    <t>40,0</t>
  </si>
  <si>
    <t>ВЕСОВАЯ КАТЕГОРИЯ   56</t>
  </si>
  <si>
    <t>Буханцев Валентин</t>
  </si>
  <si>
    <t>Teenage 15-19 (01.06.1998)/18</t>
  </si>
  <si>
    <t>53,30</t>
  </si>
  <si>
    <t xml:space="preserve">Artisan team </t>
  </si>
  <si>
    <t xml:space="preserve">Москва </t>
  </si>
  <si>
    <t>72,5</t>
  </si>
  <si>
    <t>80,0</t>
  </si>
  <si>
    <t>Мхитарян Игорь</t>
  </si>
  <si>
    <t>Teenage 15-19 (19.02.2002)/14</t>
  </si>
  <si>
    <t>57,70</t>
  </si>
  <si>
    <t xml:space="preserve">Атлетика </t>
  </si>
  <si>
    <t>65,0</t>
  </si>
  <si>
    <t>Карпов Даниил</t>
  </si>
  <si>
    <t>Teenage 15-19 (03.11.2002)/13</t>
  </si>
  <si>
    <t>58,30</t>
  </si>
  <si>
    <t>Проничкин Сергей</t>
  </si>
  <si>
    <t>Open (15.08.1989)/27</t>
  </si>
  <si>
    <t>59,80</t>
  </si>
  <si>
    <t>110,0</t>
  </si>
  <si>
    <t>115,0</t>
  </si>
  <si>
    <t>120,0</t>
  </si>
  <si>
    <t xml:space="preserve">Воробьев А </t>
  </si>
  <si>
    <t>Показаньев Юрий</t>
  </si>
  <si>
    <t>Open (28.11.1985)/30</t>
  </si>
  <si>
    <t>65,80</t>
  </si>
  <si>
    <t>85,0</t>
  </si>
  <si>
    <t>90,0</t>
  </si>
  <si>
    <t>100,0</t>
  </si>
  <si>
    <t>Бельский Сергей</t>
  </si>
  <si>
    <t>Open (07.02.1977)/39</t>
  </si>
  <si>
    <t>65,10</t>
  </si>
  <si>
    <t xml:space="preserve">самостоятельно </t>
  </si>
  <si>
    <t>Артамонов Станислав</t>
  </si>
  <si>
    <t>Teenage 15-19 (24.06.2001)/15</t>
  </si>
  <si>
    <t>69,50</t>
  </si>
  <si>
    <t>82,5</t>
  </si>
  <si>
    <t>Алискеров Вадим</t>
  </si>
  <si>
    <t>Juniors 20-23 (21.07.1996)/20</t>
  </si>
  <si>
    <t>72,50</t>
  </si>
  <si>
    <t>122,5</t>
  </si>
  <si>
    <t>127,5</t>
  </si>
  <si>
    <t>Ушков Павел</t>
  </si>
  <si>
    <t>Juniors 20-23 (06.09.1996)/20</t>
  </si>
  <si>
    <t>69,10</t>
  </si>
  <si>
    <t xml:space="preserve">Чаплыгин/Липецкая область </t>
  </si>
  <si>
    <t>107,5</t>
  </si>
  <si>
    <t>112,5</t>
  </si>
  <si>
    <t>117,5</t>
  </si>
  <si>
    <t xml:space="preserve">Самостоятельно </t>
  </si>
  <si>
    <t>Волков Алексей</t>
  </si>
  <si>
    <t>Open (03.05.1985)/31</t>
  </si>
  <si>
    <t>74,30</t>
  </si>
  <si>
    <t>145,0</t>
  </si>
  <si>
    <t>150,0</t>
  </si>
  <si>
    <t>Букаткин Максим</t>
  </si>
  <si>
    <t>Open (12.01.1992)/24</t>
  </si>
  <si>
    <t>71,20</t>
  </si>
  <si>
    <t xml:space="preserve">Верея </t>
  </si>
  <si>
    <t xml:space="preserve">Верея/Московская область </t>
  </si>
  <si>
    <t>137,5</t>
  </si>
  <si>
    <t>142,5</t>
  </si>
  <si>
    <t>Фейгин Александр</t>
  </si>
  <si>
    <t>Open (07.02.1983)/33</t>
  </si>
  <si>
    <t>72,30</t>
  </si>
  <si>
    <t xml:space="preserve">Гродно/Гродненская </t>
  </si>
  <si>
    <t>105,0</t>
  </si>
  <si>
    <t>Ляхов Александр</t>
  </si>
  <si>
    <t>Open (14.06.1978)/38</t>
  </si>
  <si>
    <t>72,90</t>
  </si>
  <si>
    <t>125,0</t>
  </si>
  <si>
    <t>ВЕСОВАЯ КАТЕГОРИЯ   82.5</t>
  </si>
  <si>
    <t>Митроченко Андрей</t>
  </si>
  <si>
    <t>Open (19.11.1976)/39</t>
  </si>
  <si>
    <t>80,70</t>
  </si>
  <si>
    <t xml:space="preserve">пгт Нахабино/Московская област </t>
  </si>
  <si>
    <t>135,0</t>
  </si>
  <si>
    <t>140,0</t>
  </si>
  <si>
    <t>Нечаев Дмитрий</t>
  </si>
  <si>
    <t>Open (18.03.1983)/33</t>
  </si>
  <si>
    <t>79,90</t>
  </si>
  <si>
    <t xml:space="preserve">Воскресенск/Московская область </t>
  </si>
  <si>
    <t>147,5</t>
  </si>
  <si>
    <t>Горлатенко Виталий</t>
  </si>
  <si>
    <t>Open (20.03.1991)/25</t>
  </si>
  <si>
    <t>80,50</t>
  </si>
  <si>
    <t>Валуевич Максим</t>
  </si>
  <si>
    <t>Open (23.09.1982)/34</t>
  </si>
  <si>
    <t>81,60</t>
  </si>
  <si>
    <t>Рак Сергей</t>
  </si>
  <si>
    <t>Open (01.06.1985)/31</t>
  </si>
  <si>
    <t>80,60</t>
  </si>
  <si>
    <t>132,5</t>
  </si>
  <si>
    <t>Прокофьев Константин</t>
  </si>
  <si>
    <t>Open (07.03.1983)/33</t>
  </si>
  <si>
    <t>80,90</t>
  </si>
  <si>
    <t xml:space="preserve">Чехов/Московская область </t>
  </si>
  <si>
    <t>130,0</t>
  </si>
  <si>
    <t>Сафаев Алексей</t>
  </si>
  <si>
    <t>Open (15.03.1987)/29</t>
  </si>
  <si>
    <t>79,40</t>
  </si>
  <si>
    <t>ВЕСОВАЯ КАТЕГОРИЯ   90</t>
  </si>
  <si>
    <t>Младенский Александр</t>
  </si>
  <si>
    <t>Teenage 15-19 (03.09.2002)/14</t>
  </si>
  <si>
    <t>87,50</t>
  </si>
  <si>
    <t>97,5</t>
  </si>
  <si>
    <t>102,5</t>
  </si>
  <si>
    <t>Флоря Игорь</t>
  </si>
  <si>
    <t>Teenage 15-19 (18.06.1997)/19</t>
  </si>
  <si>
    <t>85,90</t>
  </si>
  <si>
    <t>95,0</t>
  </si>
  <si>
    <t>Бондаренко Илья</t>
  </si>
  <si>
    <t>Open (07.04.1981)/35</t>
  </si>
  <si>
    <t>90,00</t>
  </si>
  <si>
    <t xml:space="preserve">Щелково/Московская </t>
  </si>
  <si>
    <t>160,0</t>
  </si>
  <si>
    <t>165,0</t>
  </si>
  <si>
    <t>170,0</t>
  </si>
  <si>
    <t>Новоселов Станислав</t>
  </si>
  <si>
    <t>Open (25.08.1987)/29</t>
  </si>
  <si>
    <t>89,30</t>
  </si>
  <si>
    <t>152,5</t>
  </si>
  <si>
    <t>157,5</t>
  </si>
  <si>
    <t>Мухин Алексей</t>
  </si>
  <si>
    <t>Open (10.07.1982)/34</t>
  </si>
  <si>
    <t>88,20</t>
  </si>
  <si>
    <t>Толмачев Александр</t>
  </si>
  <si>
    <t>Open (06.01.1984)/32</t>
  </si>
  <si>
    <t>89,40</t>
  </si>
  <si>
    <t>Борисов Андрей</t>
  </si>
  <si>
    <t>Open (15.09.1987)/29</t>
  </si>
  <si>
    <t>89,10</t>
  </si>
  <si>
    <t>Кондаков Алексей</t>
  </si>
  <si>
    <t>Masters 45-49 (22.07.1970)/46</t>
  </si>
  <si>
    <t>86,10</t>
  </si>
  <si>
    <t>ВЕСОВАЯ КАТЕГОРИЯ   100</t>
  </si>
  <si>
    <t>Моисеев Евгений</t>
  </si>
  <si>
    <t>Juniors 20-23 (11.01.1995)/21</t>
  </si>
  <si>
    <t>92,00</t>
  </si>
  <si>
    <t>Милованов Евгений</t>
  </si>
  <si>
    <t>Open (03.06.1993)/23</t>
  </si>
  <si>
    <t>95,90</t>
  </si>
  <si>
    <t xml:space="preserve">Новомосковск/Тульская область </t>
  </si>
  <si>
    <t>175,0</t>
  </si>
  <si>
    <t>185,0</t>
  </si>
  <si>
    <t>187,5</t>
  </si>
  <si>
    <t>Тростянский Максим</t>
  </si>
  <si>
    <t>Open (14.07.1988)/28</t>
  </si>
  <si>
    <t>98,90</t>
  </si>
  <si>
    <t xml:space="preserve">Серпухов </t>
  </si>
  <si>
    <t>155,0</t>
  </si>
  <si>
    <t>162,5</t>
  </si>
  <si>
    <t>167,5</t>
  </si>
  <si>
    <t>Филиппин Андрей</t>
  </si>
  <si>
    <t>Open (02.01.1982)/34</t>
  </si>
  <si>
    <t>97,70</t>
  </si>
  <si>
    <t xml:space="preserve">Кимовск/Тульская область </t>
  </si>
  <si>
    <t>177,5</t>
  </si>
  <si>
    <t>ВЕСОВАЯ КАТЕГОРИЯ   110</t>
  </si>
  <si>
    <t>Жемаркин Дмитрий</t>
  </si>
  <si>
    <t>Teenage 15-19 (29.01.1997)/19</t>
  </si>
  <si>
    <t>101,50</t>
  </si>
  <si>
    <t>Харчиков Андрей</t>
  </si>
  <si>
    <t>Juniors 20-23 (07.11.1995)/20</t>
  </si>
  <si>
    <t>100,80</t>
  </si>
  <si>
    <t>Гребнев Евгений</t>
  </si>
  <si>
    <t>Open (07.05.1980)/36</t>
  </si>
  <si>
    <t>104,70</t>
  </si>
  <si>
    <t>Коробейников Руслан</t>
  </si>
  <si>
    <t>Open (12.06.1984)/32</t>
  </si>
  <si>
    <t>107,70</t>
  </si>
  <si>
    <t>Буханцев Павел</t>
  </si>
  <si>
    <t>Masters 45-49 (02.08.1969)/47</t>
  </si>
  <si>
    <t>105,80</t>
  </si>
  <si>
    <t>172,5</t>
  </si>
  <si>
    <t>ВЕСОВАЯ КАТЕГОРИЯ   125</t>
  </si>
  <si>
    <t>Гусев Станислав</t>
  </si>
  <si>
    <t>Open (25.06.1988)/28</t>
  </si>
  <si>
    <t>116,20</t>
  </si>
  <si>
    <t xml:space="preserve">Мытищи/Московская область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</si>
  <si>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</si>
  <si>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</si>
  <si>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</si>
  <si>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</si>
  <si>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</si>
  <si>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</si>
  <si>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</si>
  <si>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</si>
  <si>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</si>
  <si>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 xml:space="preserve">Юноши </t>
  </si>
  <si>
    <t xml:space="preserve">Юноши 15-19 </t>
  </si>
  <si>
    <t>74,1287</t>
  </si>
  <si>
    <t>116,1375</t>
  </si>
  <si>
    <t>108,5280</t>
  </si>
  <si>
    <t>105,4215</t>
  </si>
  <si>
    <t xml:space="preserve">Мастера </t>
  </si>
  <si>
    <t xml:space="preserve">Мастера 45 - 49 </t>
  </si>
  <si>
    <t>Соколов Матвей</t>
  </si>
  <si>
    <t>Teenage 15-19 (30.11.2006)/9</t>
  </si>
  <si>
    <t>46,30</t>
  </si>
  <si>
    <t>25,0</t>
  </si>
  <si>
    <t>27,5</t>
  </si>
  <si>
    <t>Чекулов Василий</t>
  </si>
  <si>
    <t>Teenage 15-19 (17.06.2002)/14</t>
  </si>
  <si>
    <t>57,00</t>
  </si>
  <si>
    <t xml:space="preserve">Орленок </t>
  </si>
  <si>
    <t>Каразия Сергей</t>
  </si>
  <si>
    <t>Open (30.11.1987)/28</t>
  </si>
  <si>
    <t>Константинов Никита</t>
  </si>
  <si>
    <t>Teenage 15-19 (14.12.1996)/19</t>
  </si>
  <si>
    <t>70,10</t>
  </si>
  <si>
    <t>Белых Владимир</t>
  </si>
  <si>
    <t>Open (24.09.1986)/30</t>
  </si>
  <si>
    <t>68,10</t>
  </si>
  <si>
    <t xml:space="preserve">Кремёнки/Калужская область </t>
  </si>
  <si>
    <t>Аскеров Шамиль</t>
  </si>
  <si>
    <t>Open (01.04.1989)/27</t>
  </si>
  <si>
    <t>82,50</t>
  </si>
  <si>
    <t>Поливанов Игорь</t>
  </si>
  <si>
    <t>Masters 40-44 (06.12.1974)/41</t>
  </si>
  <si>
    <t>Сагитов Марат</t>
  </si>
  <si>
    <t>Masters 45-49 (05.03.1971)/45</t>
  </si>
  <si>
    <t>81,20</t>
  </si>
  <si>
    <t>Озорнов Роман</t>
  </si>
  <si>
    <t>Open (01.07.1982)/34</t>
  </si>
  <si>
    <t>84,60</t>
  </si>
  <si>
    <t>Воробьев Александр</t>
  </si>
  <si>
    <t>Masters 45-49 (18.02.1967)/49</t>
  </si>
  <si>
    <t>89,50</t>
  </si>
  <si>
    <t>Чернышов Игорь</t>
  </si>
  <si>
    <t>Masters 45-49 (14.07.1969)/47</t>
  </si>
  <si>
    <t>Лашин Владимир</t>
  </si>
  <si>
    <t>Masters 55-59 (28.03.1960)/56</t>
  </si>
  <si>
    <t>89,90</t>
  </si>
  <si>
    <t>Спиркин Евгений</t>
  </si>
  <si>
    <t>Open (14.11.1987)/28</t>
  </si>
  <si>
    <t>105,60</t>
  </si>
  <si>
    <t>212,5</t>
  </si>
  <si>
    <t>215,0</t>
  </si>
  <si>
    <t>Чехов Николай</t>
  </si>
  <si>
    <t>Open (26.03.1979)/37</t>
  </si>
  <si>
    <t>101,00</t>
  </si>
  <si>
    <t>Кочнев Денис</t>
  </si>
  <si>
    <t>Open (21.12.1980)/35</t>
  </si>
  <si>
    <t>107,90</t>
  </si>
  <si>
    <t xml:space="preserve">Иваново/Ивановская область </t>
  </si>
  <si>
    <t>Шнейдер Дмитрий</t>
  </si>
  <si>
    <t>Masters 45-49 (16.02.1971)/45</t>
  </si>
  <si>
    <t>101,20</t>
  </si>
  <si>
    <t>Пузырев Денис</t>
  </si>
  <si>
    <t>Open (31.03.1974)/42</t>
  </si>
  <si>
    <t>111,90</t>
  </si>
  <si>
    <t>182,5</t>
  </si>
  <si>
    <t>Соколов Валерий</t>
  </si>
  <si>
    <t>Open (17.10.1984)/31</t>
  </si>
  <si>
    <t>111,80</t>
  </si>
  <si>
    <t>Masters 40-44 (31.03.1974)/42</t>
  </si>
  <si>
    <t>64,8803</t>
  </si>
  <si>
    <t>63,6310</t>
  </si>
  <si>
    <t>30,6708</t>
  </si>
  <si>
    <t>128,2260</t>
  </si>
  <si>
    <t>124,2170</t>
  </si>
  <si>
    <t>106,8538</t>
  </si>
  <si>
    <t>106,0850</t>
  </si>
  <si>
    <t>100,4850</t>
  </si>
  <si>
    <t>95,7145</t>
  </si>
  <si>
    <t>84,9120</t>
  </si>
  <si>
    <t>84,2160</t>
  </si>
  <si>
    <t>114,1413</t>
  </si>
  <si>
    <t xml:space="preserve">Мастера 40 - 44 </t>
  </si>
  <si>
    <t>108,3497</t>
  </si>
  <si>
    <t>102,4346</t>
  </si>
  <si>
    <t>101,7406</t>
  </si>
  <si>
    <t>100,3778</t>
  </si>
  <si>
    <t>89,4512</t>
  </si>
  <si>
    <t>86,6757</t>
  </si>
  <si>
    <t>230,0</t>
  </si>
  <si>
    <t>Баранов Александр</t>
  </si>
  <si>
    <t>272,5</t>
  </si>
  <si>
    <t>Кирсанов Артем</t>
  </si>
  <si>
    <t>292,5</t>
  </si>
  <si>
    <t>Оводков Александр</t>
  </si>
  <si>
    <t>200,0</t>
  </si>
  <si>
    <t>111,40</t>
  </si>
  <si>
    <t>Open (15.01.1986)/30</t>
  </si>
  <si>
    <t>285,0</t>
  </si>
  <si>
    <t>270,0</t>
  </si>
  <si>
    <t>102,90</t>
  </si>
  <si>
    <t>Open (09.06.1985)/31</t>
  </si>
  <si>
    <t>260,0</t>
  </si>
  <si>
    <t>245,0</t>
  </si>
  <si>
    <t>92,80</t>
  </si>
  <si>
    <t>Open (07.03.1991)/25</t>
  </si>
  <si>
    <t>300,0</t>
  </si>
  <si>
    <t>83,20</t>
  </si>
  <si>
    <t>Open (30.09.1984)/31</t>
  </si>
  <si>
    <t>Цапаров Кирилл</t>
  </si>
  <si>
    <t>Шорина Карина</t>
  </si>
  <si>
    <t>Teenage 15-19 (06.06.1997)/19</t>
  </si>
  <si>
    <t>51,80</t>
  </si>
  <si>
    <t>Лакомкина Анастасия</t>
  </si>
  <si>
    <t>Open (20.03.1992)/24</t>
  </si>
  <si>
    <t>55,10</t>
  </si>
  <si>
    <t>Ахметова Елена</t>
  </si>
  <si>
    <t>Open (05.07.1991)/25</t>
  </si>
  <si>
    <t>66,10</t>
  </si>
  <si>
    <t>92,5</t>
  </si>
  <si>
    <t>Аветисян Ани</t>
  </si>
  <si>
    <t>Open (14.11.1990)/25</t>
  </si>
  <si>
    <t>71,50</t>
  </si>
  <si>
    <t>Хлебодарова Алина</t>
  </si>
  <si>
    <t>Open (18.08.1989)/27</t>
  </si>
  <si>
    <t>78,30</t>
  </si>
  <si>
    <t>Раков Сергей</t>
  </si>
  <si>
    <t>Teenage 15-19 (16.07.1998)/18</t>
  </si>
  <si>
    <t>66,40</t>
  </si>
  <si>
    <t>180,0</t>
  </si>
  <si>
    <t>Меркулов Андрей</t>
  </si>
  <si>
    <t>Open (02.03.1992)/24</t>
  </si>
  <si>
    <t>65,90</t>
  </si>
  <si>
    <t>190,0</t>
  </si>
  <si>
    <t>195,0</t>
  </si>
  <si>
    <t>Молостовкин Егор</t>
  </si>
  <si>
    <t>Teenage 15-19 (29.09.1998)/17</t>
  </si>
  <si>
    <t>71,30</t>
  </si>
  <si>
    <t>Фролов Андрей</t>
  </si>
  <si>
    <t>Teenage 15-19 (24.09.1998)/18</t>
  </si>
  <si>
    <t>70,80</t>
  </si>
  <si>
    <t>Коробов Максим</t>
  </si>
  <si>
    <t>Teenage 15-19 (31.03.2001)/15</t>
  </si>
  <si>
    <t>82,00</t>
  </si>
  <si>
    <t>Пожарицкий Михаил</t>
  </si>
  <si>
    <t>Teenage 15-19 (24.01.1998)/18</t>
  </si>
  <si>
    <t>77,40</t>
  </si>
  <si>
    <t>Феськов Ярослав</t>
  </si>
  <si>
    <t>Juniors 20-23 (20.10.1995)/20</t>
  </si>
  <si>
    <t>79,30</t>
  </si>
  <si>
    <t>Григин Даниил</t>
  </si>
  <si>
    <t>Open (11.12.1989)/26</t>
  </si>
  <si>
    <t>78,20</t>
  </si>
  <si>
    <t xml:space="preserve">Владимир/Владимирская область </t>
  </si>
  <si>
    <t>210,0</t>
  </si>
  <si>
    <t>Щемененко Вадим</t>
  </si>
  <si>
    <t>Open (21.01.1989)/27</t>
  </si>
  <si>
    <t>76,00</t>
  </si>
  <si>
    <t>79,60</t>
  </si>
  <si>
    <t>87,20</t>
  </si>
  <si>
    <t>Осипенко Алексей</t>
  </si>
  <si>
    <t>Open (09.05.1985)/31</t>
  </si>
  <si>
    <t>89,20</t>
  </si>
  <si>
    <t>220,0</t>
  </si>
  <si>
    <t>235,0</t>
  </si>
  <si>
    <t>Аляутдинов Александр</t>
  </si>
  <si>
    <t>Open (26.09.1984)/31</t>
  </si>
  <si>
    <t>84,50</t>
  </si>
  <si>
    <t>Гнатюк Сергей</t>
  </si>
  <si>
    <t>Masters 55-59 (10.12.1960)/55</t>
  </si>
  <si>
    <t>87,10</t>
  </si>
  <si>
    <t xml:space="preserve">Краснозаводск/Московская область </t>
  </si>
  <si>
    <t>Еремин Михаил</t>
  </si>
  <si>
    <t>Teenage 15-19 (31.05.1999)/17</t>
  </si>
  <si>
    <t>97,20</t>
  </si>
  <si>
    <t>240,0</t>
  </si>
  <si>
    <t>Елистратов Владимир</t>
  </si>
  <si>
    <t>Juniors 20-23 (08.09.1993)/23</t>
  </si>
  <si>
    <t>105,70</t>
  </si>
  <si>
    <t>252,5</t>
  </si>
  <si>
    <t>Макаренко Алексей</t>
  </si>
  <si>
    <t>Open (28.05.1989)/27</t>
  </si>
  <si>
    <t>107,30</t>
  </si>
  <si>
    <t>225,0</t>
  </si>
  <si>
    <t>131,0760</t>
  </si>
  <si>
    <t>141,6340</t>
  </si>
  <si>
    <t>140,6340</t>
  </si>
  <si>
    <t>129,3250</t>
  </si>
  <si>
    <t>153,3090</t>
  </si>
  <si>
    <t>150,7055</t>
  </si>
  <si>
    <t>145,4670</t>
  </si>
  <si>
    <t>Конограй Никита</t>
  </si>
  <si>
    <t>Juniors 20-23 (24.02.1996)/20</t>
  </si>
  <si>
    <t>84,90</t>
  </si>
  <si>
    <t>Золотых Дмитрий</t>
  </si>
  <si>
    <t>Open (31.07.1987)/29</t>
  </si>
  <si>
    <t>88,40</t>
  </si>
  <si>
    <t xml:space="preserve">Шенкурск/Архангельская область </t>
  </si>
  <si>
    <t>Ярмухаметов Дмитрий</t>
  </si>
  <si>
    <t>Open (15.06.1979)/37</t>
  </si>
  <si>
    <t>68,80</t>
  </si>
  <si>
    <t xml:space="preserve">Казань/Татарстан </t>
  </si>
  <si>
    <t>Козлов Александр</t>
  </si>
  <si>
    <t>Open (28.08.1994)/22</t>
  </si>
  <si>
    <t>86,50</t>
  </si>
  <si>
    <t xml:space="preserve">Дрезна/Московская область </t>
  </si>
  <si>
    <t>250,0</t>
  </si>
  <si>
    <t>Можаев Сергей</t>
  </si>
  <si>
    <t>Open (16.04.1988)/28</t>
  </si>
  <si>
    <t>Петрив Вадим</t>
  </si>
  <si>
    <t>Open (29.12.1981)/34</t>
  </si>
  <si>
    <t>110,00</t>
  </si>
  <si>
    <t xml:space="preserve">Дедовск/Московская область </t>
  </si>
  <si>
    <t>280,0</t>
  </si>
  <si>
    <t>265,0</t>
  </si>
  <si>
    <t>Стефанцов Виктор</t>
  </si>
  <si>
    <t>Open (09.11.1984)/31</t>
  </si>
  <si>
    <t>103,70</t>
  </si>
  <si>
    <t>Голубев Ярослав</t>
  </si>
  <si>
    <t>Open (02.02.1980)/36</t>
  </si>
  <si>
    <t>114,00</t>
  </si>
  <si>
    <t xml:space="preserve">Троицк/Московская область </t>
  </si>
  <si>
    <t>255,0</t>
  </si>
  <si>
    <t>205,0</t>
  </si>
  <si>
    <t>257,5</t>
  </si>
  <si>
    <t>715,0</t>
  </si>
  <si>
    <t>420,7775</t>
  </si>
  <si>
    <t>Именьев Андрей</t>
  </si>
  <si>
    <t>Open (02.07.1989)/27</t>
  </si>
  <si>
    <t>98,30</t>
  </si>
  <si>
    <t>202,5</t>
  </si>
  <si>
    <t>Глазьев Николай</t>
  </si>
  <si>
    <t>Open (29.10.1983)/32</t>
  </si>
  <si>
    <t>114,70</t>
  </si>
  <si>
    <t xml:space="preserve">Мирный/Архангельская область </t>
  </si>
  <si>
    <t>247,5</t>
  </si>
  <si>
    <t>ВЕСОВАЯ КАТЕГОРИЯ   90+</t>
  </si>
  <si>
    <t>Уколова Вероника</t>
  </si>
  <si>
    <t>Open (17.06.1997)/19</t>
  </si>
  <si>
    <t>119,20</t>
  </si>
  <si>
    <t>Кулаков Михаил</t>
  </si>
  <si>
    <t>Open (01.05.1986)/30</t>
  </si>
  <si>
    <t>108,10</t>
  </si>
  <si>
    <t>Дашданова Нигара</t>
  </si>
  <si>
    <t>Open (25.12.1989)/26</t>
  </si>
  <si>
    <t>60,70</t>
  </si>
  <si>
    <t>35,0</t>
  </si>
  <si>
    <t>Киселев Олег</t>
  </si>
  <si>
    <t>Teenage 15-19 (11.06.1999)/17</t>
  </si>
  <si>
    <t>56,50</t>
  </si>
  <si>
    <t>Заморуев Денис</t>
  </si>
  <si>
    <t>Teenage 15-19 (16.01.1998)/18</t>
  </si>
  <si>
    <t>60,10</t>
  </si>
  <si>
    <t>87,5</t>
  </si>
  <si>
    <t>Карпов Евгений</t>
  </si>
  <si>
    <t>Open (26.10.1979)/36</t>
  </si>
  <si>
    <t>66,70</t>
  </si>
  <si>
    <t>Юшин Алексей</t>
  </si>
  <si>
    <t>Open (09.10.1982)/33</t>
  </si>
  <si>
    <t>73,60</t>
  </si>
  <si>
    <t>Пигров Дмитрий</t>
  </si>
  <si>
    <t>Open (02.01.1989)/27</t>
  </si>
  <si>
    <t>Ходосевич Владислав</t>
  </si>
  <si>
    <t>Teenage 15-19 (28.08.1999)/17</t>
  </si>
  <si>
    <t>86,40</t>
  </si>
  <si>
    <t>Французов Михаил</t>
  </si>
  <si>
    <t>Teenage 15-19 (28.05.1999)/17</t>
  </si>
  <si>
    <t>94,60</t>
  </si>
  <si>
    <t>232,5</t>
  </si>
  <si>
    <t>226,5045</t>
  </si>
  <si>
    <t>390,0</t>
  </si>
  <si>
    <t>332,1240</t>
  </si>
  <si>
    <t>283,7505</t>
  </si>
  <si>
    <t>259,4687</t>
  </si>
  <si>
    <t>230,2970</t>
  </si>
  <si>
    <t>227,4680</t>
  </si>
  <si>
    <t>371,1345</t>
  </si>
  <si>
    <t>535,0</t>
  </si>
  <si>
    <t>386,3235</t>
  </si>
  <si>
    <t>338,6475</t>
  </si>
  <si>
    <t>308,4390</t>
  </si>
  <si>
    <t>Кострова Ольга</t>
  </si>
  <si>
    <t>Masters 40-44 (28.05.1974)/42</t>
  </si>
  <si>
    <t>65,20</t>
  </si>
  <si>
    <t>Козинец Алексей</t>
  </si>
  <si>
    <t>Open (10.09.1986)/30</t>
  </si>
  <si>
    <t>69,60</t>
  </si>
  <si>
    <t>Титаренко Виталий</t>
  </si>
  <si>
    <t>Open (19.10.1990)/25</t>
  </si>
  <si>
    <t>Щекунов Алексей</t>
  </si>
  <si>
    <t>Open (17.07.1984)/32</t>
  </si>
  <si>
    <t>86,60</t>
  </si>
  <si>
    <t>Никифоров Анатолий</t>
  </si>
  <si>
    <t>Open (13.07.1982)/34</t>
  </si>
  <si>
    <t>95,10</t>
  </si>
  <si>
    <t>275,0</t>
  </si>
  <si>
    <t>Пезиков Иван</t>
  </si>
  <si>
    <t>Juniors 20-23 (24.04.1994)/22</t>
  </si>
  <si>
    <t>106,40</t>
  </si>
  <si>
    <t>Open (24.04.1994)/22</t>
  </si>
  <si>
    <t>Платов Руслан</t>
  </si>
  <si>
    <t>Open (11.06.1979)/37</t>
  </si>
  <si>
    <t>107,80</t>
  </si>
  <si>
    <t>680,0</t>
  </si>
  <si>
    <t>404,4640</t>
  </si>
  <si>
    <t>657,5</t>
  </si>
  <si>
    <t>408,7677</t>
  </si>
  <si>
    <t>602,5</t>
  </si>
  <si>
    <t>392,5287</t>
  </si>
  <si>
    <t>Gloss</t>
  </si>
  <si>
    <t>Скорятин Андрей</t>
  </si>
  <si>
    <t>Juniors 20-23 (16.10.1992)/23</t>
  </si>
  <si>
    <t xml:space="preserve">Тула/Тульская область </t>
  </si>
  <si>
    <t>Teen 13-19 (28.08.1999)/17</t>
  </si>
  <si>
    <t>87,00</t>
  </si>
  <si>
    <t>Корнеев Александр</t>
  </si>
  <si>
    <t>Open (18.12.1989)/26</t>
  </si>
  <si>
    <t>88,70</t>
  </si>
  <si>
    <t>Masters 40-49 (22.07.1970)/46</t>
  </si>
  <si>
    <t>Юрасов Евгений</t>
  </si>
  <si>
    <t>Juniors 20-23 (11.08.1996)/20</t>
  </si>
  <si>
    <t xml:space="preserve">Дзержинский/Московская область </t>
  </si>
  <si>
    <t>Харыбин Денис</t>
  </si>
  <si>
    <t>Open (12.07.1980)/36</t>
  </si>
  <si>
    <t>94,90</t>
  </si>
  <si>
    <t xml:space="preserve">Gloss </t>
  </si>
  <si>
    <t>2400,0</t>
  </si>
  <si>
    <t>1664,0400</t>
  </si>
  <si>
    <t>2320,0</t>
  </si>
  <si>
    <t>1662,1639</t>
  </si>
  <si>
    <t>2470,0</t>
  </si>
  <si>
    <t>1470,1440</t>
  </si>
  <si>
    <t>Вес</t>
  </si>
  <si>
    <t>Повторы</t>
  </si>
  <si>
    <t>Мишин Николай</t>
  </si>
  <si>
    <t>Open (22.12.1982)/33</t>
  </si>
  <si>
    <t>74,50</t>
  </si>
  <si>
    <t>Masters 40-49 (14.07.1969)/47</t>
  </si>
  <si>
    <t>Исаев Максим</t>
  </si>
  <si>
    <t>Open (07.12.1983)/32</t>
  </si>
  <si>
    <t>91,70</t>
  </si>
  <si>
    <t>Open (16.02.1971)/45</t>
  </si>
  <si>
    <t>Masters 40-49 (16.02.1971)/45</t>
  </si>
  <si>
    <t>2795,0</t>
  </si>
  <si>
    <t>1591,8922</t>
  </si>
  <si>
    <t>2590,0</t>
  </si>
  <si>
    <t>1568,8926</t>
  </si>
  <si>
    <t>2040,0</t>
  </si>
  <si>
    <t>1294,2780</t>
  </si>
  <si>
    <t>Донецк</t>
  </si>
  <si>
    <t>Емельянов А.</t>
  </si>
  <si>
    <t>Можаев С.</t>
  </si>
  <si>
    <t>Гребнев Е.</t>
  </si>
  <si>
    <t>Иванов С.</t>
  </si>
  <si>
    <t>Юшин А.</t>
  </si>
  <si>
    <t>Тростянский М.</t>
  </si>
  <si>
    <t>Хмель С.</t>
  </si>
  <si>
    <t>1,1049</t>
  </si>
  <si>
    <t>0,9025</t>
  </si>
  <si>
    <t>0,8516</t>
  </si>
  <si>
    <t>0,7785</t>
  </si>
  <si>
    <t>0,7221</t>
  </si>
  <si>
    <t>0,7173</t>
  </si>
  <si>
    <t>0,6724</t>
  </si>
  <si>
    <t>0,6523</t>
  </si>
  <si>
    <t>0,6232</t>
  </si>
  <si>
    <t>0,5962</t>
  </si>
  <si>
    <t>Уколова В.</t>
  </si>
  <si>
    <t>Танаев М.</t>
  </si>
  <si>
    <t>Митин С.</t>
  </si>
  <si>
    <t>Весовая категория               Дата рождения/возраст</t>
  </si>
  <si>
    <t>Собств. вес</t>
  </si>
  <si>
    <t>Город/ область</t>
  </si>
  <si>
    <t>0,6588</t>
  </si>
  <si>
    <t>337,5</t>
  </si>
  <si>
    <t>222,345</t>
  </si>
  <si>
    <t>Павлов А.</t>
  </si>
  <si>
    <t>Именьев А.</t>
  </si>
  <si>
    <t>Архипов С.</t>
  </si>
  <si>
    <t>Корнеев А.</t>
  </si>
  <si>
    <t>Крючков И.</t>
  </si>
  <si>
    <t>Паусов А.</t>
  </si>
  <si>
    <t>Яковенко А.</t>
  </si>
  <si>
    <t>Денисов А.</t>
  </si>
  <si>
    <t xml:space="preserve">Уколова В. </t>
  </si>
  <si>
    <t>Товстоног М.</t>
  </si>
  <si>
    <t>Крылов В.</t>
  </si>
  <si>
    <t>Кондаков А.</t>
  </si>
  <si>
    <t>Петрив В.</t>
  </si>
  <si>
    <t>Павлов В.</t>
  </si>
  <si>
    <t>Осипенко А.</t>
  </si>
  <si>
    <t>Спиркин Е.</t>
  </si>
  <si>
    <t xml:space="preserve">Хмель С. </t>
  </si>
  <si>
    <t>1,1153</t>
  </si>
  <si>
    <t>0,8949</t>
  </si>
  <si>
    <t>0,8014</t>
  </si>
  <si>
    <t>0,7486</t>
  </si>
  <si>
    <t>0,7656</t>
  </si>
  <si>
    <t>0,6699</t>
  </si>
  <si>
    <t>0,6764</t>
  </si>
  <si>
    <t>0,6795</t>
  </si>
  <si>
    <t>0,6601</t>
  </si>
  <si>
    <t>0,6402</t>
  </si>
  <si>
    <t>0,6388</t>
  </si>
  <si>
    <t>0,6062</t>
  </si>
  <si>
    <t>0,5964</t>
  </si>
  <si>
    <t>0,6057</t>
  </si>
  <si>
    <t>0,5921</t>
  </si>
  <si>
    <t>0,5856</t>
  </si>
  <si>
    <t>0,5855</t>
  </si>
  <si>
    <t>Орленок</t>
  </si>
  <si>
    <t>Место</t>
  </si>
  <si>
    <t>Результат</t>
  </si>
  <si>
    <t>Аскеров С.</t>
  </si>
  <si>
    <t xml:space="preserve">Емельянов А. </t>
  </si>
  <si>
    <t xml:space="preserve">Воробьёв А. </t>
  </si>
  <si>
    <t>Ванюшин В.</t>
  </si>
  <si>
    <t xml:space="preserve">Лично </t>
  </si>
  <si>
    <t xml:space="preserve">110,0 </t>
  </si>
  <si>
    <t xml:space="preserve">67,5 </t>
  </si>
  <si>
    <t xml:space="preserve">125,0 </t>
  </si>
  <si>
    <t xml:space="preserve">90,0 </t>
  </si>
  <si>
    <t xml:space="preserve">82,5 </t>
  </si>
  <si>
    <t>1</t>
  </si>
  <si>
    <t>2</t>
  </si>
  <si>
    <t>3</t>
  </si>
  <si>
    <t>0</t>
  </si>
  <si>
    <t xml:space="preserve">56,0 </t>
  </si>
  <si>
    <t xml:space="preserve">100,0 </t>
  </si>
  <si>
    <t xml:space="preserve">75,0 </t>
  </si>
  <si>
    <t>4</t>
  </si>
  <si>
    <t>5</t>
  </si>
  <si>
    <t>6</t>
  </si>
  <si>
    <t>7</t>
  </si>
  <si>
    <t xml:space="preserve">Москва/Московская область </t>
  </si>
  <si>
    <t>Козырев О.</t>
  </si>
  <si>
    <t xml:space="preserve">Москва/Московская область  </t>
  </si>
  <si>
    <t>405,0</t>
  </si>
  <si>
    <t>565,0</t>
  </si>
  <si>
    <t>490,0</t>
  </si>
  <si>
    <t>622,5</t>
  </si>
  <si>
    <t>585,0</t>
  </si>
  <si>
    <t>605,0</t>
  </si>
  <si>
    <t>720,0</t>
  </si>
  <si>
    <t>287,5</t>
  </si>
  <si>
    <t>435,0</t>
  </si>
  <si>
    <t>430,0</t>
  </si>
  <si>
    <t>342,5</t>
  </si>
  <si>
    <t>365,0</t>
  </si>
  <si>
    <t>402,0</t>
  </si>
  <si>
    <t>460,0</t>
  </si>
  <si>
    <t>457,5</t>
  </si>
  <si>
    <t>530,0</t>
  </si>
  <si>
    <t>580,0</t>
  </si>
  <si>
    <t>Тоннаж</t>
  </si>
  <si>
    <t>28</t>
  </si>
  <si>
    <t>32</t>
  </si>
  <si>
    <t>21</t>
  </si>
  <si>
    <t>16</t>
  </si>
  <si>
    <t>25</t>
  </si>
  <si>
    <t>22</t>
  </si>
  <si>
    <t>15</t>
  </si>
  <si>
    <t>26</t>
  </si>
  <si>
    <t>12</t>
  </si>
  <si>
    <t>2030,0</t>
  </si>
  <si>
    <t>1732,5</t>
  </si>
  <si>
    <t>1400,0</t>
  </si>
  <si>
    <t>2250,0</t>
  </si>
  <si>
    <t>1980,0</t>
  </si>
  <si>
    <t>2187,5</t>
  </si>
  <si>
    <t>1462,5</t>
  </si>
  <si>
    <t>2205,0</t>
  </si>
  <si>
    <t>1410,0</t>
  </si>
  <si>
    <t>24</t>
  </si>
  <si>
    <t>14</t>
  </si>
  <si>
    <t>19</t>
  </si>
  <si>
    <t>10</t>
  </si>
  <si>
    <t>1200,0</t>
  </si>
  <si>
    <t>1435,0</t>
  </si>
  <si>
    <t>2137,5</t>
  </si>
  <si>
    <t>1125,0</t>
  </si>
  <si>
    <t>Командное первенство</t>
  </si>
  <si>
    <t>1. Команда "Атлетика"               г. Серпухов                             74 балла</t>
  </si>
  <si>
    <t>2. Команда "Artisan team"          г. Москва                                48 баллов</t>
  </si>
  <si>
    <t xml:space="preserve">3. Команда "Окские богатыри"   г. Серпухов                             36 баллов </t>
  </si>
  <si>
    <t>4. Команда "Орленок"                г. Серпухов                             22 балла</t>
  </si>
  <si>
    <t>5. Команда "Верея"                   г. Верея                                  15 баллов</t>
  </si>
  <si>
    <t>6. Команда "Сварга"                  г. Лобня                                  13 баллов</t>
  </si>
  <si>
    <t xml:space="preserve">  </t>
  </si>
  <si>
    <t>Открытый лично-командный Кубок Московской области "Окские богатыри III"                                                                                                            IPL Пауэрлифтинг в бинтах ДК
г. Серпухов, 23 - 25 сентября 2016 года</t>
  </si>
  <si>
    <t>Открытый лично-командный Кубок Московской области "Окские богатыри III"                                                                                                                                               IPL Пауэрлифтинг в бинтах 
г. Серпухов, 23 - 25 сентября 2016 года</t>
  </si>
  <si>
    <t xml:space="preserve">                   Открытый лично-командный Кубок Московской области "Окские богатыри III"                                                                                                                                  IPL Пауэрлифтинг без экипировки ДК
г. Серпухов, 23 - 25 сентября 2016 г.</t>
  </si>
  <si>
    <t xml:space="preserve">                   Открытый лично-командный Кубок Московской области "Окские богатыри III"                                                                                                                                      IPL Пауэрлифтинг без экипировки 
г. Серпухов, 23 - 25 сентября 2016 г.</t>
  </si>
  <si>
    <t>Открытый лично-командный Кубок Московской области "Окские богатыри III"                                                                                                                       IPL Жим лежа без экипировки
г. Серпухов, 23 - 25 сентября 2016 г.</t>
  </si>
  <si>
    <t>Открытый лично-командный Кубок Московской области "Окские богатыри III"                                                                 IPL Жим лежа без экипировки ДК
г. Серпухов, 23 - 25 сентября 2016 г.</t>
  </si>
  <si>
    <t>Открытый лично-командный Кубок Московской области "Окские богатыри III"                                                 IPL Жим лежа в однослойной экипировке ДК
г. Серпухов, 23 - 25 сентября 2016 г.</t>
  </si>
  <si>
    <t xml:space="preserve"> </t>
  </si>
  <si>
    <t>Открытый лично-командный Кубок Московской области "Окские богатыри III"                                                    IPL Жим лежа в однослойной экипировке 
г. Серпухов, 23 - 25 сентября 2016 г.</t>
  </si>
  <si>
    <t>Открытый лично-командный Кубок Московской области "Окские богатыри III"                                                 IPL Становая тяга без экипировки
г. Серпухов, 23 - 25 сентября 2016 г.</t>
  </si>
  <si>
    <t>Открытый лично-командный Кубок Московской области "Окские богатыри III"                                                             IPL Становая тяга без экипировки
 ДК
г. Серпухов, 23 - 25 сентября 2016 г.</t>
  </si>
  <si>
    <t>Открытый лично-командный Кубок Московской области "Окские богатыри III"                                                                                                   IPL Силовое двоеборье без экипировки ДК
г. Серпухов, 23 - 25 сентября 2016 г.</t>
  </si>
  <si>
    <t>Открытый лично-командный Кубок Московской области "Окские богатыри III"                                                           СПР Народный жим (1 вес) 
г. Серпухов, 23 - 25 сентября 2016 г.</t>
  </si>
  <si>
    <t>Открытый лично-командный Кубок Московской области "Окские богатыри III"                                                                 СПР Народный жим (1 вес) ДК
г. Серпухов, 23 - 25 сентября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</si>
</sst>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2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2"/>
    </xf>
    <xf numFmtId="49" fontId="0" fillId="0" borderId="35" xfId="0" applyNumberFormat="1" applyFill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49" fontId="0" fillId="0" borderId="37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48" fillId="0" borderId="17" xfId="0" applyNumberFormat="1" applyFont="1" applyFill="1" applyBorder="1" applyAlignment="1">
      <alignment horizontal="center"/>
    </xf>
    <xf numFmtId="49" fontId="48" fillId="0" borderId="18" xfId="0" applyNumberFormat="1" applyFont="1" applyFill="1" applyBorder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left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172" fontId="3" fillId="0" borderId="43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B1" sqref="B1:V2"/>
    </sheetView>
  </sheetViews>
  <sheetFormatPr defaultColWidth="9.125" defaultRowHeight="12.75"/>
  <cols>
    <col min="1" max="1" width="9.125" style="56" customWidth="1"/>
    <col min="2" max="2" width="19.875" style="35" customWidth="1"/>
    <col min="3" max="3" width="28.375" style="5" customWidth="1"/>
    <col min="4" max="4" width="10.625" style="5" bestFit="1" customWidth="1"/>
    <col min="5" max="5" width="8.375" style="5" bestFit="1" customWidth="1"/>
    <col min="6" max="6" width="14.875" style="5" customWidth="1"/>
    <col min="7" max="7" width="31.375" style="5" bestFit="1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22.75390625" style="5" bestFit="1" customWidth="1"/>
    <col min="23" max="16384" width="9.125" style="1" customWidth="1"/>
  </cols>
  <sheetData>
    <row r="1" spans="2:22" ht="15" customHeight="1">
      <c r="B1" s="107" t="s">
        <v>719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2:22" ht="105.7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1</v>
      </c>
      <c r="I3" s="99"/>
      <c r="J3" s="99"/>
      <c r="K3" s="99"/>
      <c r="L3" s="99" t="s">
        <v>2</v>
      </c>
      <c r="M3" s="99"/>
      <c r="N3" s="99"/>
      <c r="O3" s="99"/>
      <c r="P3" s="99" t="s">
        <v>3</v>
      </c>
      <c r="Q3" s="99"/>
      <c r="R3" s="99"/>
      <c r="S3" s="99"/>
      <c r="T3" s="99" t="s">
        <v>4</v>
      </c>
      <c r="U3" s="99" t="s">
        <v>6</v>
      </c>
      <c r="V3" s="101" t="s">
        <v>5</v>
      </c>
    </row>
    <row r="4" spans="1:22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0"/>
      <c r="U4" s="100"/>
      <c r="V4" s="102"/>
    </row>
    <row r="5" spans="2:21" ht="15.75">
      <c r="B5" s="103" t="s">
        <v>466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56" t="s">
        <v>653</v>
      </c>
      <c r="B6" s="68" t="s">
        <v>467</v>
      </c>
      <c r="C6" s="6" t="s">
        <v>468</v>
      </c>
      <c r="D6" s="6" t="s">
        <v>469</v>
      </c>
      <c r="E6" s="6" t="str">
        <f>"0,8006"</f>
        <v>0,8006</v>
      </c>
      <c r="F6" s="6" t="s">
        <v>47</v>
      </c>
      <c r="G6" s="6" t="s">
        <v>666</v>
      </c>
      <c r="H6" s="85" t="s">
        <v>200</v>
      </c>
      <c r="I6" s="85" t="s">
        <v>187</v>
      </c>
      <c r="J6" s="92" t="s">
        <v>363</v>
      </c>
      <c r="K6" s="76"/>
      <c r="L6" s="85" t="s">
        <v>28</v>
      </c>
      <c r="M6" s="92" t="s">
        <v>50</v>
      </c>
      <c r="N6" s="92" t="s">
        <v>50</v>
      </c>
      <c r="O6" s="76"/>
      <c r="P6" s="85" t="s">
        <v>96</v>
      </c>
      <c r="Q6" s="92" t="s">
        <v>164</v>
      </c>
      <c r="R6" s="92" t="s">
        <v>164</v>
      </c>
      <c r="S6" s="76"/>
      <c r="T6" s="75" t="s">
        <v>667</v>
      </c>
      <c r="U6" s="75" t="str">
        <f>"324,2430"</f>
        <v>324,2430</v>
      </c>
      <c r="V6" s="6" t="s">
        <v>92</v>
      </c>
    </row>
    <row r="8" spans="2:21" ht="15.75">
      <c r="B8" s="105" t="s">
        <v>114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2" ht="12.75">
      <c r="A9" s="56" t="s">
        <v>653</v>
      </c>
      <c r="B9" s="68" t="s">
        <v>380</v>
      </c>
      <c r="C9" s="6" t="s">
        <v>381</v>
      </c>
      <c r="D9" s="6" t="s">
        <v>382</v>
      </c>
      <c r="E9" s="6" t="str">
        <f>"0,6927"</f>
        <v>0,6927</v>
      </c>
      <c r="F9" s="6" t="s">
        <v>647</v>
      </c>
      <c r="G9" s="6" t="s">
        <v>383</v>
      </c>
      <c r="H9" s="85" t="s">
        <v>325</v>
      </c>
      <c r="I9" s="85" t="s">
        <v>393</v>
      </c>
      <c r="J9" s="92" t="s">
        <v>319</v>
      </c>
      <c r="K9" s="76"/>
      <c r="L9" s="85" t="s">
        <v>64</v>
      </c>
      <c r="M9" s="85" t="s">
        <v>140</v>
      </c>
      <c r="N9" s="85" t="s">
        <v>119</v>
      </c>
      <c r="O9" s="76"/>
      <c r="P9" s="85" t="s">
        <v>359</v>
      </c>
      <c r="Q9" s="85" t="s">
        <v>325</v>
      </c>
      <c r="R9" s="85" t="s">
        <v>384</v>
      </c>
      <c r="S9" s="76"/>
      <c r="T9" s="75" t="s">
        <v>668</v>
      </c>
      <c r="U9" s="75" t="str">
        <f>"391,3755"</f>
        <v>391,3755</v>
      </c>
      <c r="V9" s="6" t="s">
        <v>599</v>
      </c>
    </row>
    <row r="11" spans="2:21" ht="15.75">
      <c r="B11" s="105" t="s">
        <v>201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2" ht="12.75">
      <c r="A12" s="56" t="s">
        <v>653</v>
      </c>
      <c r="B12" s="68" t="s">
        <v>470</v>
      </c>
      <c r="C12" s="6" t="s">
        <v>471</v>
      </c>
      <c r="D12" s="6" t="s">
        <v>472</v>
      </c>
      <c r="E12" s="6" t="str">
        <f>"0,5917"</f>
        <v>0,5917</v>
      </c>
      <c r="F12" s="6" t="s">
        <v>47</v>
      </c>
      <c r="G12" s="6" t="s">
        <v>666</v>
      </c>
      <c r="H12" s="85" t="s">
        <v>71</v>
      </c>
      <c r="I12" s="85" t="s">
        <v>109</v>
      </c>
      <c r="J12" s="85" t="s">
        <v>62</v>
      </c>
      <c r="K12" s="76"/>
      <c r="L12" s="85" t="s">
        <v>27</v>
      </c>
      <c r="M12" s="92" t="s">
        <v>28</v>
      </c>
      <c r="N12" s="92" t="s">
        <v>28</v>
      </c>
      <c r="O12" s="76"/>
      <c r="P12" s="85" t="s">
        <v>109</v>
      </c>
      <c r="Q12" s="85" t="s">
        <v>90</v>
      </c>
      <c r="R12" s="85" t="s">
        <v>64</v>
      </c>
      <c r="S12" s="76"/>
      <c r="T12" s="75" t="s">
        <v>336</v>
      </c>
      <c r="U12" s="75" t="str">
        <f>"177,5100"</f>
        <v>177,5100</v>
      </c>
      <c r="V12" s="6" t="s">
        <v>597</v>
      </c>
    </row>
    <row r="20" ht="12.75">
      <c r="G20" s="5" t="s">
        <v>718</v>
      </c>
    </row>
  </sheetData>
  <sheetProtection/>
  <mergeCells count="17"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T3:T4"/>
    <mergeCell ref="U3:U4"/>
    <mergeCell ref="V3:V4"/>
    <mergeCell ref="B5:U5"/>
    <mergeCell ref="B8:U8"/>
    <mergeCell ref="P3:S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B20" sqref="B20:K20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6.875" style="5" bestFit="1" customWidth="1"/>
    <col min="4" max="4" width="10.625" style="5" bestFit="1" customWidth="1"/>
    <col min="5" max="5" width="9.25390625" style="5" customWidth="1"/>
    <col min="6" max="6" width="22.75390625" style="5" bestFit="1" customWidth="1"/>
    <col min="7" max="7" width="28.625" style="5" bestFit="1" customWidth="1"/>
    <col min="8" max="8" width="5.625" style="56" bestFit="1" customWidth="1"/>
    <col min="9" max="9" width="9.625" style="56" bestFit="1" customWidth="1"/>
    <col min="10" max="10" width="8.875" style="56" customWidth="1"/>
    <col min="11" max="11" width="9.625" style="56" bestFit="1" customWidth="1"/>
    <col min="12" max="12" width="19.125" style="5" bestFit="1" customWidth="1"/>
    <col min="13" max="16384" width="9.125" style="1" customWidth="1"/>
  </cols>
  <sheetData>
    <row r="1" spans="2:12" ht="15" customHeight="1">
      <c r="B1" s="107" t="s">
        <v>731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2:12" ht="79.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539</v>
      </c>
      <c r="F3" s="99" t="s">
        <v>7</v>
      </c>
      <c r="G3" s="118" t="s">
        <v>602</v>
      </c>
      <c r="H3" s="99" t="s">
        <v>2</v>
      </c>
      <c r="I3" s="99"/>
      <c r="J3" s="99" t="s">
        <v>684</v>
      </c>
      <c r="K3" s="99" t="s">
        <v>6</v>
      </c>
      <c r="L3" s="101" t="s">
        <v>5</v>
      </c>
    </row>
    <row r="4" spans="1:12" s="2" customFormat="1" ht="21" customHeight="1" thickBot="1">
      <c r="A4" s="98"/>
      <c r="B4" s="114"/>
      <c r="C4" s="100"/>
      <c r="D4" s="117"/>
      <c r="E4" s="100"/>
      <c r="F4" s="100"/>
      <c r="G4" s="119"/>
      <c r="H4" s="3" t="s">
        <v>562</v>
      </c>
      <c r="I4" s="3" t="s">
        <v>563</v>
      </c>
      <c r="J4" s="100"/>
      <c r="K4" s="100"/>
      <c r="L4" s="102"/>
    </row>
    <row r="5" spans="2:11" ht="15.75">
      <c r="B5" s="103" t="s">
        <v>36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2.75">
      <c r="A6" s="56" t="s">
        <v>653</v>
      </c>
      <c r="B6" s="68" t="s">
        <v>564</v>
      </c>
      <c r="C6" s="6" t="s">
        <v>565</v>
      </c>
      <c r="D6" s="6" t="s">
        <v>566</v>
      </c>
      <c r="E6" s="6" t="str">
        <f>"0,6920"</f>
        <v>0,6920</v>
      </c>
      <c r="F6" s="6" t="s">
        <v>647</v>
      </c>
      <c r="G6" s="6" t="s">
        <v>664</v>
      </c>
      <c r="H6" s="75" t="s">
        <v>28</v>
      </c>
      <c r="I6" s="75" t="s">
        <v>688</v>
      </c>
      <c r="J6" s="75" t="s">
        <v>707</v>
      </c>
      <c r="K6" s="75" t="str">
        <f>"830,3400"</f>
        <v>830,3400</v>
      </c>
      <c r="L6" s="6" t="s">
        <v>92</v>
      </c>
    </row>
    <row r="8" spans="2:11" ht="15.75">
      <c r="B8" s="105" t="s">
        <v>144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1:12" ht="12.75">
      <c r="A9" s="56" t="s">
        <v>653</v>
      </c>
      <c r="B9" s="69" t="s">
        <v>266</v>
      </c>
      <c r="C9" s="7" t="s">
        <v>267</v>
      </c>
      <c r="D9" s="7" t="s">
        <v>268</v>
      </c>
      <c r="E9" s="7" t="str">
        <f>"0,6345"</f>
        <v>0,6345</v>
      </c>
      <c r="F9" s="7" t="s">
        <v>192</v>
      </c>
      <c r="G9" s="7" t="s">
        <v>14</v>
      </c>
      <c r="H9" s="77" t="s">
        <v>69</v>
      </c>
      <c r="I9" s="77" t="s">
        <v>703</v>
      </c>
      <c r="J9" s="77" t="s">
        <v>577</v>
      </c>
      <c r="K9" s="77" t="str">
        <f>"1294,2780"</f>
        <v>1294,2780</v>
      </c>
      <c r="L9" s="7" t="s">
        <v>580</v>
      </c>
    </row>
    <row r="10" spans="1:12" ht="12.75">
      <c r="A10" s="56" t="s">
        <v>653</v>
      </c>
      <c r="B10" s="70" t="s">
        <v>272</v>
      </c>
      <c r="C10" s="8" t="s">
        <v>567</v>
      </c>
      <c r="D10" s="8" t="s">
        <v>271</v>
      </c>
      <c r="E10" s="28" t="str">
        <f>"0,6137"</f>
        <v>0,6137</v>
      </c>
      <c r="F10" s="8" t="s">
        <v>192</v>
      </c>
      <c r="G10" s="96" t="s">
        <v>14</v>
      </c>
      <c r="H10" s="79" t="s">
        <v>70</v>
      </c>
      <c r="I10" s="79" t="s">
        <v>689</v>
      </c>
      <c r="J10" s="79" t="s">
        <v>697</v>
      </c>
      <c r="K10" s="79" t="str">
        <f>"1494,1743"</f>
        <v>1494,1743</v>
      </c>
      <c r="L10" s="8" t="s">
        <v>580</v>
      </c>
    </row>
    <row r="12" spans="2:11" ht="15.75">
      <c r="B12" s="105" t="s">
        <v>178</v>
      </c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2" ht="12.75">
      <c r="A13" s="56" t="s">
        <v>653</v>
      </c>
      <c r="B13" s="68" t="s">
        <v>568</v>
      </c>
      <c r="C13" s="6" t="s">
        <v>569</v>
      </c>
      <c r="D13" s="6" t="s">
        <v>570</v>
      </c>
      <c r="E13" s="6" t="str">
        <f>"0,6058"</f>
        <v>0,6058</v>
      </c>
      <c r="F13" s="6" t="s">
        <v>192</v>
      </c>
      <c r="G13" s="6" t="s">
        <v>14</v>
      </c>
      <c r="H13" s="75" t="s">
        <v>349</v>
      </c>
      <c r="I13" s="75" t="s">
        <v>685</v>
      </c>
      <c r="J13" s="75" t="s">
        <v>575</v>
      </c>
      <c r="K13" s="75" t="str">
        <f>"1568,8926"</f>
        <v>1568,8926</v>
      </c>
      <c r="L13" s="6" t="s">
        <v>580</v>
      </c>
    </row>
    <row r="15" spans="2:11" ht="15.75">
      <c r="B15" s="105" t="s">
        <v>718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2" ht="12.75">
      <c r="A16" s="56" t="s">
        <v>653</v>
      </c>
      <c r="B16" s="69" t="s">
        <v>277</v>
      </c>
      <c r="C16" s="7" t="s">
        <v>278</v>
      </c>
      <c r="D16" s="7" t="s">
        <v>279</v>
      </c>
      <c r="E16" s="7" t="str">
        <f>"0,5695"</f>
        <v>0,5695</v>
      </c>
      <c r="F16" s="7" t="s">
        <v>647</v>
      </c>
      <c r="G16" s="7" t="s">
        <v>664</v>
      </c>
      <c r="H16" s="77" t="s">
        <v>89</v>
      </c>
      <c r="I16" s="77" t="s">
        <v>692</v>
      </c>
      <c r="J16" s="77" t="s">
        <v>573</v>
      </c>
      <c r="K16" s="77" t="str">
        <f>"1591,8922"</f>
        <v>1591,8922</v>
      </c>
      <c r="L16" s="7" t="s">
        <v>92</v>
      </c>
    </row>
    <row r="17" spans="1:12" ht="12.75">
      <c r="A17" s="56" t="s">
        <v>654</v>
      </c>
      <c r="B17" s="71" t="s">
        <v>289</v>
      </c>
      <c r="C17" s="9" t="s">
        <v>571</v>
      </c>
      <c r="D17" s="9" t="s">
        <v>291</v>
      </c>
      <c r="E17" s="9" t="str">
        <f>"0,5785"</f>
        <v>0,5785</v>
      </c>
      <c r="F17" s="9" t="s">
        <v>47</v>
      </c>
      <c r="G17" s="9" t="s">
        <v>664</v>
      </c>
      <c r="H17" s="83" t="s">
        <v>149</v>
      </c>
      <c r="I17" s="83" t="s">
        <v>704</v>
      </c>
      <c r="J17" s="83" t="s">
        <v>708</v>
      </c>
      <c r="K17" s="83" t="str">
        <f>"830,1475"</f>
        <v>830,1475</v>
      </c>
      <c r="L17" s="9" t="s">
        <v>92</v>
      </c>
    </row>
    <row r="18" spans="2:12" ht="12.75">
      <c r="B18" s="70" t="s">
        <v>289</v>
      </c>
      <c r="C18" s="8" t="s">
        <v>572</v>
      </c>
      <c r="D18" s="8" t="s">
        <v>291</v>
      </c>
      <c r="E18" s="28" t="str">
        <f>"0,5785"</f>
        <v>0,5785</v>
      </c>
      <c r="F18" s="8" t="s">
        <v>47</v>
      </c>
      <c r="G18" s="96" t="s">
        <v>664</v>
      </c>
      <c r="H18" s="79" t="s">
        <v>149</v>
      </c>
      <c r="I18" s="79" t="s">
        <v>704</v>
      </c>
      <c r="J18" s="79" t="s">
        <v>708</v>
      </c>
      <c r="K18" s="79" t="str">
        <f>"875,8056"</f>
        <v>875,8056</v>
      </c>
      <c r="L18" s="8" t="s">
        <v>92</v>
      </c>
    </row>
    <row r="20" spans="2:11" ht="15.75">
      <c r="B20" s="105" t="s">
        <v>218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2" ht="12.75">
      <c r="A21" s="56" t="s">
        <v>653</v>
      </c>
      <c r="B21" s="69" t="s">
        <v>320</v>
      </c>
      <c r="C21" s="7" t="s">
        <v>327</v>
      </c>
      <c r="D21" s="7" t="s">
        <v>326</v>
      </c>
      <c r="E21" s="7" t="str">
        <f>"0,5606"</f>
        <v>0,5606</v>
      </c>
      <c r="F21" s="7" t="s">
        <v>647</v>
      </c>
      <c r="G21" s="7" t="s">
        <v>664</v>
      </c>
      <c r="H21" s="77" t="s">
        <v>90</v>
      </c>
      <c r="I21" s="77" t="s">
        <v>705</v>
      </c>
      <c r="J21" s="77" t="s">
        <v>709</v>
      </c>
      <c r="K21" s="95" t="str">
        <f>"1198,2825"</f>
        <v>1198,2825</v>
      </c>
      <c r="L21" s="7" t="s">
        <v>92</v>
      </c>
    </row>
    <row r="22" spans="1:12" ht="12.75">
      <c r="A22" s="56" t="s">
        <v>654</v>
      </c>
      <c r="B22" s="70" t="s">
        <v>296</v>
      </c>
      <c r="C22" s="8" t="s">
        <v>297</v>
      </c>
      <c r="D22" s="8" t="s">
        <v>298</v>
      </c>
      <c r="E22" s="8" t="str">
        <f>"0,5601"</f>
        <v>0,5601</v>
      </c>
      <c r="F22" s="8" t="s">
        <v>192</v>
      </c>
      <c r="G22" s="8" t="s">
        <v>14</v>
      </c>
      <c r="H22" s="79" t="s">
        <v>90</v>
      </c>
      <c r="I22" s="79" t="s">
        <v>706</v>
      </c>
      <c r="J22" s="79" t="s">
        <v>710</v>
      </c>
      <c r="K22" s="79" t="str">
        <f>"630,0563"</f>
        <v>630,0563</v>
      </c>
      <c r="L22" s="8" t="s">
        <v>92</v>
      </c>
    </row>
    <row r="23" ht="15.75">
      <c r="F23" s="10"/>
    </row>
    <row r="25" spans="2:3" ht="18">
      <c r="B25" s="36" t="s">
        <v>223</v>
      </c>
      <c r="C25" s="36"/>
    </row>
    <row r="26" spans="2:3" ht="15.75">
      <c r="B26" s="37" t="s">
        <v>231</v>
      </c>
      <c r="C26" s="37"/>
    </row>
    <row r="27" spans="2:3" ht="13.5">
      <c r="B27" s="72"/>
      <c r="C27" s="44" t="s">
        <v>225</v>
      </c>
    </row>
    <row r="28" spans="2:6" ht="13.5">
      <c r="B28" s="11" t="s">
        <v>226</v>
      </c>
      <c r="C28" s="45" t="s">
        <v>227</v>
      </c>
      <c r="D28" s="45" t="s">
        <v>228</v>
      </c>
      <c r="E28" s="45" t="s">
        <v>229</v>
      </c>
      <c r="F28" s="11" t="s">
        <v>555</v>
      </c>
    </row>
    <row r="29" spans="2:6" ht="12.75">
      <c r="B29" s="73" t="s">
        <v>277</v>
      </c>
      <c r="C29" s="1" t="s">
        <v>225</v>
      </c>
      <c r="D29" s="56" t="s">
        <v>648</v>
      </c>
      <c r="E29" s="56" t="s">
        <v>573</v>
      </c>
      <c r="F29" s="56" t="s">
        <v>574</v>
      </c>
    </row>
    <row r="30" spans="2:6" ht="12.75">
      <c r="B30" s="73" t="s">
        <v>568</v>
      </c>
      <c r="C30" s="1" t="s">
        <v>225</v>
      </c>
      <c r="D30" s="56" t="s">
        <v>658</v>
      </c>
      <c r="E30" s="56" t="s">
        <v>575</v>
      </c>
      <c r="F30" s="56" t="s">
        <v>576</v>
      </c>
    </row>
    <row r="31" spans="2:6" ht="12.75">
      <c r="B31" s="73" t="s">
        <v>266</v>
      </c>
      <c r="C31" s="1" t="s">
        <v>225</v>
      </c>
      <c r="D31" s="56" t="s">
        <v>651</v>
      </c>
      <c r="E31" s="56" t="s">
        <v>577</v>
      </c>
      <c r="F31" s="56" t="s">
        <v>578</v>
      </c>
    </row>
  </sheetData>
  <sheetProtection/>
  <mergeCells count="17">
    <mergeCell ref="B20:K20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L3:L4"/>
    <mergeCell ref="B5:K5"/>
    <mergeCell ref="B8:K8"/>
    <mergeCell ref="B12:K12"/>
    <mergeCell ref="B15:K15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G17" sqref="G17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6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75390625" style="5" bestFit="1" customWidth="1"/>
    <col min="8" max="8" width="7.25390625" style="56" customWidth="1"/>
    <col min="9" max="9" width="10.375" style="56" customWidth="1"/>
    <col min="10" max="10" width="13.625" style="56" customWidth="1"/>
    <col min="11" max="11" width="12.375" style="56" customWidth="1"/>
    <col min="12" max="12" width="19.75390625" style="5" bestFit="1" customWidth="1"/>
    <col min="13" max="16384" width="9.125" style="1" customWidth="1"/>
  </cols>
  <sheetData>
    <row r="1" spans="2:12" ht="15" customHeight="1">
      <c r="B1" s="107" t="s">
        <v>732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2:12" ht="78.7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539</v>
      </c>
      <c r="F3" s="99" t="s">
        <v>7</v>
      </c>
      <c r="G3" s="118" t="s">
        <v>602</v>
      </c>
      <c r="H3" s="99" t="s">
        <v>2</v>
      </c>
      <c r="I3" s="99"/>
      <c r="J3" s="99" t="s">
        <v>684</v>
      </c>
      <c r="K3" s="99" t="s">
        <v>6</v>
      </c>
      <c r="L3" s="101" t="s">
        <v>5</v>
      </c>
    </row>
    <row r="4" spans="1:12" s="2" customFormat="1" ht="21" customHeight="1" thickBot="1">
      <c r="A4" s="98"/>
      <c r="B4" s="114"/>
      <c r="C4" s="100"/>
      <c r="D4" s="117"/>
      <c r="E4" s="100"/>
      <c r="F4" s="100"/>
      <c r="G4" s="119"/>
      <c r="H4" s="3" t="s">
        <v>562</v>
      </c>
      <c r="I4" s="3" t="s">
        <v>563</v>
      </c>
      <c r="J4" s="100"/>
      <c r="K4" s="100"/>
      <c r="L4" s="102"/>
    </row>
    <row r="5" spans="2:11" ht="15.75">
      <c r="B5" s="103" t="s">
        <v>36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2.75">
      <c r="A6" s="56" t="s">
        <v>653</v>
      </c>
      <c r="B6" s="69" t="s">
        <v>80</v>
      </c>
      <c r="C6" s="7" t="s">
        <v>81</v>
      </c>
      <c r="D6" s="7" t="s">
        <v>82</v>
      </c>
      <c r="E6" s="7" t="str">
        <f>"0,7064"</f>
        <v>0,7064</v>
      </c>
      <c r="F6" s="7" t="s">
        <v>54</v>
      </c>
      <c r="G6" s="7" t="s">
        <v>14</v>
      </c>
      <c r="H6" s="77" t="s">
        <v>49</v>
      </c>
      <c r="I6" s="77" t="s">
        <v>685</v>
      </c>
      <c r="J6" s="77" t="s">
        <v>694</v>
      </c>
      <c r="K6" s="77" t="str">
        <f>"1433,9920"</f>
        <v>1433,9920</v>
      </c>
      <c r="L6" s="7" t="s">
        <v>582</v>
      </c>
    </row>
    <row r="7" spans="1:12" ht="12.75">
      <c r="A7" s="56" t="s">
        <v>653</v>
      </c>
      <c r="B7" s="71" t="s">
        <v>98</v>
      </c>
      <c r="C7" s="9" t="s">
        <v>99</v>
      </c>
      <c r="D7" s="9" t="s">
        <v>100</v>
      </c>
      <c r="E7" s="9" t="str">
        <f>"0,7164"</f>
        <v>0,7164</v>
      </c>
      <c r="F7" s="9" t="s">
        <v>101</v>
      </c>
      <c r="G7" s="9" t="s">
        <v>102</v>
      </c>
      <c r="H7" s="83" t="s">
        <v>49</v>
      </c>
      <c r="I7" s="83" t="s">
        <v>686</v>
      </c>
      <c r="J7" s="83" t="s">
        <v>558</v>
      </c>
      <c r="K7" s="83" t="str">
        <f>"1662,1639"</f>
        <v>1662,1639</v>
      </c>
      <c r="L7" s="9" t="s">
        <v>584</v>
      </c>
    </row>
    <row r="8" spans="1:12" ht="12.75">
      <c r="A8" s="56" t="s">
        <v>654</v>
      </c>
      <c r="B8" s="70" t="s">
        <v>93</v>
      </c>
      <c r="C8" s="8" t="s">
        <v>94</v>
      </c>
      <c r="D8" s="8" t="s">
        <v>95</v>
      </c>
      <c r="E8" s="8" t="str">
        <f>"0,6934"</f>
        <v>0,6934</v>
      </c>
      <c r="F8" s="8" t="s">
        <v>647</v>
      </c>
      <c r="G8" s="8" t="s">
        <v>14</v>
      </c>
      <c r="H8" s="79" t="s">
        <v>28</v>
      </c>
      <c r="I8" s="79" t="s">
        <v>686</v>
      </c>
      <c r="J8" s="79" t="s">
        <v>556</v>
      </c>
      <c r="K8" s="79" t="str">
        <f>"1664,0400"</f>
        <v>1664,0400</v>
      </c>
      <c r="L8" s="8" t="s">
        <v>585</v>
      </c>
    </row>
    <row r="10" spans="2:11" ht="15.75">
      <c r="B10" s="105" t="s">
        <v>114</v>
      </c>
      <c r="C10" s="106"/>
      <c r="D10" s="106"/>
      <c r="E10" s="106"/>
      <c r="F10" s="106"/>
      <c r="G10" s="106"/>
      <c r="H10" s="106"/>
      <c r="I10" s="106"/>
      <c r="J10" s="106"/>
      <c r="K10" s="106"/>
    </row>
    <row r="11" spans="2:12" ht="12.75">
      <c r="B11" s="69" t="s">
        <v>540</v>
      </c>
      <c r="C11" s="7" t="s">
        <v>541</v>
      </c>
      <c r="D11" s="7" t="s">
        <v>134</v>
      </c>
      <c r="E11" s="7" t="str">
        <f>"0,6545"</f>
        <v>0,6545</v>
      </c>
      <c r="F11" s="7" t="s">
        <v>647</v>
      </c>
      <c r="G11" s="7" t="s">
        <v>542</v>
      </c>
      <c r="H11" s="77" t="s">
        <v>79</v>
      </c>
      <c r="I11" s="78"/>
      <c r="J11" s="77" t="s">
        <v>656</v>
      </c>
      <c r="K11" s="77" t="s">
        <v>656</v>
      </c>
      <c r="L11" s="7" t="s">
        <v>92</v>
      </c>
    </row>
    <row r="12" spans="1:12" ht="12.75">
      <c r="A12" s="56" t="s">
        <v>653</v>
      </c>
      <c r="B12" s="70" t="s">
        <v>132</v>
      </c>
      <c r="C12" s="8" t="s">
        <v>133</v>
      </c>
      <c r="D12" s="8" t="s">
        <v>134</v>
      </c>
      <c r="E12" s="8" t="str">
        <f>"0,6545"</f>
        <v>0,6545</v>
      </c>
      <c r="F12" s="8" t="s">
        <v>54</v>
      </c>
      <c r="G12" s="8" t="s">
        <v>14</v>
      </c>
      <c r="H12" s="79" t="s">
        <v>79</v>
      </c>
      <c r="I12" s="79" t="s">
        <v>687</v>
      </c>
      <c r="J12" s="79" t="s">
        <v>695</v>
      </c>
      <c r="K12" s="79" t="str">
        <f>"1133,9213"</f>
        <v>1133,9213</v>
      </c>
      <c r="L12" s="8" t="s">
        <v>582</v>
      </c>
    </row>
    <row r="14" spans="2:11" ht="15.75">
      <c r="B14" s="105" t="s">
        <v>144</v>
      </c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2" ht="12.75">
      <c r="A15" s="56" t="s">
        <v>653</v>
      </c>
      <c r="B15" s="69" t="s">
        <v>492</v>
      </c>
      <c r="C15" s="7" t="s">
        <v>543</v>
      </c>
      <c r="D15" s="7" t="s">
        <v>544</v>
      </c>
      <c r="E15" s="7" t="str">
        <f>"0,6238"</f>
        <v>0,6238</v>
      </c>
      <c r="F15" s="7" t="s">
        <v>54</v>
      </c>
      <c r="G15" s="7" t="s">
        <v>14</v>
      </c>
      <c r="H15" s="77" t="s">
        <v>483</v>
      </c>
      <c r="I15" s="77" t="s">
        <v>688</v>
      </c>
      <c r="J15" s="77" t="s">
        <v>696</v>
      </c>
      <c r="K15" s="77" t="str">
        <f>"873,3900"</f>
        <v>873,3900</v>
      </c>
      <c r="L15" s="7" t="s">
        <v>582</v>
      </c>
    </row>
    <row r="16" spans="1:12" ht="12.75">
      <c r="A16" s="56" t="s">
        <v>653</v>
      </c>
      <c r="B16" s="71" t="s">
        <v>545</v>
      </c>
      <c r="C16" s="9" t="s">
        <v>546</v>
      </c>
      <c r="D16" s="9" t="s">
        <v>547</v>
      </c>
      <c r="E16" s="9" t="str">
        <f>"0,6169"</f>
        <v>0,6169</v>
      </c>
      <c r="F16" s="9" t="s">
        <v>40</v>
      </c>
      <c r="G16" s="9" t="s">
        <v>41</v>
      </c>
      <c r="H16" s="83" t="s">
        <v>70</v>
      </c>
      <c r="I16" s="83" t="s">
        <v>689</v>
      </c>
      <c r="J16" s="83" t="s">
        <v>697</v>
      </c>
      <c r="K16" s="83" t="str">
        <f>"1387,9125"</f>
        <v>1387,9125</v>
      </c>
      <c r="L16" s="9" t="s">
        <v>92</v>
      </c>
    </row>
    <row r="17" spans="1:12" ht="12.75">
      <c r="A17" s="56" t="s">
        <v>654</v>
      </c>
      <c r="B17" s="71" t="s">
        <v>172</v>
      </c>
      <c r="C17" s="9" t="s">
        <v>173</v>
      </c>
      <c r="D17" s="9" t="s">
        <v>174</v>
      </c>
      <c r="E17" s="9" t="str">
        <f>"0,6153"</f>
        <v>0,6153</v>
      </c>
      <c r="F17" s="9" t="s">
        <v>647</v>
      </c>
      <c r="G17" s="9" t="s">
        <v>139</v>
      </c>
      <c r="H17" s="83" t="s">
        <v>70</v>
      </c>
      <c r="I17" s="83" t="s">
        <v>690</v>
      </c>
      <c r="J17" s="83" t="s">
        <v>698</v>
      </c>
      <c r="K17" s="83" t="str">
        <f>"1218,2940"</f>
        <v>1218,2940</v>
      </c>
      <c r="L17" s="9" t="s">
        <v>586</v>
      </c>
    </row>
    <row r="18" spans="1:12" ht="12.75">
      <c r="A18" s="56" t="s">
        <v>653</v>
      </c>
      <c r="B18" s="70" t="s">
        <v>175</v>
      </c>
      <c r="C18" s="8" t="s">
        <v>548</v>
      </c>
      <c r="D18" s="8" t="s">
        <v>177</v>
      </c>
      <c r="E18" s="8" t="str">
        <f>"0,6277"</f>
        <v>0,6277</v>
      </c>
      <c r="F18" s="8" t="s">
        <v>47</v>
      </c>
      <c r="G18" s="8" t="s">
        <v>666</v>
      </c>
      <c r="H18" s="79" t="s">
        <v>483</v>
      </c>
      <c r="I18" s="79" t="s">
        <v>689</v>
      </c>
      <c r="J18" s="79" t="s">
        <v>699</v>
      </c>
      <c r="K18" s="79" t="str">
        <f>"1466,4641"</f>
        <v>1466,4641</v>
      </c>
      <c r="L18" s="8" t="s">
        <v>92</v>
      </c>
    </row>
    <row r="20" spans="2:11" ht="15.75">
      <c r="B20" s="105" t="s">
        <v>178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2" ht="12.75">
      <c r="A21" s="56" t="s">
        <v>653</v>
      </c>
      <c r="B21" s="69" t="s">
        <v>549</v>
      </c>
      <c r="C21" s="7" t="s">
        <v>550</v>
      </c>
      <c r="D21" s="7" t="s">
        <v>404</v>
      </c>
      <c r="E21" s="7" t="str">
        <f>"0,5885"</f>
        <v>0,5885</v>
      </c>
      <c r="F21" s="7" t="s">
        <v>647</v>
      </c>
      <c r="G21" s="7" t="s">
        <v>551</v>
      </c>
      <c r="H21" s="77" t="s">
        <v>148</v>
      </c>
      <c r="I21" s="77" t="s">
        <v>691</v>
      </c>
      <c r="J21" s="77" t="s">
        <v>700</v>
      </c>
      <c r="K21" s="77" t="str">
        <f>"860,7543"</f>
        <v>860,7543</v>
      </c>
      <c r="L21" s="7" t="s">
        <v>92</v>
      </c>
    </row>
    <row r="22" spans="1:12" ht="12.75">
      <c r="A22" s="56" t="s">
        <v>653</v>
      </c>
      <c r="B22" s="70" t="s">
        <v>552</v>
      </c>
      <c r="C22" s="8" t="s">
        <v>553</v>
      </c>
      <c r="D22" s="8" t="s">
        <v>554</v>
      </c>
      <c r="E22" s="8" t="str">
        <f>"0,5952"</f>
        <v>0,5952</v>
      </c>
      <c r="F22" s="8" t="s">
        <v>647</v>
      </c>
      <c r="G22" s="8" t="s">
        <v>542</v>
      </c>
      <c r="H22" s="79" t="s">
        <v>153</v>
      </c>
      <c r="I22" s="79" t="s">
        <v>692</v>
      </c>
      <c r="J22" s="79" t="s">
        <v>560</v>
      </c>
      <c r="K22" s="81" t="str">
        <f>"1470,1440"</f>
        <v>1470,1440</v>
      </c>
      <c r="L22" s="8" t="s">
        <v>92</v>
      </c>
    </row>
    <row r="24" spans="2:11" ht="15.75">
      <c r="B24" s="105" t="s">
        <v>201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2" ht="12.75">
      <c r="A25" s="56" t="s">
        <v>653</v>
      </c>
      <c r="B25" s="68" t="s">
        <v>208</v>
      </c>
      <c r="C25" s="6" t="s">
        <v>209</v>
      </c>
      <c r="D25" s="6" t="s">
        <v>210</v>
      </c>
      <c r="E25" s="6" t="str">
        <f>"0,5713"</f>
        <v>0,5713</v>
      </c>
      <c r="F25" s="6" t="s">
        <v>54</v>
      </c>
      <c r="G25" s="6" t="s">
        <v>14</v>
      </c>
      <c r="H25" s="75" t="s">
        <v>109</v>
      </c>
      <c r="I25" s="75" t="s">
        <v>687</v>
      </c>
      <c r="J25" s="75" t="s">
        <v>701</v>
      </c>
      <c r="K25" s="75" t="str">
        <f>"1259,6063"</f>
        <v>1259,6063</v>
      </c>
      <c r="L25" s="6" t="s">
        <v>92</v>
      </c>
    </row>
    <row r="27" spans="2:11" ht="15.75">
      <c r="B27" s="105" t="s">
        <v>218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2" ht="12.75">
      <c r="A28" s="56" t="s">
        <v>653</v>
      </c>
      <c r="B28" s="68" t="s">
        <v>219</v>
      </c>
      <c r="C28" s="6" t="s">
        <v>220</v>
      </c>
      <c r="D28" s="6" t="s">
        <v>221</v>
      </c>
      <c r="E28" s="6" t="str">
        <f>"0,5549"</f>
        <v>0,5549</v>
      </c>
      <c r="F28" s="6" t="s">
        <v>47</v>
      </c>
      <c r="G28" s="6" t="s">
        <v>222</v>
      </c>
      <c r="H28" s="75" t="s">
        <v>91</v>
      </c>
      <c r="I28" s="75" t="s">
        <v>693</v>
      </c>
      <c r="J28" s="75" t="s">
        <v>702</v>
      </c>
      <c r="K28" s="75" t="str">
        <f>"782,4090"</f>
        <v>782,4090</v>
      </c>
      <c r="L28" s="6" t="s">
        <v>92</v>
      </c>
    </row>
    <row r="29" ht="15.75">
      <c r="F29" s="10"/>
    </row>
    <row r="31" spans="2:3" ht="18">
      <c r="B31" s="36" t="s">
        <v>223</v>
      </c>
      <c r="C31" s="36"/>
    </row>
    <row r="32" spans="2:3" ht="15.75">
      <c r="B32" s="37" t="s">
        <v>231</v>
      </c>
      <c r="C32" s="37"/>
    </row>
    <row r="33" spans="2:3" ht="13.5">
      <c r="B33" s="72"/>
      <c r="C33" s="44" t="s">
        <v>225</v>
      </c>
    </row>
    <row r="34" spans="2:6" ht="13.5">
      <c r="B34" s="39" t="s">
        <v>226</v>
      </c>
      <c r="C34" s="45" t="s">
        <v>227</v>
      </c>
      <c r="D34" s="45" t="s">
        <v>228</v>
      </c>
      <c r="E34" s="45" t="s">
        <v>229</v>
      </c>
      <c r="F34" s="11" t="s">
        <v>555</v>
      </c>
    </row>
    <row r="35" spans="1:6" ht="12.75">
      <c r="A35" s="56" t="s">
        <v>653</v>
      </c>
      <c r="B35" s="73" t="s">
        <v>93</v>
      </c>
      <c r="C35" s="1" t="s">
        <v>225</v>
      </c>
      <c r="D35" s="56" t="s">
        <v>659</v>
      </c>
      <c r="E35" s="56" t="s">
        <v>556</v>
      </c>
      <c r="F35" s="56" t="s">
        <v>557</v>
      </c>
    </row>
    <row r="36" spans="1:6" ht="12.75">
      <c r="A36" s="56" t="s">
        <v>654</v>
      </c>
      <c r="B36" s="73" t="s">
        <v>98</v>
      </c>
      <c r="C36" s="1" t="s">
        <v>225</v>
      </c>
      <c r="D36" s="56" t="s">
        <v>659</v>
      </c>
      <c r="E36" s="56" t="s">
        <v>558</v>
      </c>
      <c r="F36" s="56" t="s">
        <v>559</v>
      </c>
    </row>
    <row r="37" spans="1:6" ht="12.75">
      <c r="A37" s="56" t="s">
        <v>655</v>
      </c>
      <c r="B37" s="73" t="s">
        <v>552</v>
      </c>
      <c r="C37" s="1" t="s">
        <v>225</v>
      </c>
      <c r="D37" s="56" t="s">
        <v>658</v>
      </c>
      <c r="E37" s="56" t="s">
        <v>560</v>
      </c>
      <c r="F37" s="56" t="s">
        <v>561</v>
      </c>
    </row>
  </sheetData>
  <sheetProtection/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  <mergeCell ref="B27:K27"/>
    <mergeCell ref="L3:L4"/>
    <mergeCell ref="B5:K5"/>
    <mergeCell ref="B10:K10"/>
    <mergeCell ref="B14:K14"/>
    <mergeCell ref="B20:K20"/>
    <mergeCell ref="B24:K2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F39" sqref="F39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7.12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8.625" style="5" bestFit="1" customWidth="1"/>
    <col min="8" max="10" width="5.625" style="56" bestFit="1" customWidth="1"/>
    <col min="11" max="11" width="4.625" style="56" bestFit="1" customWidth="1"/>
    <col min="12" max="12" width="11.125" style="56" customWidth="1"/>
    <col min="13" max="13" width="8.625" style="56" bestFit="1" customWidth="1"/>
    <col min="14" max="14" width="17.625" style="5" bestFit="1" customWidth="1"/>
    <col min="15" max="16384" width="9.125" style="1" customWidth="1"/>
  </cols>
  <sheetData>
    <row r="1" spans="2:14" ht="15" customHeight="1">
      <c r="B1" s="107" t="s">
        <v>728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09.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3</v>
      </c>
      <c r="I3" s="99"/>
      <c r="J3" s="99"/>
      <c r="K3" s="99"/>
      <c r="L3" s="99" t="s">
        <v>642</v>
      </c>
      <c r="M3" s="99" t="s">
        <v>6</v>
      </c>
      <c r="N3" s="101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02"/>
    </row>
    <row r="5" spans="2:13" ht="15.75">
      <c r="B5" s="103" t="s">
        <v>144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4" ht="12.75">
      <c r="B6" s="68" t="s">
        <v>339</v>
      </c>
      <c r="C6" s="6" t="s">
        <v>338</v>
      </c>
      <c r="D6" s="6" t="s">
        <v>337</v>
      </c>
      <c r="E6" s="6" t="str">
        <f>"0,6665"</f>
        <v>0,6665</v>
      </c>
      <c r="F6" s="6" t="s">
        <v>40</v>
      </c>
      <c r="G6" s="6" t="s">
        <v>41</v>
      </c>
      <c r="H6" s="92" t="s">
        <v>336</v>
      </c>
      <c r="I6" s="92" t="s">
        <v>336</v>
      </c>
      <c r="J6" s="92" t="s">
        <v>336</v>
      </c>
      <c r="K6" s="76"/>
      <c r="L6" s="75" t="s">
        <v>656</v>
      </c>
      <c r="M6" s="75" t="s">
        <v>656</v>
      </c>
      <c r="N6" s="6" t="s">
        <v>92</v>
      </c>
    </row>
    <row r="8" spans="2:13" ht="15.75">
      <c r="B8" s="105" t="s">
        <v>178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ht="12.75">
      <c r="A9" s="56" t="s">
        <v>653</v>
      </c>
      <c r="B9" s="68" t="s">
        <v>322</v>
      </c>
      <c r="C9" s="6" t="s">
        <v>335</v>
      </c>
      <c r="D9" s="6" t="s">
        <v>334</v>
      </c>
      <c r="E9" s="6" t="str">
        <f>"0,6288"</f>
        <v>0,6288</v>
      </c>
      <c r="F9" s="6" t="s">
        <v>47</v>
      </c>
      <c r="G9" s="6" t="s">
        <v>666</v>
      </c>
      <c r="H9" s="85" t="s">
        <v>333</v>
      </c>
      <c r="I9" s="85" t="s">
        <v>332</v>
      </c>
      <c r="J9" s="85" t="s">
        <v>321</v>
      </c>
      <c r="K9" s="76"/>
      <c r="L9" s="75" t="s">
        <v>321</v>
      </c>
      <c r="M9" s="75" t="str">
        <f>"171,3480"</f>
        <v>171,3480</v>
      </c>
      <c r="N9" s="6" t="s">
        <v>614</v>
      </c>
    </row>
    <row r="11" spans="2:13" ht="15.75">
      <c r="B11" s="105" t="s">
        <v>201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12.75">
      <c r="A12" s="56" t="s">
        <v>653</v>
      </c>
      <c r="B12" s="68" t="s">
        <v>324</v>
      </c>
      <c r="C12" s="6" t="s">
        <v>331</v>
      </c>
      <c r="D12" s="6" t="s">
        <v>330</v>
      </c>
      <c r="E12" s="6" t="str">
        <f>"0,6019"</f>
        <v>0,6019</v>
      </c>
      <c r="F12" s="6" t="s">
        <v>647</v>
      </c>
      <c r="G12" s="6" t="s">
        <v>26</v>
      </c>
      <c r="H12" s="85" t="s">
        <v>329</v>
      </c>
      <c r="I12" s="85" t="s">
        <v>328</v>
      </c>
      <c r="J12" s="85" t="s">
        <v>323</v>
      </c>
      <c r="K12" s="76"/>
      <c r="L12" s="75" t="s">
        <v>323</v>
      </c>
      <c r="M12" s="75" t="str">
        <f>"176,0557"</f>
        <v>176,0557</v>
      </c>
      <c r="N12" s="6" t="s">
        <v>92</v>
      </c>
    </row>
    <row r="14" spans="2:13" ht="15.75">
      <c r="B14" s="105" t="s">
        <v>218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4" ht="12.75">
      <c r="A15" s="56" t="s">
        <v>653</v>
      </c>
      <c r="B15" s="68" t="s">
        <v>320</v>
      </c>
      <c r="C15" s="6" t="s">
        <v>327</v>
      </c>
      <c r="D15" s="6" t="s">
        <v>326</v>
      </c>
      <c r="E15" s="6" t="str">
        <f>"0,5863"</f>
        <v>0,5863</v>
      </c>
      <c r="F15" s="6" t="s">
        <v>647</v>
      </c>
      <c r="G15" s="6" t="s">
        <v>666</v>
      </c>
      <c r="H15" s="85" t="s">
        <v>325</v>
      </c>
      <c r="I15" s="85" t="s">
        <v>281</v>
      </c>
      <c r="J15" s="85" t="s">
        <v>319</v>
      </c>
      <c r="K15" s="76"/>
      <c r="L15" s="75" t="s">
        <v>319</v>
      </c>
      <c r="M15" s="75" t="str">
        <f>"134,8490"</f>
        <v>134,8490</v>
      </c>
      <c r="N15" s="6" t="s">
        <v>92</v>
      </c>
    </row>
    <row r="39" ht="12.75">
      <c r="F39" s="5" t="s">
        <v>726</v>
      </c>
    </row>
  </sheetData>
  <sheetProtection/>
  <mergeCells count="16">
    <mergeCell ref="M3:M4"/>
    <mergeCell ref="B1:N2"/>
    <mergeCell ref="H3:K3"/>
    <mergeCell ref="B3:B4"/>
    <mergeCell ref="C3:C4"/>
    <mergeCell ref="D3:D4"/>
    <mergeCell ref="B14:M14"/>
    <mergeCell ref="N3:N4"/>
    <mergeCell ref="G3:G4"/>
    <mergeCell ref="F3:F4"/>
    <mergeCell ref="B5:M5"/>
    <mergeCell ref="A3:A4"/>
    <mergeCell ref="B8:M8"/>
    <mergeCell ref="B11:M11"/>
    <mergeCell ref="E3:E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2">
      <selection activeCell="A2" sqref="A2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7.1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3.375" style="5" bestFit="1" customWidth="1"/>
    <col min="8" max="8" width="5.625" style="56" customWidth="1"/>
    <col min="9" max="10" width="5.625" style="56" bestFit="1" customWidth="1"/>
    <col min="11" max="11" width="4.625" style="56" bestFit="1" customWidth="1"/>
    <col min="12" max="12" width="15.00390625" style="56" customWidth="1"/>
    <col min="13" max="13" width="8.625" style="56" bestFit="1" customWidth="1"/>
    <col min="14" max="14" width="28.75390625" style="5" bestFit="1" customWidth="1"/>
    <col min="15" max="16384" width="9.125" style="1" customWidth="1"/>
  </cols>
  <sheetData>
    <row r="1" spans="2:14" ht="15" customHeight="1">
      <c r="B1" s="107" t="s">
        <v>729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02.7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3</v>
      </c>
      <c r="I3" s="99"/>
      <c r="J3" s="99"/>
      <c r="K3" s="99"/>
      <c r="L3" s="99" t="s">
        <v>642</v>
      </c>
      <c r="M3" s="99" t="s">
        <v>6</v>
      </c>
      <c r="N3" s="101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02"/>
    </row>
    <row r="5" spans="2:13" ht="15.75">
      <c r="B5" s="103" t="s">
        <v>10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56" t="s">
        <v>653</v>
      </c>
      <c r="B6" s="68" t="s">
        <v>340</v>
      </c>
      <c r="C6" s="6" t="s">
        <v>341</v>
      </c>
      <c r="D6" s="6" t="s">
        <v>342</v>
      </c>
      <c r="E6" s="6" t="str">
        <f>"1,2504"</f>
        <v>1,2504</v>
      </c>
      <c r="F6" s="6" t="s">
        <v>54</v>
      </c>
      <c r="G6" s="6" t="s">
        <v>14</v>
      </c>
      <c r="H6" s="85" t="s">
        <v>50</v>
      </c>
      <c r="I6" s="85" t="s">
        <v>153</v>
      </c>
      <c r="J6" s="85" t="s">
        <v>149</v>
      </c>
      <c r="K6" s="76"/>
      <c r="L6" s="75" t="s">
        <v>149</v>
      </c>
      <c r="M6" s="75" t="str">
        <f>"128,1660"</f>
        <v>128,1660</v>
      </c>
      <c r="N6" s="6" t="s">
        <v>606</v>
      </c>
    </row>
    <row r="8" spans="2:13" ht="15.75">
      <c r="B8" s="105" t="s">
        <v>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ht="12.75">
      <c r="A9" s="56" t="s">
        <v>653</v>
      </c>
      <c r="B9" s="68" t="s">
        <v>343</v>
      </c>
      <c r="C9" s="6" t="s">
        <v>344</v>
      </c>
      <c r="D9" s="6" t="s">
        <v>345</v>
      </c>
      <c r="E9" s="6" t="str">
        <f>"1,1916"</f>
        <v>1,1916</v>
      </c>
      <c r="F9" s="6" t="s">
        <v>54</v>
      </c>
      <c r="G9" s="6" t="s">
        <v>14</v>
      </c>
      <c r="H9" s="85" t="s">
        <v>71</v>
      </c>
      <c r="I9" s="85" t="s">
        <v>62</v>
      </c>
      <c r="J9" s="92" t="s">
        <v>113</v>
      </c>
      <c r="K9" s="76"/>
      <c r="L9" s="75" t="s">
        <v>62</v>
      </c>
      <c r="M9" s="75" t="str">
        <f>"131,0760"</f>
        <v>131,0760</v>
      </c>
      <c r="N9" s="6" t="s">
        <v>92</v>
      </c>
    </row>
    <row r="11" spans="2:13" ht="15.75">
      <c r="B11" s="105" t="s">
        <v>718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12.75">
      <c r="A12" s="56" t="s">
        <v>653</v>
      </c>
      <c r="B12" s="68" t="s">
        <v>346</v>
      </c>
      <c r="C12" s="6" t="s">
        <v>347</v>
      </c>
      <c r="D12" s="6" t="s">
        <v>348</v>
      </c>
      <c r="E12" s="6" t="str">
        <f>"1,0362"</f>
        <v>1,0362</v>
      </c>
      <c r="F12" s="6" t="s">
        <v>647</v>
      </c>
      <c r="G12" s="6" t="s">
        <v>666</v>
      </c>
      <c r="H12" s="85" t="s">
        <v>50</v>
      </c>
      <c r="I12" s="85" t="s">
        <v>69</v>
      </c>
      <c r="J12" s="85" t="s">
        <v>349</v>
      </c>
      <c r="K12" s="76"/>
      <c r="L12" s="75" t="s">
        <v>349</v>
      </c>
      <c r="M12" s="75" t="str">
        <f>"95,8485"</f>
        <v>95,8485</v>
      </c>
      <c r="N12" s="6" t="s">
        <v>607</v>
      </c>
    </row>
    <row r="14" spans="2:13" ht="15.75">
      <c r="B14" s="105" t="s">
        <v>36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4" ht="12.75">
      <c r="A15" s="56" t="s">
        <v>653</v>
      </c>
      <c r="B15" s="68" t="s">
        <v>350</v>
      </c>
      <c r="C15" s="6" t="s">
        <v>351</v>
      </c>
      <c r="D15" s="6" t="s">
        <v>352</v>
      </c>
      <c r="E15" s="6" t="str">
        <f>"0,9806"</f>
        <v>0,9806</v>
      </c>
      <c r="F15" s="6" t="s">
        <v>54</v>
      </c>
      <c r="G15" s="6" t="s">
        <v>14</v>
      </c>
      <c r="H15" s="85" t="s">
        <v>70</v>
      </c>
      <c r="I15" s="85" t="s">
        <v>71</v>
      </c>
      <c r="J15" s="85" t="s">
        <v>63</v>
      </c>
      <c r="K15" s="76"/>
      <c r="L15" s="75" t="s">
        <v>63</v>
      </c>
      <c r="M15" s="75" t="str">
        <f>"112,7690"</f>
        <v>112,7690</v>
      </c>
      <c r="N15" s="6" t="s">
        <v>608</v>
      </c>
    </row>
    <row r="17" spans="2:13" ht="15.75">
      <c r="B17" s="105" t="s">
        <v>114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4" ht="12.75">
      <c r="A18" s="56" t="s">
        <v>653</v>
      </c>
      <c r="B18" s="68" t="s">
        <v>353</v>
      </c>
      <c r="C18" s="6" t="s">
        <v>354</v>
      </c>
      <c r="D18" s="6" t="s">
        <v>355</v>
      </c>
      <c r="E18" s="6" t="str">
        <f>"0,9263"</f>
        <v>0,9263</v>
      </c>
      <c r="F18" s="6" t="s">
        <v>647</v>
      </c>
      <c r="G18" s="6" t="s">
        <v>666</v>
      </c>
      <c r="H18" s="92" t="s">
        <v>90</v>
      </c>
      <c r="I18" s="85" t="s">
        <v>63</v>
      </c>
      <c r="J18" s="92" t="s">
        <v>64</v>
      </c>
      <c r="K18" s="76"/>
      <c r="L18" s="75" t="s">
        <v>63</v>
      </c>
      <c r="M18" s="75" t="str">
        <f>"106,5245"</f>
        <v>106,5245</v>
      </c>
      <c r="N18" s="6" t="s">
        <v>92</v>
      </c>
    </row>
    <row r="20" spans="2:13" ht="15.75">
      <c r="B20" s="105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4" ht="12.75">
      <c r="A21" s="56" t="s">
        <v>653</v>
      </c>
      <c r="B21" s="69" t="s">
        <v>356</v>
      </c>
      <c r="C21" s="7" t="s">
        <v>357</v>
      </c>
      <c r="D21" s="7" t="s">
        <v>358</v>
      </c>
      <c r="E21" s="7" t="str">
        <f>"0,7813"</f>
        <v>0,7813</v>
      </c>
      <c r="F21" s="7" t="s">
        <v>101</v>
      </c>
      <c r="G21" s="7" t="s">
        <v>102</v>
      </c>
      <c r="H21" s="86" t="s">
        <v>160</v>
      </c>
      <c r="I21" s="86" t="s">
        <v>186</v>
      </c>
      <c r="J21" s="86" t="s">
        <v>359</v>
      </c>
      <c r="K21" s="78"/>
      <c r="L21" s="77" t="s">
        <v>359</v>
      </c>
      <c r="M21" s="77" t="str">
        <f>"140,6340"</f>
        <v>140,6340</v>
      </c>
      <c r="N21" s="7" t="s">
        <v>584</v>
      </c>
    </row>
    <row r="22" spans="1:14" ht="12.75">
      <c r="A22" s="56" t="s">
        <v>653</v>
      </c>
      <c r="B22" s="70" t="s">
        <v>360</v>
      </c>
      <c r="C22" s="8" t="s">
        <v>361</v>
      </c>
      <c r="D22" s="8" t="s">
        <v>362</v>
      </c>
      <c r="E22" s="8" t="str">
        <f>"0,7862"</f>
        <v>0,7862</v>
      </c>
      <c r="F22" s="8" t="s">
        <v>40</v>
      </c>
      <c r="G22" s="8" t="s">
        <v>41</v>
      </c>
      <c r="H22" s="91" t="s">
        <v>363</v>
      </c>
      <c r="I22" s="87" t="s">
        <v>363</v>
      </c>
      <c r="J22" s="87" t="s">
        <v>364</v>
      </c>
      <c r="K22" s="80"/>
      <c r="L22" s="79" t="s">
        <v>364</v>
      </c>
      <c r="M22" s="79" t="str">
        <f>"153,3090"</f>
        <v>153,3090</v>
      </c>
      <c r="N22" s="8" t="s">
        <v>609</v>
      </c>
    </row>
    <row r="24" spans="2:13" ht="15.75">
      <c r="B24" s="105" t="s">
        <v>36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4" ht="12.75">
      <c r="A25" s="56" t="s">
        <v>653</v>
      </c>
      <c r="B25" s="69" t="s">
        <v>365</v>
      </c>
      <c r="C25" s="7" t="s">
        <v>366</v>
      </c>
      <c r="D25" s="7" t="s">
        <v>367</v>
      </c>
      <c r="E25" s="7" t="str">
        <f>"0,7390"</f>
        <v>0,7390</v>
      </c>
      <c r="F25" s="7" t="s">
        <v>101</v>
      </c>
      <c r="G25" s="7" t="s">
        <v>102</v>
      </c>
      <c r="H25" s="86" t="s">
        <v>193</v>
      </c>
      <c r="I25" s="86" t="s">
        <v>159</v>
      </c>
      <c r="J25" s="86" t="s">
        <v>186</v>
      </c>
      <c r="K25" s="78"/>
      <c r="L25" s="77" t="s">
        <v>186</v>
      </c>
      <c r="M25" s="77" t="str">
        <f>"129,3250"</f>
        <v>129,3250</v>
      </c>
      <c r="N25" s="7" t="s">
        <v>584</v>
      </c>
    </row>
    <row r="26" spans="1:14" ht="12.75">
      <c r="A26" s="56" t="s">
        <v>654</v>
      </c>
      <c r="B26" s="70" t="s">
        <v>368</v>
      </c>
      <c r="C26" s="8" t="s">
        <v>369</v>
      </c>
      <c r="D26" s="8" t="s">
        <v>370</v>
      </c>
      <c r="E26" s="8" t="str">
        <f>"0,7430"</f>
        <v>0,7430</v>
      </c>
      <c r="F26" s="8" t="s">
        <v>54</v>
      </c>
      <c r="G26" s="8" t="s">
        <v>14</v>
      </c>
      <c r="H26" s="87" t="s">
        <v>159</v>
      </c>
      <c r="I26" s="91" t="s">
        <v>160</v>
      </c>
      <c r="J26" s="91" t="s">
        <v>160</v>
      </c>
      <c r="K26" s="80"/>
      <c r="L26" s="79" t="s">
        <v>159</v>
      </c>
      <c r="M26" s="79" t="str">
        <f>"122,5950"</f>
        <v>122,5950</v>
      </c>
      <c r="N26" s="8" t="s">
        <v>582</v>
      </c>
    </row>
    <row r="28" spans="2:13" ht="15.75">
      <c r="B28" s="105" t="s">
        <v>114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4" ht="12.75">
      <c r="A29" s="56" t="s">
        <v>653</v>
      </c>
      <c r="B29" s="69" t="s">
        <v>371</v>
      </c>
      <c r="C29" s="7" t="s">
        <v>372</v>
      </c>
      <c r="D29" s="7" t="s">
        <v>373</v>
      </c>
      <c r="E29" s="7" t="str">
        <f>"0,6724"</f>
        <v>0,6724</v>
      </c>
      <c r="F29" s="7" t="s">
        <v>54</v>
      </c>
      <c r="G29" s="7" t="s">
        <v>14</v>
      </c>
      <c r="H29" s="86" t="s">
        <v>97</v>
      </c>
      <c r="I29" s="86" t="s">
        <v>194</v>
      </c>
      <c r="J29" s="86" t="s">
        <v>195</v>
      </c>
      <c r="K29" s="78"/>
      <c r="L29" s="77" t="s">
        <v>195</v>
      </c>
      <c r="M29" s="77" t="str">
        <f>"112,6270"</f>
        <v>112,6270</v>
      </c>
      <c r="N29" s="7" t="s">
        <v>582</v>
      </c>
    </row>
    <row r="30" spans="1:14" ht="12.75">
      <c r="A30" s="56" t="s">
        <v>654</v>
      </c>
      <c r="B30" s="71" t="s">
        <v>374</v>
      </c>
      <c r="C30" s="9" t="s">
        <v>375</v>
      </c>
      <c r="D30" s="9" t="s">
        <v>376</v>
      </c>
      <c r="E30" s="9" t="str">
        <f>"0,6975"</f>
        <v>0,6975</v>
      </c>
      <c r="F30" s="9" t="s">
        <v>40</v>
      </c>
      <c r="G30" s="9" t="s">
        <v>41</v>
      </c>
      <c r="H30" s="89" t="s">
        <v>120</v>
      </c>
      <c r="I30" s="89" t="s">
        <v>97</v>
      </c>
      <c r="J30" s="90" t="s">
        <v>194</v>
      </c>
      <c r="K30" s="82"/>
      <c r="L30" s="83" t="s">
        <v>97</v>
      </c>
      <c r="M30" s="83" t="str">
        <f>"104,6250"</f>
        <v>104,6250</v>
      </c>
      <c r="N30" s="9" t="s">
        <v>609</v>
      </c>
    </row>
    <row r="31" spans="1:14" ht="12.75">
      <c r="A31" s="56" t="s">
        <v>653</v>
      </c>
      <c r="B31" s="71" t="s">
        <v>377</v>
      </c>
      <c r="C31" s="9" t="s">
        <v>378</v>
      </c>
      <c r="D31" s="9" t="s">
        <v>379</v>
      </c>
      <c r="E31" s="9" t="str">
        <f>"0,6865"</f>
        <v>0,6865</v>
      </c>
      <c r="F31" s="9" t="s">
        <v>647</v>
      </c>
      <c r="G31" s="9" t="s">
        <v>14</v>
      </c>
      <c r="H31" s="89" t="s">
        <v>186</v>
      </c>
      <c r="I31" s="89" t="s">
        <v>187</v>
      </c>
      <c r="J31" s="90" t="s">
        <v>281</v>
      </c>
      <c r="K31" s="82"/>
      <c r="L31" s="83" t="s">
        <v>187</v>
      </c>
      <c r="M31" s="83" t="str">
        <f>"127,0025"</f>
        <v>127,0025</v>
      </c>
      <c r="N31" s="9" t="s">
        <v>92</v>
      </c>
    </row>
    <row r="32" spans="1:14" ht="12.75">
      <c r="A32" s="56" t="s">
        <v>653</v>
      </c>
      <c r="B32" s="71" t="s">
        <v>380</v>
      </c>
      <c r="C32" s="9" t="s">
        <v>381</v>
      </c>
      <c r="D32" s="9" t="s">
        <v>382</v>
      </c>
      <c r="E32" s="9" t="str">
        <f>"0,6927"</f>
        <v>0,6927</v>
      </c>
      <c r="F32" s="9" t="s">
        <v>647</v>
      </c>
      <c r="G32" s="9" t="s">
        <v>383</v>
      </c>
      <c r="H32" s="89" t="s">
        <v>384</v>
      </c>
      <c r="I32" s="82"/>
      <c r="J32" s="82"/>
      <c r="K32" s="82"/>
      <c r="L32" s="83" t="s">
        <v>384</v>
      </c>
      <c r="M32" s="83" t="str">
        <f>"145,4670"</f>
        <v>145,4670</v>
      </c>
      <c r="N32" s="9" t="s">
        <v>599</v>
      </c>
    </row>
    <row r="33" spans="1:14" ht="12.75">
      <c r="A33" s="56" t="s">
        <v>654</v>
      </c>
      <c r="B33" s="71" t="s">
        <v>385</v>
      </c>
      <c r="C33" s="9" t="s">
        <v>386</v>
      </c>
      <c r="D33" s="9" t="s">
        <v>387</v>
      </c>
      <c r="E33" s="9" t="str">
        <f>"0,7061"</f>
        <v>0,7061</v>
      </c>
      <c r="F33" s="9" t="s">
        <v>40</v>
      </c>
      <c r="G33" s="9" t="s">
        <v>41</v>
      </c>
      <c r="H33" s="89" t="s">
        <v>160</v>
      </c>
      <c r="I33" s="89" t="s">
        <v>363</v>
      </c>
      <c r="J33" s="89" t="s">
        <v>325</v>
      </c>
      <c r="K33" s="82"/>
      <c r="L33" s="83" t="s">
        <v>325</v>
      </c>
      <c r="M33" s="83" t="str">
        <f>"141,2200"</f>
        <v>141,2200</v>
      </c>
      <c r="N33" s="9" t="s">
        <v>610</v>
      </c>
    </row>
    <row r="34" spans="2:14" ht="12.75">
      <c r="B34" s="70" t="s">
        <v>132</v>
      </c>
      <c r="C34" s="8" t="s">
        <v>133</v>
      </c>
      <c r="D34" s="8" t="s">
        <v>388</v>
      </c>
      <c r="E34" s="8" t="str">
        <f>"0,6849"</f>
        <v>0,6849</v>
      </c>
      <c r="F34" s="8" t="s">
        <v>54</v>
      </c>
      <c r="G34" s="8" t="s">
        <v>14</v>
      </c>
      <c r="H34" s="91" t="s">
        <v>363</v>
      </c>
      <c r="I34" s="91" t="s">
        <v>363</v>
      </c>
      <c r="J34" s="91" t="s">
        <v>364</v>
      </c>
      <c r="K34" s="80"/>
      <c r="L34" s="79" t="s">
        <v>656</v>
      </c>
      <c r="M34" s="79" t="s">
        <v>656</v>
      </c>
      <c r="N34" s="8" t="s">
        <v>582</v>
      </c>
    </row>
    <row r="36" spans="2:13" ht="15.75">
      <c r="B36" s="105" t="s">
        <v>144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4" ht="12.75">
      <c r="A37" s="56" t="s">
        <v>653</v>
      </c>
      <c r="B37" s="69" t="s">
        <v>145</v>
      </c>
      <c r="C37" s="7" t="s">
        <v>146</v>
      </c>
      <c r="D37" s="7" t="s">
        <v>389</v>
      </c>
      <c r="E37" s="7" t="str">
        <f>"0,6491"</f>
        <v>0,6491</v>
      </c>
      <c r="F37" s="7" t="s">
        <v>54</v>
      </c>
      <c r="G37" s="7" t="s">
        <v>14</v>
      </c>
      <c r="H37" s="86" t="s">
        <v>120</v>
      </c>
      <c r="I37" s="86" t="s">
        <v>97</v>
      </c>
      <c r="J37" s="86" t="s">
        <v>158</v>
      </c>
      <c r="K37" s="78"/>
      <c r="L37" s="77" t="s">
        <v>158</v>
      </c>
      <c r="M37" s="77" t="str">
        <f>"103,8560"</f>
        <v>103,8560</v>
      </c>
      <c r="N37" s="7" t="s">
        <v>582</v>
      </c>
    </row>
    <row r="38" spans="1:14" ht="12.75">
      <c r="A38" s="56" t="s">
        <v>653</v>
      </c>
      <c r="B38" s="71" t="s">
        <v>390</v>
      </c>
      <c r="C38" s="9" t="s">
        <v>391</v>
      </c>
      <c r="D38" s="9" t="s">
        <v>392</v>
      </c>
      <c r="E38" s="9" t="str">
        <f>"0,6413"</f>
        <v>0,6413</v>
      </c>
      <c r="F38" s="9" t="s">
        <v>647</v>
      </c>
      <c r="G38" s="9" t="s">
        <v>139</v>
      </c>
      <c r="H38" s="89" t="s">
        <v>393</v>
      </c>
      <c r="I38" s="89" t="s">
        <v>319</v>
      </c>
      <c r="J38" s="89" t="s">
        <v>394</v>
      </c>
      <c r="K38" s="82"/>
      <c r="L38" s="83" t="s">
        <v>394</v>
      </c>
      <c r="M38" s="83" t="str">
        <f>"150,7055"</f>
        <v>150,7055</v>
      </c>
      <c r="N38" s="9" t="s">
        <v>92</v>
      </c>
    </row>
    <row r="39" spans="1:14" ht="12.75">
      <c r="A39" s="56" t="s">
        <v>654</v>
      </c>
      <c r="B39" s="71" t="s">
        <v>395</v>
      </c>
      <c r="C39" s="9" t="s">
        <v>396</v>
      </c>
      <c r="D39" s="9" t="s">
        <v>397</v>
      </c>
      <c r="E39" s="9" t="str">
        <f>"0,6606"</f>
        <v>0,6606</v>
      </c>
      <c r="F39" s="9" t="s">
        <v>47</v>
      </c>
      <c r="G39" s="9" t="s">
        <v>666</v>
      </c>
      <c r="H39" s="89" t="s">
        <v>97</v>
      </c>
      <c r="I39" s="89" t="s">
        <v>158</v>
      </c>
      <c r="J39" s="90" t="s">
        <v>159</v>
      </c>
      <c r="K39" s="82"/>
      <c r="L39" s="83" t="s">
        <v>158</v>
      </c>
      <c r="M39" s="83" t="str">
        <f>"105,6960"</f>
        <v>105,6960</v>
      </c>
      <c r="N39" s="9" t="s">
        <v>597</v>
      </c>
    </row>
    <row r="40" spans="1:14" ht="12.75">
      <c r="A40" s="56" t="s">
        <v>653</v>
      </c>
      <c r="B40" s="70" t="s">
        <v>398</v>
      </c>
      <c r="C40" s="8" t="s">
        <v>399</v>
      </c>
      <c r="D40" s="8" t="s">
        <v>400</v>
      </c>
      <c r="E40" s="8" t="str">
        <f>"0,6495"</f>
        <v>0,6495</v>
      </c>
      <c r="F40" s="8" t="s">
        <v>647</v>
      </c>
      <c r="G40" s="8" t="s">
        <v>401</v>
      </c>
      <c r="H40" s="87" t="s">
        <v>359</v>
      </c>
      <c r="I40" s="87" t="s">
        <v>363</v>
      </c>
      <c r="J40" s="87" t="s">
        <v>364</v>
      </c>
      <c r="K40" s="80"/>
      <c r="L40" s="79" t="s">
        <v>364</v>
      </c>
      <c r="M40" s="79" t="str">
        <f>"158,3156"</f>
        <v>158,3156</v>
      </c>
      <c r="N40" s="8" t="s">
        <v>611</v>
      </c>
    </row>
    <row r="42" spans="2:13" ht="15.75">
      <c r="B42" s="105" t="s">
        <v>178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4" ht="12.75">
      <c r="A43" s="56" t="s">
        <v>653</v>
      </c>
      <c r="B43" s="68" t="s">
        <v>402</v>
      </c>
      <c r="C43" s="6" t="s">
        <v>403</v>
      </c>
      <c r="D43" s="6" t="s">
        <v>404</v>
      </c>
      <c r="E43" s="6" t="str">
        <f>"0,6158"</f>
        <v>0,6158</v>
      </c>
      <c r="F43" s="6" t="s">
        <v>54</v>
      </c>
      <c r="G43" s="6" t="s">
        <v>14</v>
      </c>
      <c r="H43" s="85" t="s">
        <v>393</v>
      </c>
      <c r="I43" s="85" t="s">
        <v>319</v>
      </c>
      <c r="J43" s="92" t="s">
        <v>405</v>
      </c>
      <c r="K43" s="76"/>
      <c r="L43" s="75" t="s">
        <v>319</v>
      </c>
      <c r="M43" s="75" t="str">
        <f>"141,6340"</f>
        <v>141,6340</v>
      </c>
      <c r="N43" s="6" t="s">
        <v>612</v>
      </c>
    </row>
    <row r="45" spans="2:13" ht="15.75">
      <c r="B45" s="105" t="s">
        <v>201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4" ht="12.75">
      <c r="A46" s="56" t="s">
        <v>653</v>
      </c>
      <c r="B46" s="69" t="s">
        <v>406</v>
      </c>
      <c r="C46" s="7" t="s">
        <v>407</v>
      </c>
      <c r="D46" s="7" t="s">
        <v>408</v>
      </c>
      <c r="E46" s="7" t="str">
        <f>"0,5962"</f>
        <v>0,5962</v>
      </c>
      <c r="F46" s="7" t="s">
        <v>54</v>
      </c>
      <c r="G46" s="7" t="s">
        <v>14</v>
      </c>
      <c r="H46" s="86" t="s">
        <v>409</v>
      </c>
      <c r="I46" s="78"/>
      <c r="J46" s="78"/>
      <c r="K46" s="78"/>
      <c r="L46" s="77" t="s">
        <v>409</v>
      </c>
      <c r="M46" s="77" t="str">
        <f>"150,5405"</f>
        <v>150,5405</v>
      </c>
      <c r="N46" s="7" t="s">
        <v>582</v>
      </c>
    </row>
    <row r="47" spans="1:14" ht="12.75">
      <c r="A47" s="56" t="s">
        <v>653</v>
      </c>
      <c r="B47" s="70" t="s">
        <v>410</v>
      </c>
      <c r="C47" s="8" t="s">
        <v>411</v>
      </c>
      <c r="D47" s="8" t="s">
        <v>412</v>
      </c>
      <c r="E47" s="8" t="str">
        <f>"0,5932"</f>
        <v>0,5932</v>
      </c>
      <c r="F47" s="8" t="s">
        <v>647</v>
      </c>
      <c r="G47" s="8" t="s">
        <v>14</v>
      </c>
      <c r="H47" s="87" t="s">
        <v>384</v>
      </c>
      <c r="I47" s="87" t="s">
        <v>413</v>
      </c>
      <c r="J47" s="91" t="s">
        <v>405</v>
      </c>
      <c r="K47" s="80"/>
      <c r="L47" s="79" t="s">
        <v>413</v>
      </c>
      <c r="M47" s="79" t="str">
        <f>"133,4700"</f>
        <v>133,4700</v>
      </c>
      <c r="N47" s="8" t="s">
        <v>613</v>
      </c>
    </row>
    <row r="50" spans="2:3" ht="18">
      <c r="B50" s="36" t="s">
        <v>223</v>
      </c>
      <c r="C50" s="36"/>
    </row>
    <row r="51" spans="2:3" ht="15.75">
      <c r="B51" s="37" t="s">
        <v>224</v>
      </c>
      <c r="C51" s="37"/>
    </row>
    <row r="52" spans="2:3" ht="13.5">
      <c r="B52" s="72"/>
      <c r="C52" s="44" t="s">
        <v>225</v>
      </c>
    </row>
    <row r="53" spans="2:6" ht="13.5">
      <c r="B53" s="11" t="s">
        <v>226</v>
      </c>
      <c r="C53" s="45" t="s">
        <v>227</v>
      </c>
      <c r="D53" s="45" t="s">
        <v>228</v>
      </c>
      <c r="E53" s="45" t="s">
        <v>229</v>
      </c>
      <c r="F53" s="11" t="s">
        <v>230</v>
      </c>
    </row>
    <row r="54" spans="1:6" ht="12.75">
      <c r="A54" s="56" t="s">
        <v>653</v>
      </c>
      <c r="B54" s="73" t="s">
        <v>343</v>
      </c>
      <c r="C54" s="1" t="s">
        <v>225</v>
      </c>
      <c r="D54" s="56" t="s">
        <v>657</v>
      </c>
      <c r="E54" s="56" t="s">
        <v>62</v>
      </c>
      <c r="F54" s="56" t="s">
        <v>414</v>
      </c>
    </row>
    <row r="56" spans="2:3" ht="15.75">
      <c r="B56" s="37" t="s">
        <v>231</v>
      </c>
      <c r="C56" s="37"/>
    </row>
    <row r="57" spans="2:3" ht="13.5">
      <c r="B57" s="72"/>
      <c r="C57" s="44" t="s">
        <v>232</v>
      </c>
    </row>
    <row r="58" spans="2:6" ht="13.5">
      <c r="B58" s="11" t="s">
        <v>226</v>
      </c>
      <c r="C58" s="45" t="s">
        <v>227</v>
      </c>
      <c r="D58" s="45" t="s">
        <v>228</v>
      </c>
      <c r="E58" s="45" t="s">
        <v>229</v>
      </c>
      <c r="F58" s="11" t="s">
        <v>230</v>
      </c>
    </row>
    <row r="59" spans="1:6" ht="12.75">
      <c r="A59" s="56" t="s">
        <v>653</v>
      </c>
      <c r="B59" s="73" t="s">
        <v>402</v>
      </c>
      <c r="C59" s="1" t="s">
        <v>233</v>
      </c>
      <c r="D59" s="56" t="s">
        <v>658</v>
      </c>
      <c r="E59" s="56" t="s">
        <v>319</v>
      </c>
      <c r="F59" s="56" t="s">
        <v>415</v>
      </c>
    </row>
    <row r="60" spans="1:6" ht="12.75">
      <c r="A60" s="56" t="s">
        <v>654</v>
      </c>
      <c r="B60" s="73" t="s">
        <v>356</v>
      </c>
      <c r="C60" s="1" t="s">
        <v>233</v>
      </c>
      <c r="D60" s="56" t="s">
        <v>649</v>
      </c>
      <c r="E60" s="56" t="s">
        <v>359</v>
      </c>
      <c r="F60" s="56" t="s">
        <v>416</v>
      </c>
    </row>
    <row r="61" spans="1:6" ht="12.75">
      <c r="A61" s="56" t="s">
        <v>655</v>
      </c>
      <c r="B61" s="73" t="s">
        <v>365</v>
      </c>
      <c r="C61" s="1" t="s">
        <v>233</v>
      </c>
      <c r="D61" s="56" t="s">
        <v>659</v>
      </c>
      <c r="E61" s="56" t="s">
        <v>186</v>
      </c>
      <c r="F61" s="56" t="s">
        <v>417</v>
      </c>
    </row>
    <row r="62" spans="2:6" ht="12.75">
      <c r="B62" s="73"/>
      <c r="F62" s="4"/>
    </row>
    <row r="63" spans="2:3" ht="13.5">
      <c r="B63" s="72"/>
      <c r="C63" s="44" t="s">
        <v>225</v>
      </c>
    </row>
    <row r="64" spans="2:6" ht="13.5">
      <c r="B64" s="11" t="s">
        <v>226</v>
      </c>
      <c r="C64" s="45" t="s">
        <v>227</v>
      </c>
      <c r="D64" s="45" t="s">
        <v>228</v>
      </c>
      <c r="E64" s="45" t="s">
        <v>229</v>
      </c>
      <c r="F64" s="11" t="s">
        <v>230</v>
      </c>
    </row>
    <row r="65" spans="1:6" ht="12.75">
      <c r="A65" s="56" t="s">
        <v>653</v>
      </c>
      <c r="B65" s="73" t="s">
        <v>360</v>
      </c>
      <c r="C65" s="1" t="s">
        <v>225</v>
      </c>
      <c r="D65" s="56" t="s">
        <v>649</v>
      </c>
      <c r="E65" s="56" t="s">
        <v>364</v>
      </c>
      <c r="F65" s="56" t="s">
        <v>418</v>
      </c>
    </row>
    <row r="66" spans="1:6" ht="12.75">
      <c r="A66" s="56" t="s">
        <v>654</v>
      </c>
      <c r="B66" s="73" t="s">
        <v>390</v>
      </c>
      <c r="C66" s="1" t="s">
        <v>225</v>
      </c>
      <c r="D66" s="56" t="s">
        <v>651</v>
      </c>
      <c r="E66" s="56" t="s">
        <v>394</v>
      </c>
      <c r="F66" s="56" t="s">
        <v>419</v>
      </c>
    </row>
    <row r="67" spans="1:6" ht="12.75">
      <c r="A67" s="56" t="s">
        <v>655</v>
      </c>
      <c r="B67" s="73" t="s">
        <v>380</v>
      </c>
      <c r="C67" s="1" t="s">
        <v>225</v>
      </c>
      <c r="D67" s="56" t="s">
        <v>652</v>
      </c>
      <c r="E67" s="56" t="s">
        <v>384</v>
      </c>
      <c r="F67" s="56" t="s">
        <v>420</v>
      </c>
    </row>
  </sheetData>
  <sheetProtection/>
  <mergeCells count="23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45:M45"/>
    <mergeCell ref="N3:N4"/>
    <mergeCell ref="B5:M5"/>
    <mergeCell ref="B8:M8"/>
    <mergeCell ref="B11:M11"/>
    <mergeCell ref="B14:M14"/>
    <mergeCell ref="B17:M17"/>
    <mergeCell ref="A3:A4"/>
    <mergeCell ref="B20:M20"/>
    <mergeCell ref="B24:M24"/>
    <mergeCell ref="B28:M28"/>
    <mergeCell ref="B36:M36"/>
    <mergeCell ref="B42:M42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0">
      <selection activeCell="I18" sqref="I17:I18"/>
    </sheetView>
  </sheetViews>
  <sheetFormatPr defaultColWidth="8.75390625" defaultRowHeight="12.75"/>
  <sheetData>
    <row r="2" spans="1:9" ht="24">
      <c r="A2" s="136" t="s">
        <v>711</v>
      </c>
      <c r="B2" s="136"/>
      <c r="C2" s="136"/>
      <c r="D2" s="136"/>
      <c r="E2" s="136"/>
      <c r="F2" s="136"/>
      <c r="G2" s="136"/>
      <c r="H2" s="136"/>
      <c r="I2" s="136"/>
    </row>
    <row r="4" spans="1:9" ht="12.75">
      <c r="A4" s="135" t="s">
        <v>712</v>
      </c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35" t="s">
        <v>713</v>
      </c>
      <c r="B5" s="135"/>
      <c r="C5" s="135"/>
      <c r="D5" s="135"/>
      <c r="E5" s="135"/>
      <c r="F5" s="135"/>
      <c r="G5" s="135"/>
      <c r="H5" s="135"/>
      <c r="I5" s="135"/>
    </row>
    <row r="6" spans="1:9" ht="12.75">
      <c r="A6" s="135" t="s">
        <v>714</v>
      </c>
      <c r="B6" s="135"/>
      <c r="C6" s="135"/>
      <c r="D6" s="135"/>
      <c r="E6" s="135"/>
      <c r="F6" s="135"/>
      <c r="G6" s="135"/>
      <c r="H6" s="135"/>
      <c r="I6" s="135"/>
    </row>
    <row r="7" spans="1:9" ht="12.75">
      <c r="A7" s="135" t="s">
        <v>715</v>
      </c>
      <c r="B7" s="135"/>
      <c r="C7" s="135"/>
      <c r="D7" s="135"/>
      <c r="E7" s="135"/>
      <c r="F7" s="135"/>
      <c r="G7" s="135"/>
      <c r="H7" s="135"/>
      <c r="I7" s="135"/>
    </row>
    <row r="8" spans="1:9" ht="12.75">
      <c r="A8" s="135" t="s">
        <v>716</v>
      </c>
      <c r="B8" s="135"/>
      <c r="C8" s="135"/>
      <c r="D8" s="135"/>
      <c r="E8" s="135"/>
      <c r="F8" s="135"/>
      <c r="G8" s="135"/>
      <c r="H8" s="135"/>
      <c r="I8" s="135"/>
    </row>
    <row r="9" spans="1:9" ht="12.75">
      <c r="A9" s="135" t="s">
        <v>717</v>
      </c>
      <c r="B9" s="135"/>
      <c r="C9" s="135"/>
      <c r="D9" s="135"/>
      <c r="E9" s="135"/>
      <c r="F9" s="135"/>
      <c r="G9" s="135"/>
      <c r="H9" s="135"/>
      <c r="I9" s="135"/>
    </row>
  </sheetData>
  <sheetProtection/>
  <mergeCells count="7">
    <mergeCell ref="A8:I8"/>
    <mergeCell ref="A9:I9"/>
    <mergeCell ref="A2:I2"/>
    <mergeCell ref="A4:I4"/>
    <mergeCell ref="A5:I5"/>
    <mergeCell ref="A6:I6"/>
    <mergeCell ref="A7:I7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workbookViewId="0" topLeftCell="A1">
      <selection activeCell="G22" sqref="G22"/>
    </sheetView>
  </sheetViews>
  <sheetFormatPr defaultColWidth="9.125" defaultRowHeight="12.75"/>
  <cols>
    <col min="1" max="1" width="9.125" style="56" customWidth="1"/>
    <col min="2" max="2" width="22.875" style="35" customWidth="1"/>
    <col min="3" max="3" width="27.00390625" style="5" customWidth="1"/>
    <col min="4" max="4" width="10.625" style="5" bestFit="1" customWidth="1"/>
    <col min="5" max="5" width="8.375" style="5" bestFit="1" customWidth="1"/>
    <col min="6" max="6" width="18.125" style="5" customWidth="1"/>
    <col min="7" max="7" width="27.625" style="5" bestFit="1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17.625" style="5" bestFit="1" customWidth="1"/>
    <col min="23" max="16384" width="9.125" style="1" customWidth="1"/>
  </cols>
  <sheetData>
    <row r="1" spans="2:22" ht="15" customHeight="1">
      <c r="B1" s="107" t="s">
        <v>720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2:22" ht="83.2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1</v>
      </c>
      <c r="I3" s="99"/>
      <c r="J3" s="99"/>
      <c r="K3" s="99"/>
      <c r="L3" s="99" t="s">
        <v>2</v>
      </c>
      <c r="M3" s="99"/>
      <c r="N3" s="99"/>
      <c r="O3" s="99"/>
      <c r="P3" s="99" t="s">
        <v>3</v>
      </c>
      <c r="Q3" s="99"/>
      <c r="R3" s="99"/>
      <c r="S3" s="99"/>
      <c r="T3" s="99" t="s">
        <v>4</v>
      </c>
      <c r="U3" s="99" t="s">
        <v>6</v>
      </c>
      <c r="V3" s="101" t="s">
        <v>5</v>
      </c>
    </row>
    <row r="4" spans="1:22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0"/>
      <c r="U4" s="100"/>
      <c r="V4" s="102"/>
    </row>
    <row r="5" spans="2:21" ht="15.75">
      <c r="B5" s="103" t="s">
        <v>36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56" t="s">
        <v>653</v>
      </c>
      <c r="B6" s="68" t="s">
        <v>428</v>
      </c>
      <c r="C6" s="6" t="s">
        <v>429</v>
      </c>
      <c r="D6" s="6" t="s">
        <v>430</v>
      </c>
      <c r="E6" s="6" t="str">
        <f>"0,7595"</f>
        <v>0,7595</v>
      </c>
      <c r="F6" s="6" t="s">
        <v>47</v>
      </c>
      <c r="G6" s="6" t="s">
        <v>431</v>
      </c>
      <c r="H6" s="85" t="s">
        <v>158</v>
      </c>
      <c r="I6" s="92" t="s">
        <v>160</v>
      </c>
      <c r="J6" s="85" t="s">
        <v>359</v>
      </c>
      <c r="K6" s="76"/>
      <c r="L6" s="85" t="s">
        <v>71</v>
      </c>
      <c r="M6" s="92" t="s">
        <v>62</v>
      </c>
      <c r="N6" s="76"/>
      <c r="O6" s="76"/>
      <c r="P6" s="85" t="s">
        <v>359</v>
      </c>
      <c r="Q6" s="85" t="s">
        <v>364</v>
      </c>
      <c r="R6" s="85" t="s">
        <v>384</v>
      </c>
      <c r="S6" s="76"/>
      <c r="T6" s="75" t="s">
        <v>669</v>
      </c>
      <c r="U6" s="75" t="str">
        <f>"372,1550"</f>
        <v>372,1550</v>
      </c>
      <c r="V6" s="6" t="s">
        <v>597</v>
      </c>
    </row>
    <row r="8" spans="2:21" ht="15.75">
      <c r="B8" s="105" t="s">
        <v>144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2" ht="12.75">
      <c r="A9" s="56" t="s">
        <v>653</v>
      </c>
      <c r="B9" s="69" t="s">
        <v>432</v>
      </c>
      <c r="C9" s="7" t="s">
        <v>433</v>
      </c>
      <c r="D9" s="7" t="s">
        <v>434</v>
      </c>
      <c r="E9" s="7" t="str">
        <f>"0,6519"</f>
        <v>0,6519</v>
      </c>
      <c r="F9" s="7" t="s">
        <v>647</v>
      </c>
      <c r="G9" s="7" t="s">
        <v>435</v>
      </c>
      <c r="H9" s="86" t="s">
        <v>405</v>
      </c>
      <c r="I9" s="86" t="s">
        <v>436</v>
      </c>
      <c r="J9" s="93" t="s">
        <v>332</v>
      </c>
      <c r="K9" s="78"/>
      <c r="L9" s="93" t="s">
        <v>120</v>
      </c>
      <c r="M9" s="86" t="s">
        <v>104</v>
      </c>
      <c r="N9" s="93" t="s">
        <v>96</v>
      </c>
      <c r="O9" s="78"/>
      <c r="P9" s="86" t="s">
        <v>319</v>
      </c>
      <c r="Q9" s="93" t="s">
        <v>405</v>
      </c>
      <c r="R9" s="93" t="s">
        <v>405</v>
      </c>
      <c r="S9" s="78"/>
      <c r="T9" s="77" t="s">
        <v>670</v>
      </c>
      <c r="U9" s="77" t="str">
        <f>"405,8077"</f>
        <v>405,8077</v>
      </c>
      <c r="V9" s="7" t="s">
        <v>75</v>
      </c>
    </row>
    <row r="10" spans="1:22" ht="12.75">
      <c r="A10" s="56" t="s">
        <v>654</v>
      </c>
      <c r="B10" s="70" t="s">
        <v>437</v>
      </c>
      <c r="C10" s="8" t="s">
        <v>438</v>
      </c>
      <c r="D10" s="8" t="s">
        <v>177</v>
      </c>
      <c r="E10" s="8" t="str">
        <f>"0,6536"</f>
        <v>0,6536</v>
      </c>
      <c r="F10" s="8" t="s">
        <v>47</v>
      </c>
      <c r="G10" s="8" t="s">
        <v>48</v>
      </c>
      <c r="H10" s="87" t="s">
        <v>325</v>
      </c>
      <c r="I10" s="91" t="s">
        <v>384</v>
      </c>
      <c r="J10" s="87" t="s">
        <v>281</v>
      </c>
      <c r="K10" s="80"/>
      <c r="L10" s="87" t="s">
        <v>96</v>
      </c>
      <c r="M10" s="91" t="s">
        <v>97</v>
      </c>
      <c r="N10" s="91" t="s">
        <v>97</v>
      </c>
      <c r="O10" s="80"/>
      <c r="P10" s="87" t="s">
        <v>393</v>
      </c>
      <c r="Q10" s="87" t="s">
        <v>413</v>
      </c>
      <c r="R10" s="91" t="s">
        <v>319</v>
      </c>
      <c r="S10" s="80"/>
      <c r="T10" s="79" t="s">
        <v>671</v>
      </c>
      <c r="U10" s="79" t="str">
        <f>"382,3560"</f>
        <v>382,3560</v>
      </c>
      <c r="V10" s="8" t="s">
        <v>92</v>
      </c>
    </row>
    <row r="12" spans="2:21" ht="15.75">
      <c r="B12" s="105" t="s">
        <v>201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2" ht="12.75">
      <c r="A13" s="56" t="s">
        <v>653</v>
      </c>
      <c r="B13" s="69" t="s">
        <v>439</v>
      </c>
      <c r="C13" s="7" t="s">
        <v>440</v>
      </c>
      <c r="D13" s="7" t="s">
        <v>441</v>
      </c>
      <c r="E13" s="7" t="str">
        <f>"0,5885"</f>
        <v>0,5885</v>
      </c>
      <c r="F13" s="7" t="s">
        <v>647</v>
      </c>
      <c r="G13" s="7" t="s">
        <v>442</v>
      </c>
      <c r="H13" s="86" t="s">
        <v>332</v>
      </c>
      <c r="I13" s="86" t="s">
        <v>329</v>
      </c>
      <c r="J13" s="93" t="s">
        <v>443</v>
      </c>
      <c r="K13" s="78"/>
      <c r="L13" s="93" t="s">
        <v>160</v>
      </c>
      <c r="M13" s="86" t="s">
        <v>359</v>
      </c>
      <c r="N13" s="93" t="s">
        <v>187</v>
      </c>
      <c r="O13" s="78"/>
      <c r="P13" s="86" t="s">
        <v>436</v>
      </c>
      <c r="Q13" s="86" t="s">
        <v>444</v>
      </c>
      <c r="R13" s="93" t="s">
        <v>321</v>
      </c>
      <c r="S13" s="78"/>
      <c r="T13" s="77" t="s">
        <v>455</v>
      </c>
      <c r="U13" s="77" t="str">
        <f>"420,7775"</f>
        <v>420,7775</v>
      </c>
      <c r="V13" s="7" t="s">
        <v>75</v>
      </c>
    </row>
    <row r="14" spans="1:22" ht="12.75">
      <c r="A14" s="56" t="s">
        <v>654</v>
      </c>
      <c r="B14" s="70" t="s">
        <v>445</v>
      </c>
      <c r="C14" s="8" t="s">
        <v>446</v>
      </c>
      <c r="D14" s="8" t="s">
        <v>447</v>
      </c>
      <c r="E14" s="8" t="str">
        <f>"0,6002"</f>
        <v>0,6002</v>
      </c>
      <c r="F14" s="8" t="s">
        <v>647</v>
      </c>
      <c r="G14" s="8" t="s">
        <v>48</v>
      </c>
      <c r="H14" s="91" t="s">
        <v>393</v>
      </c>
      <c r="I14" s="87" t="s">
        <v>393</v>
      </c>
      <c r="J14" s="91" t="s">
        <v>394</v>
      </c>
      <c r="K14" s="80"/>
      <c r="L14" s="87" t="s">
        <v>97</v>
      </c>
      <c r="M14" s="87" t="s">
        <v>158</v>
      </c>
      <c r="N14" s="91" t="s">
        <v>160</v>
      </c>
      <c r="O14" s="80"/>
      <c r="P14" s="87" t="s">
        <v>325</v>
      </c>
      <c r="Q14" s="87" t="s">
        <v>413</v>
      </c>
      <c r="R14" s="91" t="s">
        <v>405</v>
      </c>
      <c r="S14" s="80"/>
      <c r="T14" s="79" t="s">
        <v>672</v>
      </c>
      <c r="U14" s="79" t="str">
        <f>"363,1210"</f>
        <v>363,1210</v>
      </c>
      <c r="V14" s="8" t="s">
        <v>598</v>
      </c>
    </row>
    <row r="16" spans="2:21" ht="15.75">
      <c r="B16" s="105" t="s">
        <v>218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2" ht="12.75">
      <c r="A17" s="56" t="s">
        <v>653</v>
      </c>
      <c r="B17" s="68" t="s">
        <v>448</v>
      </c>
      <c r="C17" s="6" t="s">
        <v>449</v>
      </c>
      <c r="D17" s="6" t="s">
        <v>450</v>
      </c>
      <c r="E17" s="6" t="str">
        <f>"0,5824"</f>
        <v>0,5824</v>
      </c>
      <c r="F17" s="6" t="s">
        <v>647</v>
      </c>
      <c r="G17" s="6" t="s">
        <v>451</v>
      </c>
      <c r="H17" s="85" t="s">
        <v>452</v>
      </c>
      <c r="I17" s="85" t="s">
        <v>329</v>
      </c>
      <c r="J17" s="92" t="s">
        <v>443</v>
      </c>
      <c r="K17" s="76"/>
      <c r="L17" s="85" t="s">
        <v>363</v>
      </c>
      <c r="M17" s="85" t="s">
        <v>325</v>
      </c>
      <c r="N17" s="92" t="s">
        <v>453</v>
      </c>
      <c r="O17" s="76"/>
      <c r="P17" s="85" t="s">
        <v>394</v>
      </c>
      <c r="Q17" s="85" t="s">
        <v>436</v>
      </c>
      <c r="R17" s="92" t="s">
        <v>454</v>
      </c>
      <c r="S17" s="76"/>
      <c r="T17" s="75" t="s">
        <v>673</v>
      </c>
      <c r="U17" s="75" t="str">
        <f>"419,3280"</f>
        <v>419,3280</v>
      </c>
      <c r="V17" s="6" t="s">
        <v>75</v>
      </c>
    </row>
    <row r="20" spans="2:3" ht="18">
      <c r="B20" s="36" t="s">
        <v>223</v>
      </c>
      <c r="C20" s="36"/>
    </row>
    <row r="21" spans="2:3" ht="15.75">
      <c r="B21" s="37" t="s">
        <v>231</v>
      </c>
      <c r="C21" s="37"/>
    </row>
    <row r="22" spans="2:3" ht="13.5">
      <c r="B22" s="72"/>
      <c r="C22" s="44" t="s">
        <v>225</v>
      </c>
    </row>
    <row r="23" spans="2:6" ht="13.5">
      <c r="B23" s="39" t="s">
        <v>226</v>
      </c>
      <c r="C23" s="45" t="s">
        <v>227</v>
      </c>
      <c r="D23" s="45" t="s">
        <v>228</v>
      </c>
      <c r="E23" s="45" t="s">
        <v>229</v>
      </c>
      <c r="F23" s="11" t="s">
        <v>230</v>
      </c>
    </row>
    <row r="24" spans="1:6" ht="12.75">
      <c r="A24" s="56" t="s">
        <v>653</v>
      </c>
      <c r="B24" s="74" t="s">
        <v>439</v>
      </c>
      <c r="C24" s="1" t="s">
        <v>225</v>
      </c>
      <c r="D24" s="56" t="s">
        <v>648</v>
      </c>
      <c r="E24" s="56" t="s">
        <v>455</v>
      </c>
      <c r="F24" s="56" t="s">
        <v>456</v>
      </c>
    </row>
  </sheetData>
  <sheetProtection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6:U16"/>
    <mergeCell ref="T3:T4"/>
    <mergeCell ref="U3:U4"/>
    <mergeCell ref="V3:V4"/>
    <mergeCell ref="B5:U5"/>
    <mergeCell ref="B8:U8"/>
    <mergeCell ref="B12:U12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1">
      <selection activeCell="A30" sqref="A30:IV30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7.125" style="5" bestFit="1" customWidth="1"/>
    <col min="4" max="4" width="10.625" style="5" bestFit="1" customWidth="1"/>
    <col min="5" max="5" width="9.125" style="5" bestFit="1" customWidth="1"/>
    <col min="6" max="6" width="22.75390625" style="5" bestFit="1" customWidth="1"/>
    <col min="7" max="7" width="28.625" style="5" bestFit="1" customWidth="1"/>
    <col min="8" max="10" width="5.625" style="56" bestFit="1" customWidth="1"/>
    <col min="11" max="11" width="4.625" style="56" bestFit="1" customWidth="1"/>
    <col min="12" max="14" width="5.625" style="56" bestFit="1" customWidth="1"/>
    <col min="15" max="15" width="4.625" style="56" bestFit="1" customWidth="1"/>
    <col min="16" max="18" width="5.625" style="56" bestFit="1" customWidth="1"/>
    <col min="19" max="19" width="4.625" style="56" bestFit="1" customWidth="1"/>
    <col min="20" max="20" width="7.875" style="56" bestFit="1" customWidth="1"/>
    <col min="21" max="21" width="11.125" style="56" bestFit="1" customWidth="1"/>
    <col min="22" max="22" width="19.00390625" style="5" customWidth="1"/>
    <col min="23" max="16384" width="9.125" style="1" customWidth="1"/>
  </cols>
  <sheetData>
    <row r="1" spans="2:22" ht="15" customHeight="1">
      <c r="B1" s="107" t="s">
        <v>721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2:22" ht="105.7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1</v>
      </c>
      <c r="I3" s="99"/>
      <c r="J3" s="99"/>
      <c r="K3" s="99"/>
      <c r="L3" s="99" t="s">
        <v>2</v>
      </c>
      <c r="M3" s="99"/>
      <c r="N3" s="99"/>
      <c r="O3" s="99"/>
      <c r="P3" s="99" t="s">
        <v>3</v>
      </c>
      <c r="Q3" s="99"/>
      <c r="R3" s="99"/>
      <c r="S3" s="99"/>
      <c r="T3" s="99" t="s">
        <v>4</v>
      </c>
      <c r="U3" s="99" t="s">
        <v>6</v>
      </c>
      <c r="V3" s="101" t="s">
        <v>5</v>
      </c>
    </row>
    <row r="4" spans="1:22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0"/>
      <c r="U4" s="100"/>
      <c r="V4" s="102"/>
    </row>
    <row r="5" spans="2:21" ht="15.75">
      <c r="B5" s="122" t="s">
        <v>22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2" ht="12.75">
      <c r="A6" s="56" t="s">
        <v>653</v>
      </c>
      <c r="B6" s="68" t="s">
        <v>473</v>
      </c>
      <c r="C6" s="6" t="s">
        <v>474</v>
      </c>
      <c r="D6" s="6" t="s">
        <v>475</v>
      </c>
      <c r="E6" s="6" t="s">
        <v>587</v>
      </c>
      <c r="F6" s="6" t="s">
        <v>647</v>
      </c>
      <c r="G6" s="6" t="s">
        <v>14</v>
      </c>
      <c r="H6" s="85" t="s">
        <v>55</v>
      </c>
      <c r="I6" s="85" t="s">
        <v>27</v>
      </c>
      <c r="J6" s="85" t="s">
        <v>28</v>
      </c>
      <c r="K6" s="76"/>
      <c r="L6" s="85" t="s">
        <v>476</v>
      </c>
      <c r="M6" s="92" t="s">
        <v>42</v>
      </c>
      <c r="N6" s="92" t="s">
        <v>42</v>
      </c>
      <c r="O6" s="76"/>
      <c r="P6" s="92" t="s">
        <v>153</v>
      </c>
      <c r="Q6" s="85" t="s">
        <v>153</v>
      </c>
      <c r="R6" s="92" t="s">
        <v>149</v>
      </c>
      <c r="S6" s="76"/>
      <c r="T6" s="75" t="s">
        <v>453</v>
      </c>
      <c r="U6" s="75" t="s">
        <v>499</v>
      </c>
      <c r="V6" s="6" t="s">
        <v>582</v>
      </c>
    </row>
    <row r="8" spans="2:21" ht="15.75">
      <c r="B8" s="120" t="s">
        <v>17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2" ht="12.75">
      <c r="A9" s="56" t="s">
        <v>653</v>
      </c>
      <c r="B9" s="68" t="s">
        <v>477</v>
      </c>
      <c r="C9" s="6" t="s">
        <v>478</v>
      </c>
      <c r="D9" s="6" t="s">
        <v>479</v>
      </c>
      <c r="E9" s="6" t="s">
        <v>588</v>
      </c>
      <c r="F9" s="6" t="s">
        <v>54</v>
      </c>
      <c r="G9" s="6" t="s">
        <v>14</v>
      </c>
      <c r="H9" s="85" t="s">
        <v>70</v>
      </c>
      <c r="I9" s="85" t="s">
        <v>71</v>
      </c>
      <c r="J9" s="92" t="s">
        <v>62</v>
      </c>
      <c r="K9" s="76"/>
      <c r="L9" s="85" t="s">
        <v>34</v>
      </c>
      <c r="M9" s="85" t="s">
        <v>27</v>
      </c>
      <c r="N9" s="92" t="s">
        <v>28</v>
      </c>
      <c r="O9" s="76"/>
      <c r="P9" s="85" t="s">
        <v>71</v>
      </c>
      <c r="Q9" s="85" t="s">
        <v>62</v>
      </c>
      <c r="R9" s="85" t="s">
        <v>91</v>
      </c>
      <c r="S9" s="76"/>
      <c r="T9" s="75" t="s">
        <v>674</v>
      </c>
      <c r="U9" s="75" t="s">
        <v>503</v>
      </c>
      <c r="V9" s="6" t="s">
        <v>582</v>
      </c>
    </row>
    <row r="11" spans="2:21" ht="15.75">
      <c r="B11" s="120" t="s">
        <v>718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2" ht="12.75">
      <c r="A12" s="56" t="s">
        <v>653</v>
      </c>
      <c r="B12" s="69" t="s">
        <v>480</v>
      </c>
      <c r="C12" s="7" t="s">
        <v>481</v>
      </c>
      <c r="D12" s="7" t="s">
        <v>482</v>
      </c>
      <c r="E12" s="7" t="s">
        <v>589</v>
      </c>
      <c r="F12" s="7" t="s">
        <v>54</v>
      </c>
      <c r="G12" s="7" t="s">
        <v>14</v>
      </c>
      <c r="H12" s="86" t="s">
        <v>120</v>
      </c>
      <c r="I12" s="86" t="s">
        <v>97</v>
      </c>
      <c r="J12" s="86" t="s">
        <v>193</v>
      </c>
      <c r="K12" s="78"/>
      <c r="L12" s="86" t="s">
        <v>50</v>
      </c>
      <c r="M12" s="86" t="s">
        <v>483</v>
      </c>
      <c r="N12" s="93" t="s">
        <v>70</v>
      </c>
      <c r="O12" s="78"/>
      <c r="P12" s="86" t="s">
        <v>120</v>
      </c>
      <c r="Q12" s="86" t="s">
        <v>125</v>
      </c>
      <c r="R12" s="93" t="s">
        <v>97</v>
      </c>
      <c r="S12" s="78"/>
      <c r="T12" s="77" t="s">
        <v>500</v>
      </c>
      <c r="U12" s="95" t="s">
        <v>501</v>
      </c>
      <c r="V12" s="7" t="s">
        <v>582</v>
      </c>
    </row>
    <row r="13" spans="1:22" ht="12.75">
      <c r="A13" s="56" t="s">
        <v>653</v>
      </c>
      <c r="B13" s="70" t="s">
        <v>484</v>
      </c>
      <c r="C13" s="8" t="s">
        <v>485</v>
      </c>
      <c r="D13" s="8" t="s">
        <v>486</v>
      </c>
      <c r="E13" s="8" t="s">
        <v>590</v>
      </c>
      <c r="F13" s="8" t="s">
        <v>647</v>
      </c>
      <c r="G13" s="8" t="s">
        <v>664</v>
      </c>
      <c r="H13" s="91" t="s">
        <v>96</v>
      </c>
      <c r="I13" s="87" t="s">
        <v>96</v>
      </c>
      <c r="J13" s="87" t="s">
        <v>193</v>
      </c>
      <c r="K13" s="80"/>
      <c r="L13" s="87" t="s">
        <v>62</v>
      </c>
      <c r="M13" s="91" t="s">
        <v>63</v>
      </c>
      <c r="N13" s="87" t="s">
        <v>63</v>
      </c>
      <c r="O13" s="80"/>
      <c r="P13" s="87" t="s">
        <v>193</v>
      </c>
      <c r="Q13" s="87" t="s">
        <v>159</v>
      </c>
      <c r="R13" s="91" t="s">
        <v>160</v>
      </c>
      <c r="S13" s="80"/>
      <c r="T13" s="79" t="s">
        <v>675</v>
      </c>
      <c r="U13" s="79" t="s">
        <v>509</v>
      </c>
      <c r="V13" s="8" t="s">
        <v>92</v>
      </c>
    </row>
    <row r="15" spans="2:21" ht="15.75">
      <c r="B15" s="120" t="s">
        <v>36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2" ht="12.75">
      <c r="A16" s="56" t="s">
        <v>653</v>
      </c>
      <c r="B16" s="69" t="s">
        <v>487</v>
      </c>
      <c r="C16" s="7" t="s">
        <v>488</v>
      </c>
      <c r="D16" s="7" t="s">
        <v>489</v>
      </c>
      <c r="E16" s="7" t="s">
        <v>591</v>
      </c>
      <c r="F16" s="7" t="s">
        <v>101</v>
      </c>
      <c r="G16" s="7" t="s">
        <v>102</v>
      </c>
      <c r="H16" s="86" t="s">
        <v>159</v>
      </c>
      <c r="I16" s="86" t="s">
        <v>160</v>
      </c>
      <c r="J16" s="86" t="s">
        <v>186</v>
      </c>
      <c r="K16" s="78"/>
      <c r="L16" s="86" t="s">
        <v>96</v>
      </c>
      <c r="M16" s="93" t="s">
        <v>97</v>
      </c>
      <c r="N16" s="86" t="s">
        <v>97</v>
      </c>
      <c r="O16" s="78"/>
      <c r="P16" s="86" t="s">
        <v>325</v>
      </c>
      <c r="Q16" s="86" t="s">
        <v>384</v>
      </c>
      <c r="R16" s="93" t="s">
        <v>393</v>
      </c>
      <c r="S16" s="78"/>
      <c r="T16" s="77" t="s">
        <v>507</v>
      </c>
      <c r="U16" s="77" t="s">
        <v>508</v>
      </c>
      <c r="V16" s="7" t="s">
        <v>92</v>
      </c>
    </row>
    <row r="17" spans="1:22" ht="12.75">
      <c r="A17" s="56" t="s">
        <v>654</v>
      </c>
      <c r="B17" s="70" t="s">
        <v>490</v>
      </c>
      <c r="C17" s="8" t="s">
        <v>491</v>
      </c>
      <c r="D17" s="8" t="s">
        <v>95</v>
      </c>
      <c r="E17" s="8" t="s">
        <v>592</v>
      </c>
      <c r="F17" s="8" t="s">
        <v>647</v>
      </c>
      <c r="G17" s="8" t="s">
        <v>664</v>
      </c>
      <c r="H17" s="87" t="s">
        <v>120</v>
      </c>
      <c r="I17" s="87" t="s">
        <v>97</v>
      </c>
      <c r="J17" s="91" t="s">
        <v>193</v>
      </c>
      <c r="K17" s="80"/>
      <c r="L17" s="87" t="s">
        <v>71</v>
      </c>
      <c r="M17" s="91" t="s">
        <v>109</v>
      </c>
      <c r="N17" s="91" t="s">
        <v>109</v>
      </c>
      <c r="O17" s="80"/>
      <c r="P17" s="91" t="s">
        <v>359</v>
      </c>
      <c r="Q17" s="87" t="s">
        <v>359</v>
      </c>
      <c r="R17" s="91" t="s">
        <v>363</v>
      </c>
      <c r="S17" s="80"/>
      <c r="T17" s="79" t="s">
        <v>676</v>
      </c>
      <c r="U17" s="79" t="s">
        <v>510</v>
      </c>
      <c r="V17" s="8" t="s">
        <v>92</v>
      </c>
    </row>
    <row r="19" spans="2:21" ht="15.75">
      <c r="B19" s="120" t="s">
        <v>114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2" ht="12.75">
      <c r="A20" s="56" t="s">
        <v>653</v>
      </c>
      <c r="B20" s="68" t="s">
        <v>371</v>
      </c>
      <c r="C20" s="6" t="s">
        <v>372</v>
      </c>
      <c r="D20" s="6" t="s">
        <v>373</v>
      </c>
      <c r="E20" s="6" t="s">
        <v>593</v>
      </c>
      <c r="F20" s="6" t="s">
        <v>54</v>
      </c>
      <c r="G20" s="6" t="s">
        <v>14</v>
      </c>
      <c r="H20" s="92" t="s">
        <v>62</v>
      </c>
      <c r="I20" s="85" t="s">
        <v>62</v>
      </c>
      <c r="J20" s="92" t="s">
        <v>64</v>
      </c>
      <c r="K20" s="76"/>
      <c r="L20" s="85" t="s">
        <v>49</v>
      </c>
      <c r="M20" s="85" t="s">
        <v>29</v>
      </c>
      <c r="N20" s="92" t="s">
        <v>50</v>
      </c>
      <c r="O20" s="76"/>
      <c r="P20" s="85" t="s">
        <v>119</v>
      </c>
      <c r="Q20" s="85" t="s">
        <v>125</v>
      </c>
      <c r="R20" s="85" t="s">
        <v>193</v>
      </c>
      <c r="S20" s="76"/>
      <c r="T20" s="75" t="s">
        <v>677</v>
      </c>
      <c r="U20" s="75" t="s">
        <v>504</v>
      </c>
      <c r="V20" s="6" t="s">
        <v>582</v>
      </c>
    </row>
    <row r="22" spans="2:21" ht="15.75">
      <c r="B22" s="120" t="s">
        <v>144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2" ht="12.75">
      <c r="A23" s="56" t="s">
        <v>653</v>
      </c>
      <c r="B23" s="68" t="s">
        <v>492</v>
      </c>
      <c r="C23" s="6" t="s">
        <v>493</v>
      </c>
      <c r="D23" s="6" t="s">
        <v>494</v>
      </c>
      <c r="E23" s="6" t="s">
        <v>594</v>
      </c>
      <c r="F23" s="6" t="s">
        <v>54</v>
      </c>
      <c r="G23" s="6" t="s">
        <v>14</v>
      </c>
      <c r="H23" s="85" t="s">
        <v>120</v>
      </c>
      <c r="I23" s="85" t="s">
        <v>97</v>
      </c>
      <c r="J23" s="92" t="s">
        <v>158</v>
      </c>
      <c r="K23" s="76"/>
      <c r="L23" s="92" t="s">
        <v>63</v>
      </c>
      <c r="M23" s="85" t="s">
        <v>63</v>
      </c>
      <c r="N23" s="92" t="s">
        <v>64</v>
      </c>
      <c r="O23" s="76"/>
      <c r="P23" s="85" t="s">
        <v>96</v>
      </c>
      <c r="Q23" s="85" t="s">
        <v>193</v>
      </c>
      <c r="R23" s="85" t="s">
        <v>160</v>
      </c>
      <c r="S23" s="76"/>
      <c r="T23" s="75" t="s">
        <v>675</v>
      </c>
      <c r="U23" s="75" t="s">
        <v>502</v>
      </c>
      <c r="V23" s="6" t="s">
        <v>582</v>
      </c>
    </row>
    <row r="25" spans="2:21" ht="15.75">
      <c r="B25" s="120" t="s">
        <v>178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2" ht="12.75">
      <c r="A26" s="56" t="s">
        <v>653</v>
      </c>
      <c r="B26" s="68" t="s">
        <v>495</v>
      </c>
      <c r="C26" s="6" t="s">
        <v>496</v>
      </c>
      <c r="D26" s="6" t="s">
        <v>497</v>
      </c>
      <c r="E26" s="6" t="s">
        <v>595</v>
      </c>
      <c r="F26" s="6" t="s">
        <v>54</v>
      </c>
      <c r="G26" s="6" t="s">
        <v>14</v>
      </c>
      <c r="H26" s="85" t="s">
        <v>62</v>
      </c>
      <c r="I26" s="92" t="s">
        <v>63</v>
      </c>
      <c r="J26" s="85" t="s">
        <v>64</v>
      </c>
      <c r="K26" s="76"/>
      <c r="L26" s="85" t="s">
        <v>69</v>
      </c>
      <c r="M26" s="85" t="s">
        <v>153</v>
      </c>
      <c r="N26" s="92" t="s">
        <v>149</v>
      </c>
      <c r="O26" s="76"/>
      <c r="P26" s="85" t="s">
        <v>140</v>
      </c>
      <c r="Q26" s="92" t="s">
        <v>97</v>
      </c>
      <c r="R26" s="85" t="s">
        <v>97</v>
      </c>
      <c r="S26" s="76"/>
      <c r="T26" s="75" t="s">
        <v>678</v>
      </c>
      <c r="U26" s="75" t="s">
        <v>505</v>
      </c>
      <c r="V26" s="6" t="s">
        <v>582</v>
      </c>
    </row>
    <row r="28" spans="2:21" ht="15.75">
      <c r="B28" s="120" t="s">
        <v>201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2" ht="12.75">
      <c r="A29" s="56" t="s">
        <v>653</v>
      </c>
      <c r="B29" s="68" t="s">
        <v>406</v>
      </c>
      <c r="C29" s="6" t="s">
        <v>407</v>
      </c>
      <c r="D29" s="6" t="s">
        <v>408</v>
      </c>
      <c r="E29" s="6" t="s">
        <v>596</v>
      </c>
      <c r="F29" s="6" t="s">
        <v>54</v>
      </c>
      <c r="G29" s="6" t="s">
        <v>14</v>
      </c>
      <c r="H29" s="85" t="s">
        <v>393</v>
      </c>
      <c r="I29" s="85" t="s">
        <v>319</v>
      </c>
      <c r="J29" s="92" t="s">
        <v>405</v>
      </c>
      <c r="K29" s="76"/>
      <c r="L29" s="85" t="s">
        <v>113</v>
      </c>
      <c r="M29" s="85" t="s">
        <v>135</v>
      </c>
      <c r="N29" s="85" t="s">
        <v>120</v>
      </c>
      <c r="O29" s="76"/>
      <c r="P29" s="85" t="s">
        <v>498</v>
      </c>
      <c r="Q29" s="85" t="s">
        <v>465</v>
      </c>
      <c r="R29" s="85" t="s">
        <v>409</v>
      </c>
      <c r="S29" s="76"/>
      <c r="T29" s="75" t="s">
        <v>670</v>
      </c>
      <c r="U29" s="75" t="s">
        <v>506</v>
      </c>
      <c r="V29" s="6" t="s">
        <v>582</v>
      </c>
    </row>
    <row r="30" ht="15.75">
      <c r="F30" s="10"/>
    </row>
    <row r="32" spans="2:3" ht="18">
      <c r="B32" s="36" t="s">
        <v>223</v>
      </c>
      <c r="C32" s="36"/>
    </row>
    <row r="33" spans="2:3" ht="15.75">
      <c r="B33" s="37" t="s">
        <v>231</v>
      </c>
      <c r="C33" s="37"/>
    </row>
    <row r="34" spans="2:3" ht="13.5">
      <c r="B34" s="38"/>
      <c r="C34" s="44" t="s">
        <v>232</v>
      </c>
    </row>
    <row r="35" spans="2:6" ht="13.5">
      <c r="B35" s="11" t="s">
        <v>226</v>
      </c>
      <c r="C35" s="45" t="s">
        <v>227</v>
      </c>
      <c r="D35" s="45" t="s">
        <v>228</v>
      </c>
      <c r="E35" s="45" t="s">
        <v>229</v>
      </c>
      <c r="F35" s="11" t="s">
        <v>230</v>
      </c>
    </row>
    <row r="36" spans="1:6" ht="12.75">
      <c r="A36" s="56" t="s">
        <v>653</v>
      </c>
      <c r="B36" s="40" t="s">
        <v>480</v>
      </c>
      <c r="C36" s="1" t="s">
        <v>233</v>
      </c>
      <c r="D36" s="56" t="s">
        <v>649</v>
      </c>
      <c r="E36" s="56" t="s">
        <v>500</v>
      </c>
      <c r="F36" s="56" t="s">
        <v>501</v>
      </c>
    </row>
    <row r="37" spans="2:6" ht="12.75">
      <c r="B37" s="40"/>
      <c r="F37" s="4"/>
    </row>
    <row r="38" spans="2:3" ht="13.5">
      <c r="B38" s="38"/>
      <c r="C38" s="44" t="s">
        <v>225</v>
      </c>
    </row>
    <row r="39" spans="2:6" ht="13.5">
      <c r="B39" s="11" t="s">
        <v>226</v>
      </c>
      <c r="C39" s="45" t="s">
        <v>227</v>
      </c>
      <c r="D39" s="45" t="s">
        <v>228</v>
      </c>
      <c r="E39" s="45" t="s">
        <v>229</v>
      </c>
      <c r="F39" s="11" t="s">
        <v>230</v>
      </c>
    </row>
    <row r="40" spans="1:6" ht="12.75">
      <c r="A40" s="56" t="s">
        <v>653</v>
      </c>
      <c r="B40" s="40" t="s">
        <v>487</v>
      </c>
      <c r="C40" s="1" t="s">
        <v>225</v>
      </c>
      <c r="D40" s="56" t="s">
        <v>659</v>
      </c>
      <c r="E40" s="56" t="s">
        <v>507</v>
      </c>
      <c r="F40" s="56" t="s">
        <v>508</v>
      </c>
    </row>
  </sheetData>
  <sheetProtection/>
  <mergeCells count="22"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B25:U25"/>
    <mergeCell ref="B28:U28"/>
    <mergeCell ref="T3:T4"/>
    <mergeCell ref="U3:U4"/>
    <mergeCell ref="G3:G4"/>
    <mergeCell ref="H3:K3"/>
    <mergeCell ref="P3:S3"/>
    <mergeCell ref="L3:O3"/>
    <mergeCell ref="A3:A4"/>
    <mergeCell ref="F3:F4"/>
    <mergeCell ref="B15:U15"/>
    <mergeCell ref="B19:U19"/>
    <mergeCell ref="B22:U22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workbookViewId="0" topLeftCell="A1">
      <selection activeCell="G13" sqref="G13"/>
    </sheetView>
  </sheetViews>
  <sheetFormatPr defaultColWidth="9.125" defaultRowHeight="12.75"/>
  <cols>
    <col min="1" max="1" width="9.125" style="56" customWidth="1"/>
    <col min="2" max="2" width="21.75390625" style="35" customWidth="1"/>
    <col min="3" max="3" width="26.875" style="5" bestFit="1" customWidth="1"/>
    <col min="4" max="4" width="10.625" style="5" bestFit="1" customWidth="1"/>
    <col min="5" max="5" width="8.375" style="5" bestFit="1" customWidth="1"/>
    <col min="6" max="6" width="14.25390625" style="5" customWidth="1"/>
    <col min="7" max="7" width="28.625" style="5" bestFit="1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11.625" style="1" customWidth="1"/>
    <col min="22" max="22" width="19.125" style="5" bestFit="1" customWidth="1"/>
    <col min="23" max="16384" width="9.125" style="1" customWidth="1"/>
  </cols>
  <sheetData>
    <row r="1" spans="2:22" ht="15" customHeight="1">
      <c r="B1" s="107" t="s">
        <v>722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2:22" ht="102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1</v>
      </c>
      <c r="I3" s="99"/>
      <c r="J3" s="99"/>
      <c r="K3" s="99"/>
      <c r="L3" s="99" t="s">
        <v>2</v>
      </c>
      <c r="M3" s="99"/>
      <c r="N3" s="99"/>
      <c r="O3" s="99"/>
      <c r="P3" s="99" t="s">
        <v>3</v>
      </c>
      <c r="Q3" s="99"/>
      <c r="R3" s="99"/>
      <c r="S3" s="99"/>
      <c r="T3" s="99" t="s">
        <v>4</v>
      </c>
      <c r="U3" s="99" t="s">
        <v>6</v>
      </c>
      <c r="V3" s="101" t="s">
        <v>5</v>
      </c>
    </row>
    <row r="4" spans="1:22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0"/>
      <c r="U4" s="100"/>
      <c r="V4" s="102"/>
    </row>
    <row r="5" spans="2:21" ht="15.75">
      <c r="B5" s="103" t="s">
        <v>22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2" ht="12.75">
      <c r="A6" s="56" t="s">
        <v>653</v>
      </c>
      <c r="B6" s="68" t="s">
        <v>511</v>
      </c>
      <c r="C6" s="6" t="s">
        <v>512</v>
      </c>
      <c r="D6" s="6" t="s">
        <v>513</v>
      </c>
      <c r="E6" s="6" t="str">
        <f>"1,0467"</f>
        <v>1,0467</v>
      </c>
      <c r="F6" s="6" t="s">
        <v>647</v>
      </c>
      <c r="G6" s="6" t="s">
        <v>666</v>
      </c>
      <c r="H6" s="85" t="s">
        <v>135</v>
      </c>
      <c r="I6" s="85" t="s">
        <v>120</v>
      </c>
      <c r="J6" s="92" t="s">
        <v>97</v>
      </c>
      <c r="K6" s="76"/>
      <c r="L6" s="85" t="s">
        <v>69</v>
      </c>
      <c r="M6" s="85" t="s">
        <v>349</v>
      </c>
      <c r="N6" s="92" t="s">
        <v>148</v>
      </c>
      <c r="O6" s="76"/>
      <c r="P6" s="85" t="s">
        <v>158</v>
      </c>
      <c r="Q6" s="85" t="s">
        <v>159</v>
      </c>
      <c r="R6" s="85" t="s">
        <v>160</v>
      </c>
      <c r="S6" s="76"/>
      <c r="T6" s="75" t="s">
        <v>679</v>
      </c>
      <c r="U6" s="75" t="str">
        <f>"427,1949"</f>
        <v>427,1949</v>
      </c>
      <c r="V6" s="6" t="s">
        <v>92</v>
      </c>
    </row>
    <row r="8" spans="2:21" ht="15.75">
      <c r="B8" s="105" t="s">
        <v>36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2" ht="12.75">
      <c r="A9" s="56" t="s">
        <v>653</v>
      </c>
      <c r="B9" s="69" t="s">
        <v>514</v>
      </c>
      <c r="C9" s="7" t="s">
        <v>515</v>
      </c>
      <c r="D9" s="7" t="s">
        <v>516</v>
      </c>
      <c r="E9" s="7" t="str">
        <f>"0,7527"</f>
        <v>0,7527</v>
      </c>
      <c r="F9" s="7" t="s">
        <v>47</v>
      </c>
      <c r="G9" s="7" t="s">
        <v>666</v>
      </c>
      <c r="H9" s="86" t="s">
        <v>120</v>
      </c>
      <c r="I9" s="86" t="s">
        <v>97</v>
      </c>
      <c r="J9" s="86" t="s">
        <v>165</v>
      </c>
      <c r="K9" s="78"/>
      <c r="L9" s="86" t="s">
        <v>63</v>
      </c>
      <c r="M9" s="86" t="s">
        <v>83</v>
      </c>
      <c r="N9" s="93" t="s">
        <v>113</v>
      </c>
      <c r="O9" s="78"/>
      <c r="P9" s="86" t="s">
        <v>159</v>
      </c>
      <c r="Q9" s="86" t="s">
        <v>186</v>
      </c>
      <c r="R9" s="86" t="s">
        <v>359</v>
      </c>
      <c r="S9" s="78"/>
      <c r="T9" s="77" t="s">
        <v>680</v>
      </c>
      <c r="U9" s="77" t="str">
        <f>"346,2420"</f>
        <v>346,2420</v>
      </c>
      <c r="V9" s="7" t="s">
        <v>581</v>
      </c>
    </row>
    <row r="10" spans="1:22" ht="12.75">
      <c r="A10" s="56" t="s">
        <v>654</v>
      </c>
      <c r="B10" s="70" t="s">
        <v>517</v>
      </c>
      <c r="C10" s="8" t="s">
        <v>518</v>
      </c>
      <c r="D10" s="8" t="s">
        <v>489</v>
      </c>
      <c r="E10" s="8" t="str">
        <f>"0,7221"</f>
        <v>0,7221</v>
      </c>
      <c r="F10" s="8" t="s">
        <v>647</v>
      </c>
      <c r="G10" s="8" t="s">
        <v>579</v>
      </c>
      <c r="H10" s="87" t="s">
        <v>119</v>
      </c>
      <c r="I10" s="87" t="s">
        <v>104</v>
      </c>
      <c r="J10" s="91" t="s">
        <v>97</v>
      </c>
      <c r="K10" s="80"/>
      <c r="L10" s="87" t="s">
        <v>63</v>
      </c>
      <c r="M10" s="91" t="s">
        <v>64</v>
      </c>
      <c r="N10" s="91" t="s">
        <v>64</v>
      </c>
      <c r="O10" s="80"/>
      <c r="P10" s="91" t="s">
        <v>363</v>
      </c>
      <c r="Q10" s="87" t="s">
        <v>363</v>
      </c>
      <c r="R10" s="87" t="s">
        <v>325</v>
      </c>
      <c r="S10" s="80"/>
      <c r="T10" s="79" t="s">
        <v>681</v>
      </c>
      <c r="U10" s="81" t="str">
        <f>"330,3608"</f>
        <v>330,3608</v>
      </c>
      <c r="V10" s="8" t="s">
        <v>92</v>
      </c>
    </row>
    <row r="12" spans="2:21" ht="15.75">
      <c r="B12" s="105" t="s">
        <v>114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2" ht="12.75">
      <c r="A13" s="56" t="s">
        <v>653</v>
      </c>
      <c r="B13" s="68" t="s">
        <v>263</v>
      </c>
      <c r="C13" s="6" t="s">
        <v>264</v>
      </c>
      <c r="D13" s="6" t="s">
        <v>265</v>
      </c>
      <c r="E13" s="6" t="str">
        <f>"0,6764"</f>
        <v>0,6764</v>
      </c>
      <c r="F13" s="6" t="s">
        <v>647</v>
      </c>
      <c r="G13" s="6" t="s">
        <v>718</v>
      </c>
      <c r="H13" s="85" t="s">
        <v>159</v>
      </c>
      <c r="I13" s="85" t="s">
        <v>359</v>
      </c>
      <c r="J13" s="85" t="s">
        <v>363</v>
      </c>
      <c r="K13" s="76"/>
      <c r="L13" s="85" t="s">
        <v>140</v>
      </c>
      <c r="M13" s="85" t="s">
        <v>120</v>
      </c>
      <c r="N13" s="92" t="s">
        <v>96</v>
      </c>
      <c r="O13" s="76"/>
      <c r="P13" s="85" t="s">
        <v>160</v>
      </c>
      <c r="Q13" s="85" t="s">
        <v>187</v>
      </c>
      <c r="R13" s="85" t="s">
        <v>325</v>
      </c>
      <c r="S13" s="76"/>
      <c r="T13" s="75" t="s">
        <v>682</v>
      </c>
      <c r="U13" s="75" t="str">
        <f>"380,0015"</f>
        <v>380,0015</v>
      </c>
      <c r="V13" s="6" t="s">
        <v>92</v>
      </c>
    </row>
    <row r="15" spans="2:21" ht="15.75">
      <c r="B15" s="105" t="s">
        <v>144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2" ht="12.75">
      <c r="A16" s="56" t="s">
        <v>653</v>
      </c>
      <c r="B16" s="68" t="s">
        <v>519</v>
      </c>
      <c r="C16" s="6" t="s">
        <v>520</v>
      </c>
      <c r="D16" s="6" t="s">
        <v>521</v>
      </c>
      <c r="E16" s="6" t="str">
        <f>"0,6515"</f>
        <v>0,6515</v>
      </c>
      <c r="F16" s="6" t="s">
        <v>647</v>
      </c>
      <c r="G16" s="6" t="s">
        <v>666</v>
      </c>
      <c r="H16" s="85" t="s">
        <v>359</v>
      </c>
      <c r="I16" s="92" t="s">
        <v>363</v>
      </c>
      <c r="J16" s="85" t="s">
        <v>364</v>
      </c>
      <c r="K16" s="76"/>
      <c r="L16" s="85" t="s">
        <v>97</v>
      </c>
      <c r="M16" s="85" t="s">
        <v>158</v>
      </c>
      <c r="N16" s="85" t="s">
        <v>195</v>
      </c>
      <c r="O16" s="76"/>
      <c r="P16" s="85" t="s">
        <v>319</v>
      </c>
      <c r="Q16" s="85" t="s">
        <v>405</v>
      </c>
      <c r="R16" s="92" t="s">
        <v>436</v>
      </c>
      <c r="S16" s="76"/>
      <c r="T16" s="75" t="s">
        <v>537</v>
      </c>
      <c r="U16" s="75" t="str">
        <f>"392,5287"</f>
        <v>392,5287</v>
      </c>
      <c r="V16" s="6" t="s">
        <v>92</v>
      </c>
    </row>
    <row r="18" spans="2:21" ht="15.75">
      <c r="B18" s="105" t="s">
        <v>178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2" ht="12.75">
      <c r="A19" s="56" t="s">
        <v>653</v>
      </c>
      <c r="B19" s="68" t="s">
        <v>522</v>
      </c>
      <c r="C19" s="6" t="s">
        <v>523</v>
      </c>
      <c r="D19" s="6" t="s">
        <v>524</v>
      </c>
      <c r="E19" s="6" t="str">
        <f>"0,6217"</f>
        <v>0,6217</v>
      </c>
      <c r="F19" s="6" t="s">
        <v>647</v>
      </c>
      <c r="G19" s="6" t="s">
        <v>14</v>
      </c>
      <c r="H19" s="85" t="s">
        <v>325</v>
      </c>
      <c r="I19" s="85" t="s">
        <v>393</v>
      </c>
      <c r="J19" s="85" t="s">
        <v>394</v>
      </c>
      <c r="K19" s="76"/>
      <c r="L19" s="85" t="s">
        <v>96</v>
      </c>
      <c r="M19" s="85" t="s">
        <v>193</v>
      </c>
      <c r="N19" s="85" t="s">
        <v>194</v>
      </c>
      <c r="O19" s="76"/>
      <c r="P19" s="85" t="s">
        <v>405</v>
      </c>
      <c r="Q19" s="85" t="s">
        <v>332</v>
      </c>
      <c r="R19" s="92" t="s">
        <v>525</v>
      </c>
      <c r="S19" s="76"/>
      <c r="T19" s="75" t="s">
        <v>535</v>
      </c>
      <c r="U19" s="75" t="str">
        <f>"408,7677"</f>
        <v>408,7677</v>
      </c>
      <c r="V19" s="6" t="s">
        <v>580</v>
      </c>
    </row>
    <row r="21" spans="2:21" ht="15.75">
      <c r="B21" s="105" t="s">
        <v>201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2" ht="12.75">
      <c r="A22" s="56" t="s">
        <v>653</v>
      </c>
      <c r="B22" s="69" t="s">
        <v>526</v>
      </c>
      <c r="C22" s="7" t="s">
        <v>527</v>
      </c>
      <c r="D22" s="7" t="s">
        <v>528</v>
      </c>
      <c r="E22" s="7" t="str">
        <f>"0,5948"</f>
        <v>0,5948</v>
      </c>
      <c r="F22" s="7" t="s">
        <v>647</v>
      </c>
      <c r="G22" s="7" t="s">
        <v>666</v>
      </c>
      <c r="H22" s="93" t="s">
        <v>436</v>
      </c>
      <c r="I22" s="93" t="s">
        <v>436</v>
      </c>
      <c r="J22" s="86" t="s">
        <v>436</v>
      </c>
      <c r="K22" s="78"/>
      <c r="L22" s="86" t="s">
        <v>159</v>
      </c>
      <c r="M22" s="93" t="s">
        <v>186</v>
      </c>
      <c r="N22" s="93" t="s">
        <v>186</v>
      </c>
      <c r="O22" s="78"/>
      <c r="P22" s="86" t="s">
        <v>436</v>
      </c>
      <c r="Q22" s="86" t="s">
        <v>444</v>
      </c>
      <c r="R22" s="93" t="s">
        <v>328</v>
      </c>
      <c r="S22" s="78"/>
      <c r="T22" s="77" t="s">
        <v>533</v>
      </c>
      <c r="U22" s="77" t="str">
        <f>"404,4640"</f>
        <v>404,4640</v>
      </c>
      <c r="V22" s="7" t="s">
        <v>583</v>
      </c>
    </row>
    <row r="23" spans="1:22" ht="12.75">
      <c r="A23" s="56" t="s">
        <v>653</v>
      </c>
      <c r="B23" s="71" t="s">
        <v>526</v>
      </c>
      <c r="C23" s="9" t="s">
        <v>529</v>
      </c>
      <c r="D23" s="9" t="s">
        <v>528</v>
      </c>
      <c r="E23" s="9" t="str">
        <f>"0,5948"</f>
        <v>0,5948</v>
      </c>
      <c r="F23" s="9" t="s">
        <v>647</v>
      </c>
      <c r="G23" s="9" t="s">
        <v>666</v>
      </c>
      <c r="H23" s="90" t="s">
        <v>436</v>
      </c>
      <c r="I23" s="90" t="s">
        <v>436</v>
      </c>
      <c r="J23" s="89" t="s">
        <v>436</v>
      </c>
      <c r="K23" s="82"/>
      <c r="L23" s="89" t="s">
        <v>159</v>
      </c>
      <c r="M23" s="90" t="s">
        <v>186</v>
      </c>
      <c r="N23" s="90" t="s">
        <v>186</v>
      </c>
      <c r="O23" s="82"/>
      <c r="P23" s="89" t="s">
        <v>436</v>
      </c>
      <c r="Q23" s="89" t="s">
        <v>444</v>
      </c>
      <c r="R23" s="90" t="s">
        <v>328</v>
      </c>
      <c r="S23" s="82"/>
      <c r="T23" s="83" t="s">
        <v>533</v>
      </c>
      <c r="U23" s="83" t="str">
        <f>"404,4640"</f>
        <v>404,4640</v>
      </c>
      <c r="V23" s="9" t="s">
        <v>583</v>
      </c>
    </row>
    <row r="24" spans="1:22" ht="12.75">
      <c r="A24" s="56" t="s">
        <v>654</v>
      </c>
      <c r="B24" s="70" t="s">
        <v>530</v>
      </c>
      <c r="C24" s="8" t="s">
        <v>531</v>
      </c>
      <c r="D24" s="8" t="s">
        <v>532</v>
      </c>
      <c r="E24" s="8" t="str">
        <f>"0,5923"</f>
        <v>0,5923</v>
      </c>
      <c r="F24" s="8" t="s">
        <v>54</v>
      </c>
      <c r="G24" s="8" t="s">
        <v>14</v>
      </c>
      <c r="H24" s="87" t="s">
        <v>363</v>
      </c>
      <c r="I24" s="91" t="s">
        <v>325</v>
      </c>
      <c r="J24" s="87" t="s">
        <v>325</v>
      </c>
      <c r="K24" s="80"/>
      <c r="L24" s="87" t="s">
        <v>120</v>
      </c>
      <c r="M24" s="87" t="s">
        <v>97</v>
      </c>
      <c r="N24" s="91" t="s">
        <v>158</v>
      </c>
      <c r="O24" s="80"/>
      <c r="P24" s="91" t="s">
        <v>384</v>
      </c>
      <c r="Q24" s="91" t="s">
        <v>319</v>
      </c>
      <c r="R24" s="87" t="s">
        <v>319</v>
      </c>
      <c r="S24" s="80"/>
      <c r="T24" s="79" t="s">
        <v>683</v>
      </c>
      <c r="U24" s="79" t="str">
        <f>"343,5340"</f>
        <v>343,5340</v>
      </c>
      <c r="V24" s="8" t="s">
        <v>582</v>
      </c>
    </row>
    <row r="25" spans="9:19" ht="12.75">
      <c r="I25" s="17"/>
      <c r="K25" s="17"/>
      <c r="N25" s="17"/>
      <c r="O25" s="17"/>
      <c r="P25" s="17"/>
      <c r="Q25" s="17"/>
      <c r="S25" s="17"/>
    </row>
    <row r="27" spans="2:3" ht="18">
      <c r="B27" s="36" t="s">
        <v>223</v>
      </c>
      <c r="C27" s="36"/>
    </row>
    <row r="29" spans="2:3" ht="15.75">
      <c r="B29" s="37" t="s">
        <v>231</v>
      </c>
      <c r="C29" s="37"/>
    </row>
    <row r="30" spans="2:3" ht="13.5">
      <c r="B30" s="72"/>
      <c r="C30" s="44" t="s">
        <v>225</v>
      </c>
    </row>
    <row r="31" spans="2:6" ht="13.5">
      <c r="B31" s="11" t="s">
        <v>226</v>
      </c>
      <c r="C31" s="45" t="s">
        <v>227</v>
      </c>
      <c r="D31" s="45" t="s">
        <v>228</v>
      </c>
      <c r="E31" s="45" t="s">
        <v>229</v>
      </c>
      <c r="F31" s="11" t="s">
        <v>230</v>
      </c>
    </row>
    <row r="32" spans="1:6" ht="12.75">
      <c r="A32" s="56" t="s">
        <v>653</v>
      </c>
      <c r="B32" s="73" t="s">
        <v>522</v>
      </c>
      <c r="C32" s="1" t="s">
        <v>225</v>
      </c>
      <c r="D32" s="56" t="s">
        <v>658</v>
      </c>
      <c r="E32" s="56" t="s">
        <v>535</v>
      </c>
      <c r="F32" s="56" t="s">
        <v>536</v>
      </c>
    </row>
    <row r="33" spans="1:6" ht="12.75">
      <c r="A33" s="56" t="s">
        <v>654</v>
      </c>
      <c r="B33" s="73" t="s">
        <v>526</v>
      </c>
      <c r="C33" s="1" t="s">
        <v>225</v>
      </c>
      <c r="D33" s="56" t="s">
        <v>648</v>
      </c>
      <c r="E33" s="56" t="s">
        <v>533</v>
      </c>
      <c r="F33" s="56" t="s">
        <v>534</v>
      </c>
    </row>
    <row r="34" spans="1:6" ht="12.75">
      <c r="A34" s="56" t="s">
        <v>655</v>
      </c>
      <c r="B34" s="73" t="s">
        <v>519</v>
      </c>
      <c r="C34" s="1" t="s">
        <v>225</v>
      </c>
      <c r="D34" s="56" t="s">
        <v>651</v>
      </c>
      <c r="E34" s="56" t="s">
        <v>537</v>
      </c>
      <c r="F34" s="56" t="s">
        <v>538</v>
      </c>
    </row>
    <row r="35" spans="2:6" ht="12.75">
      <c r="B35" s="73"/>
      <c r="F35" s="4"/>
    </row>
    <row r="36" spans="2:6" ht="12.75">
      <c r="B36" s="73"/>
      <c r="F36" s="4"/>
    </row>
    <row r="37" spans="2:6" ht="12.75">
      <c r="B37" s="73"/>
      <c r="F37" s="4"/>
    </row>
    <row r="39" spans="2:3" ht="13.5">
      <c r="B39" s="72"/>
      <c r="C39" s="44"/>
    </row>
  </sheetData>
  <sheetProtection/>
  <mergeCells count="20">
    <mergeCell ref="V3:V4"/>
    <mergeCell ref="B5:U5"/>
    <mergeCell ref="B8:U8"/>
    <mergeCell ref="B12:U12"/>
    <mergeCell ref="B1:V2"/>
    <mergeCell ref="B3:B4"/>
    <mergeCell ref="C3:C4"/>
    <mergeCell ref="D3:D4"/>
    <mergeCell ref="E3:E4"/>
    <mergeCell ref="F3:F4"/>
    <mergeCell ref="A3:A4"/>
    <mergeCell ref="B15:U15"/>
    <mergeCell ref="B18:U18"/>
    <mergeCell ref="B21:U21"/>
    <mergeCell ref="T3:T4"/>
    <mergeCell ref="U3:U4"/>
    <mergeCell ref="G3:G4"/>
    <mergeCell ref="H3:K3"/>
    <mergeCell ref="L3:O3"/>
    <mergeCell ref="P3:S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C13" sqref="C13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00390625" style="1" bestFit="1" customWidth="1"/>
    <col min="4" max="4" width="8.875" style="1" customWidth="1"/>
    <col min="5" max="5" width="9.125" style="1" bestFit="1" customWidth="1"/>
    <col min="6" max="6" width="22.75390625" style="5" bestFit="1" customWidth="1"/>
    <col min="7" max="7" width="29.625" style="5" customWidth="1"/>
    <col min="8" max="10" width="5.625" style="1" bestFit="1" customWidth="1"/>
    <col min="11" max="11" width="4.625" style="1" bestFit="1" customWidth="1"/>
    <col min="12" max="12" width="5.875" style="4" customWidth="1"/>
    <col min="13" max="13" width="5.875" style="1" customWidth="1"/>
    <col min="14" max="14" width="5.875" style="5" customWidth="1"/>
    <col min="15" max="15" width="9.125" style="1" customWidth="1"/>
    <col min="16" max="16" width="10.625" style="1" customWidth="1"/>
    <col min="17" max="17" width="11.125" style="1" customWidth="1"/>
    <col min="18" max="18" width="14.25390625" style="1" bestFit="1" customWidth="1"/>
    <col min="19" max="16384" width="9.125" style="1" customWidth="1"/>
  </cols>
  <sheetData>
    <row r="1" spans="2:18" ht="15" customHeight="1">
      <c r="B1" s="127" t="s">
        <v>730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2:18" ht="114.75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2</v>
      </c>
      <c r="I3" s="99"/>
      <c r="J3" s="99"/>
      <c r="K3" s="99"/>
      <c r="L3" s="99" t="s">
        <v>3</v>
      </c>
      <c r="M3" s="99"/>
      <c r="N3" s="99"/>
      <c r="O3" s="99"/>
      <c r="P3" s="133" t="s">
        <v>4</v>
      </c>
      <c r="Q3" s="99" t="s">
        <v>6</v>
      </c>
      <c r="R3" s="101" t="s">
        <v>5</v>
      </c>
    </row>
    <row r="4" spans="1:18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34"/>
      <c r="Q4" s="100"/>
      <c r="R4" s="102"/>
    </row>
    <row r="5" spans="2:17" ht="15.75">
      <c r="B5" s="105" t="s">
        <v>144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06"/>
      <c r="O5" s="106"/>
      <c r="P5" s="106"/>
      <c r="Q5" s="106"/>
    </row>
    <row r="6" spans="1:18" ht="12.75">
      <c r="A6" s="56" t="s">
        <v>653</v>
      </c>
      <c r="B6" s="30" t="s">
        <v>421</v>
      </c>
      <c r="C6" s="12" t="s">
        <v>422</v>
      </c>
      <c r="D6" s="12" t="s">
        <v>423</v>
      </c>
      <c r="E6" s="12" t="s">
        <v>603</v>
      </c>
      <c r="F6" s="12" t="s">
        <v>248</v>
      </c>
      <c r="G6" s="12" t="s">
        <v>14</v>
      </c>
      <c r="H6" s="67" t="s">
        <v>125</v>
      </c>
      <c r="I6" s="67" t="s">
        <v>125</v>
      </c>
      <c r="J6" s="18" t="s">
        <v>125</v>
      </c>
      <c r="K6" s="13"/>
      <c r="L6" s="18" t="s">
        <v>363</v>
      </c>
      <c r="M6" s="13"/>
      <c r="N6" s="13"/>
      <c r="O6" s="13"/>
      <c r="P6" s="47" t="s">
        <v>604</v>
      </c>
      <c r="Q6" s="47" t="s">
        <v>605</v>
      </c>
      <c r="R6" s="19" t="s">
        <v>645</v>
      </c>
    </row>
    <row r="15" ht="12.75">
      <c r="G15" s="5" t="s">
        <v>726</v>
      </c>
    </row>
  </sheetData>
  <sheetProtection/>
  <mergeCells count="14">
    <mergeCell ref="Q3:Q4"/>
    <mergeCell ref="R3:R4"/>
    <mergeCell ref="B1:R2"/>
    <mergeCell ref="B5:Q5"/>
    <mergeCell ref="B3:B4"/>
    <mergeCell ref="C3:C4"/>
    <mergeCell ref="D3:D4"/>
    <mergeCell ref="E3:E4"/>
    <mergeCell ref="F3:F4"/>
    <mergeCell ref="G3:G4"/>
    <mergeCell ref="H3:K3"/>
    <mergeCell ref="A3:A4"/>
    <mergeCell ref="L3:O3"/>
    <mergeCell ref="P3:P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6">
      <selection activeCell="D48" sqref="D48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30.625" style="5" customWidth="1"/>
    <col min="4" max="4" width="10.625" style="5" bestFit="1" customWidth="1"/>
    <col min="5" max="5" width="9.125" style="5" bestFit="1" customWidth="1"/>
    <col min="6" max="6" width="22.75390625" style="5" bestFit="1" customWidth="1"/>
    <col min="7" max="7" width="28.625" style="5" bestFit="1" customWidth="1"/>
    <col min="8" max="8" width="7.875" style="56" bestFit="1" customWidth="1"/>
    <col min="9" max="9" width="8.625" style="56" bestFit="1" customWidth="1"/>
    <col min="10" max="10" width="8.25390625" style="56" customWidth="1"/>
    <col min="11" max="11" width="7.25390625" style="56" customWidth="1"/>
    <col min="12" max="12" width="11.625" style="56" customWidth="1"/>
    <col min="13" max="13" width="11.125" style="56" bestFit="1" customWidth="1"/>
    <col min="14" max="14" width="19.125" style="5" bestFit="1" customWidth="1"/>
    <col min="15" max="16384" width="9.125" style="1" customWidth="1"/>
  </cols>
  <sheetData>
    <row r="1" spans="2:14" ht="15" customHeight="1">
      <c r="B1" s="127" t="s">
        <v>723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2:14" ht="108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2</v>
      </c>
      <c r="I3" s="99"/>
      <c r="J3" s="99"/>
      <c r="K3" s="99"/>
      <c r="L3" s="99" t="s">
        <v>642</v>
      </c>
      <c r="M3" s="99" t="s">
        <v>6</v>
      </c>
      <c r="N3" s="125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26"/>
    </row>
    <row r="5" spans="2:13" ht="15.75">
      <c r="B5" s="105" t="s">
        <v>10</v>
      </c>
      <c r="C5" s="124"/>
      <c r="D5" s="124"/>
      <c r="E5" s="124"/>
      <c r="F5" s="124"/>
      <c r="G5" s="124"/>
      <c r="H5" s="124"/>
      <c r="I5" s="124"/>
      <c r="J5" s="106"/>
      <c r="K5" s="106"/>
      <c r="L5" s="106"/>
      <c r="M5" s="106"/>
    </row>
    <row r="6" spans="1:14" ht="12.75">
      <c r="A6" s="56" t="s">
        <v>653</v>
      </c>
      <c r="B6" s="30" t="s">
        <v>240</v>
      </c>
      <c r="C6" s="12" t="s">
        <v>241</v>
      </c>
      <c r="D6" s="12" t="s">
        <v>242</v>
      </c>
      <c r="E6" s="41" t="s">
        <v>623</v>
      </c>
      <c r="F6" s="6" t="s">
        <v>192</v>
      </c>
      <c r="G6" s="29" t="s">
        <v>14</v>
      </c>
      <c r="H6" s="57" t="s">
        <v>243</v>
      </c>
      <c r="I6" s="67" t="s">
        <v>244</v>
      </c>
      <c r="J6" s="57" t="s">
        <v>244</v>
      </c>
      <c r="K6" s="46"/>
      <c r="L6" s="47" t="s">
        <v>244</v>
      </c>
      <c r="M6" s="47" t="s">
        <v>302</v>
      </c>
      <c r="N6" s="19" t="s">
        <v>92</v>
      </c>
    </row>
    <row r="8" spans="2:13" ht="15.75">
      <c r="B8" s="105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ht="12.75">
      <c r="A9" s="56" t="s">
        <v>653</v>
      </c>
      <c r="B9" s="30" t="s">
        <v>245</v>
      </c>
      <c r="C9" s="12" t="s">
        <v>246</v>
      </c>
      <c r="D9" s="12" t="s">
        <v>247</v>
      </c>
      <c r="E9" s="12" t="s">
        <v>624</v>
      </c>
      <c r="F9" s="12" t="s">
        <v>248</v>
      </c>
      <c r="G9" s="12" t="s">
        <v>14</v>
      </c>
      <c r="H9" s="57" t="s">
        <v>21</v>
      </c>
      <c r="I9" s="57" t="s">
        <v>49</v>
      </c>
      <c r="J9" s="67" t="s">
        <v>29</v>
      </c>
      <c r="K9" s="46"/>
      <c r="L9" s="47" t="s">
        <v>49</v>
      </c>
      <c r="M9" s="47" t="s">
        <v>300</v>
      </c>
      <c r="N9" s="19" t="s">
        <v>92</v>
      </c>
    </row>
    <row r="11" spans="2:13" ht="15.75">
      <c r="B11" s="105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12.75">
      <c r="A12" s="56" t="s">
        <v>653</v>
      </c>
      <c r="B12" s="30" t="s">
        <v>249</v>
      </c>
      <c r="C12" s="12" t="s">
        <v>250</v>
      </c>
      <c r="D12" s="12" t="s">
        <v>32</v>
      </c>
      <c r="E12" s="12" t="s">
        <v>625</v>
      </c>
      <c r="F12" s="12" t="s">
        <v>640</v>
      </c>
      <c r="G12" s="12" t="s">
        <v>14</v>
      </c>
      <c r="H12" s="67" t="s">
        <v>193</v>
      </c>
      <c r="I12" s="57" t="s">
        <v>193</v>
      </c>
      <c r="J12" s="67" t="s">
        <v>159</v>
      </c>
      <c r="K12" s="46"/>
      <c r="L12" s="47" t="s">
        <v>193</v>
      </c>
      <c r="M12" s="47" t="s">
        <v>304</v>
      </c>
      <c r="N12" s="19" t="s">
        <v>92</v>
      </c>
    </row>
    <row r="14" spans="2:13" ht="15.75">
      <c r="B14" s="105" t="s">
        <v>36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4" ht="12.75">
      <c r="A15" s="56" t="s">
        <v>653</v>
      </c>
      <c r="B15" s="31" t="s">
        <v>251</v>
      </c>
      <c r="C15" s="14" t="s">
        <v>252</v>
      </c>
      <c r="D15" s="14" t="s">
        <v>253</v>
      </c>
      <c r="E15" s="14" t="s">
        <v>626</v>
      </c>
      <c r="F15" s="14" t="s">
        <v>101</v>
      </c>
      <c r="G15" s="14" t="s">
        <v>102</v>
      </c>
      <c r="H15" s="63" t="s">
        <v>50</v>
      </c>
      <c r="I15" s="58" t="s">
        <v>69</v>
      </c>
      <c r="J15" s="63" t="s">
        <v>70</v>
      </c>
      <c r="K15" s="49"/>
      <c r="L15" s="48" t="s">
        <v>69</v>
      </c>
      <c r="M15" s="48" t="s">
        <v>301</v>
      </c>
      <c r="N15" s="20" t="s">
        <v>584</v>
      </c>
    </row>
    <row r="16" spans="1:14" ht="12.75">
      <c r="A16" s="56" t="s">
        <v>653</v>
      </c>
      <c r="B16" s="32" t="s">
        <v>254</v>
      </c>
      <c r="C16" s="15" t="s">
        <v>255</v>
      </c>
      <c r="D16" s="15" t="s">
        <v>256</v>
      </c>
      <c r="E16" s="15" t="s">
        <v>627</v>
      </c>
      <c r="F16" s="15" t="s">
        <v>647</v>
      </c>
      <c r="G16" s="15" t="s">
        <v>257</v>
      </c>
      <c r="H16" s="59" t="s">
        <v>109</v>
      </c>
      <c r="I16" s="59" t="s">
        <v>62</v>
      </c>
      <c r="J16" s="64" t="s">
        <v>63</v>
      </c>
      <c r="K16" s="51"/>
      <c r="L16" s="50" t="s">
        <v>62</v>
      </c>
      <c r="M16" s="50" t="s">
        <v>310</v>
      </c>
      <c r="N16" s="21" t="s">
        <v>92</v>
      </c>
    </row>
    <row r="18" spans="2:13" ht="15.75">
      <c r="B18" s="105" t="s">
        <v>114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4" ht="12.75">
      <c r="A19" s="56" t="s">
        <v>653</v>
      </c>
      <c r="B19" s="31" t="s">
        <v>258</v>
      </c>
      <c r="C19" s="14" t="s">
        <v>259</v>
      </c>
      <c r="D19" s="14" t="s">
        <v>260</v>
      </c>
      <c r="E19" s="14" t="s">
        <v>628</v>
      </c>
      <c r="F19" s="14" t="s">
        <v>647</v>
      </c>
      <c r="G19" s="14" t="s">
        <v>664</v>
      </c>
      <c r="H19" s="58" t="s">
        <v>96</v>
      </c>
      <c r="I19" s="58" t="s">
        <v>97</v>
      </c>
      <c r="J19" s="63" t="s">
        <v>193</v>
      </c>
      <c r="K19" s="49"/>
      <c r="L19" s="48" t="s">
        <v>97</v>
      </c>
      <c r="M19" s="48" t="s">
        <v>307</v>
      </c>
      <c r="N19" s="20" t="s">
        <v>643</v>
      </c>
    </row>
    <row r="20" spans="1:14" ht="12.75">
      <c r="A20" s="56" t="s">
        <v>653</v>
      </c>
      <c r="B20" s="33" t="s">
        <v>261</v>
      </c>
      <c r="C20" s="16" t="s">
        <v>262</v>
      </c>
      <c r="D20" s="16" t="s">
        <v>134</v>
      </c>
      <c r="E20" s="16" t="s">
        <v>630</v>
      </c>
      <c r="F20" s="16" t="s">
        <v>647</v>
      </c>
      <c r="G20" s="16" t="s">
        <v>664</v>
      </c>
      <c r="H20" s="60" t="s">
        <v>96</v>
      </c>
      <c r="I20" s="60" t="s">
        <v>97</v>
      </c>
      <c r="J20" s="65" t="s">
        <v>193</v>
      </c>
      <c r="K20" s="53"/>
      <c r="L20" s="52" t="s">
        <v>97</v>
      </c>
      <c r="M20" s="52" t="s">
        <v>314</v>
      </c>
      <c r="N20" s="21" t="s">
        <v>92</v>
      </c>
    </row>
    <row r="21" spans="1:14" ht="12.75">
      <c r="A21" s="56" t="s">
        <v>653</v>
      </c>
      <c r="B21" s="32" t="s">
        <v>263</v>
      </c>
      <c r="C21" s="15" t="s">
        <v>264</v>
      </c>
      <c r="D21" s="15" t="s">
        <v>265</v>
      </c>
      <c r="E21" s="15" t="s">
        <v>629</v>
      </c>
      <c r="F21" s="15" t="s">
        <v>647</v>
      </c>
      <c r="G21" s="15" t="s">
        <v>664</v>
      </c>
      <c r="H21" s="59" t="s">
        <v>120</v>
      </c>
      <c r="I21" s="51"/>
      <c r="J21" s="51"/>
      <c r="K21" s="51"/>
      <c r="L21" s="50" t="s">
        <v>120</v>
      </c>
      <c r="M21" s="50" t="s">
        <v>316</v>
      </c>
      <c r="N21" s="21" t="s">
        <v>92</v>
      </c>
    </row>
    <row r="22" ht="12.75">
      <c r="H22" s="62"/>
    </row>
    <row r="23" spans="2:13" ht="15.75">
      <c r="B23" s="105" t="s">
        <v>144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4" ht="12.75">
      <c r="A24" s="56" t="s">
        <v>653</v>
      </c>
      <c r="B24" s="31" t="s">
        <v>266</v>
      </c>
      <c r="C24" s="14" t="s">
        <v>267</v>
      </c>
      <c r="D24" s="14" t="s">
        <v>268</v>
      </c>
      <c r="E24" s="14" t="s">
        <v>631</v>
      </c>
      <c r="F24" s="14" t="s">
        <v>192</v>
      </c>
      <c r="G24" s="14" t="s">
        <v>14</v>
      </c>
      <c r="H24" s="63" t="s">
        <v>120</v>
      </c>
      <c r="I24" s="58" t="s">
        <v>96</v>
      </c>
      <c r="J24" s="63" t="s">
        <v>193</v>
      </c>
      <c r="K24" s="49"/>
      <c r="L24" s="48" t="s">
        <v>96</v>
      </c>
      <c r="M24" s="48" t="s">
        <v>308</v>
      </c>
      <c r="N24" s="20" t="s">
        <v>644</v>
      </c>
    </row>
    <row r="25" spans="1:14" ht="12.75">
      <c r="A25" s="56" t="s">
        <v>653</v>
      </c>
      <c r="B25" s="33" t="s">
        <v>269</v>
      </c>
      <c r="C25" s="16" t="s">
        <v>270</v>
      </c>
      <c r="D25" s="16" t="s">
        <v>271</v>
      </c>
      <c r="E25" s="16" t="s">
        <v>632</v>
      </c>
      <c r="F25" s="16" t="s">
        <v>248</v>
      </c>
      <c r="G25" s="16" t="s">
        <v>14</v>
      </c>
      <c r="H25" s="60" t="s">
        <v>97</v>
      </c>
      <c r="I25" s="60" t="s">
        <v>193</v>
      </c>
      <c r="J25" s="60" t="s">
        <v>165</v>
      </c>
      <c r="K25" s="53"/>
      <c r="L25" s="52" t="s">
        <v>165</v>
      </c>
      <c r="M25" s="52" t="s">
        <v>311</v>
      </c>
      <c r="N25" s="22" t="s">
        <v>92</v>
      </c>
    </row>
    <row r="26" spans="1:14" ht="12.75">
      <c r="A26" s="56" t="s">
        <v>654</v>
      </c>
      <c r="B26" s="33" t="s">
        <v>272</v>
      </c>
      <c r="C26" s="16" t="s">
        <v>273</v>
      </c>
      <c r="D26" s="16" t="s">
        <v>271</v>
      </c>
      <c r="E26" s="16" t="s">
        <v>632</v>
      </c>
      <c r="F26" s="16" t="s">
        <v>192</v>
      </c>
      <c r="G26" s="16" t="s">
        <v>14</v>
      </c>
      <c r="H26" s="60" t="s">
        <v>96</v>
      </c>
      <c r="I26" s="65" t="s">
        <v>97</v>
      </c>
      <c r="J26" s="65" t="s">
        <v>97</v>
      </c>
      <c r="K26" s="53"/>
      <c r="L26" s="52" t="s">
        <v>96</v>
      </c>
      <c r="M26" s="52" t="s">
        <v>315</v>
      </c>
      <c r="N26" s="22" t="s">
        <v>644</v>
      </c>
    </row>
    <row r="27" spans="1:14" ht="12.75">
      <c r="A27" s="56" t="s">
        <v>653</v>
      </c>
      <c r="B27" s="32" t="s">
        <v>274</v>
      </c>
      <c r="C27" s="15" t="s">
        <v>275</v>
      </c>
      <c r="D27" s="15" t="s">
        <v>276</v>
      </c>
      <c r="E27" s="15" t="s">
        <v>633</v>
      </c>
      <c r="F27" s="15" t="s">
        <v>248</v>
      </c>
      <c r="G27" s="15" t="s">
        <v>14</v>
      </c>
      <c r="H27" s="64" t="s">
        <v>62</v>
      </c>
      <c r="I27" s="59" t="s">
        <v>62</v>
      </c>
      <c r="J27" s="64" t="s">
        <v>63</v>
      </c>
      <c r="K27" s="51"/>
      <c r="L27" s="50" t="s">
        <v>62</v>
      </c>
      <c r="M27" s="50" t="s">
        <v>317</v>
      </c>
      <c r="N27" s="21" t="s">
        <v>645</v>
      </c>
    </row>
    <row r="29" spans="2:13" ht="15.75">
      <c r="B29" s="105" t="s">
        <v>178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4" ht="12.75">
      <c r="A30" s="56" t="s">
        <v>653</v>
      </c>
      <c r="B30" s="34" t="s">
        <v>282</v>
      </c>
      <c r="C30" s="23" t="s">
        <v>283</v>
      </c>
      <c r="D30" s="23" t="s">
        <v>284</v>
      </c>
      <c r="E30" s="23" t="s">
        <v>634</v>
      </c>
      <c r="F30" s="23" t="s">
        <v>640</v>
      </c>
      <c r="G30" s="23" t="s">
        <v>14</v>
      </c>
      <c r="H30" s="61" t="s">
        <v>186</v>
      </c>
      <c r="I30" s="66" t="s">
        <v>187</v>
      </c>
      <c r="J30" s="66" t="s">
        <v>187</v>
      </c>
      <c r="K30" s="54"/>
      <c r="L30" s="55" t="s">
        <v>186</v>
      </c>
      <c r="M30" s="55" t="s">
        <v>306</v>
      </c>
      <c r="N30" s="24" t="s">
        <v>646</v>
      </c>
    </row>
    <row r="32" spans="2:13" ht="15.75">
      <c r="B32" s="105" t="s">
        <v>201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4" ht="12.75">
      <c r="A33" s="56" t="s">
        <v>653</v>
      </c>
      <c r="B33" s="31" t="s">
        <v>277</v>
      </c>
      <c r="C33" s="14" t="s">
        <v>278</v>
      </c>
      <c r="D33" s="14" t="s">
        <v>279</v>
      </c>
      <c r="E33" s="14" t="s">
        <v>635</v>
      </c>
      <c r="F33" s="14" t="s">
        <v>647</v>
      </c>
      <c r="G33" s="14" t="s">
        <v>664</v>
      </c>
      <c r="H33" s="58" t="s">
        <v>280</v>
      </c>
      <c r="I33" s="63" t="s">
        <v>281</v>
      </c>
      <c r="J33" s="58" t="s">
        <v>281</v>
      </c>
      <c r="K33" s="49"/>
      <c r="L33" s="48" t="s">
        <v>281</v>
      </c>
      <c r="M33" s="48" t="s">
        <v>303</v>
      </c>
      <c r="N33" s="20" t="s">
        <v>92</v>
      </c>
    </row>
    <row r="34" spans="2:14" ht="12.75">
      <c r="B34" s="33" t="s">
        <v>285</v>
      </c>
      <c r="C34" s="16" t="s">
        <v>286</v>
      </c>
      <c r="D34" s="16" t="s">
        <v>287</v>
      </c>
      <c r="E34" s="16" t="s">
        <v>637</v>
      </c>
      <c r="F34" s="16" t="s">
        <v>647</v>
      </c>
      <c r="G34" s="16" t="s">
        <v>288</v>
      </c>
      <c r="H34" s="65" t="s">
        <v>158</v>
      </c>
      <c r="I34" s="65" t="s">
        <v>195</v>
      </c>
      <c r="J34" s="65" t="s">
        <v>195</v>
      </c>
      <c r="K34" s="53"/>
      <c r="L34" s="52" t="s">
        <v>656</v>
      </c>
      <c r="M34" s="52" t="s">
        <v>656</v>
      </c>
      <c r="N34" s="22" t="s">
        <v>92</v>
      </c>
    </row>
    <row r="35" spans="1:14" ht="12.75">
      <c r="A35" s="56" t="s">
        <v>653</v>
      </c>
      <c r="B35" s="32" t="s">
        <v>289</v>
      </c>
      <c r="C35" s="15" t="s">
        <v>290</v>
      </c>
      <c r="D35" s="15" t="s">
        <v>291</v>
      </c>
      <c r="E35" s="42" t="s">
        <v>636</v>
      </c>
      <c r="F35" s="8" t="s">
        <v>47</v>
      </c>
      <c r="G35" s="26" t="s">
        <v>664</v>
      </c>
      <c r="H35" s="59" t="s">
        <v>119</v>
      </c>
      <c r="I35" s="64" t="s">
        <v>103</v>
      </c>
      <c r="J35" s="51"/>
      <c r="K35" s="51"/>
      <c r="L35" s="50" t="s">
        <v>119</v>
      </c>
      <c r="M35" s="50" t="s">
        <v>318</v>
      </c>
      <c r="N35" s="21" t="s">
        <v>92</v>
      </c>
    </row>
    <row r="37" spans="2:13" ht="15.75">
      <c r="B37" s="105" t="s">
        <v>218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4" ht="12.75">
      <c r="A38" s="56" t="s">
        <v>653</v>
      </c>
      <c r="B38" s="31" t="s">
        <v>292</v>
      </c>
      <c r="C38" s="14" t="s">
        <v>293</v>
      </c>
      <c r="D38" s="14" t="s">
        <v>294</v>
      </c>
      <c r="E38" s="43" t="s">
        <v>639</v>
      </c>
      <c r="F38" s="7" t="s">
        <v>192</v>
      </c>
      <c r="G38" s="25" t="s">
        <v>14</v>
      </c>
      <c r="H38" s="63" t="s">
        <v>200</v>
      </c>
      <c r="I38" s="58" t="s">
        <v>200</v>
      </c>
      <c r="J38" s="58" t="s">
        <v>295</v>
      </c>
      <c r="K38" s="49"/>
      <c r="L38" s="48" t="s">
        <v>295</v>
      </c>
      <c r="M38" s="48" t="s">
        <v>305</v>
      </c>
      <c r="N38" s="20" t="s">
        <v>92</v>
      </c>
    </row>
    <row r="39" spans="1:14" ht="12.75">
      <c r="A39" s="56" t="s">
        <v>654</v>
      </c>
      <c r="B39" s="33" t="s">
        <v>296</v>
      </c>
      <c r="C39" s="16" t="s">
        <v>297</v>
      </c>
      <c r="D39" s="16" t="s">
        <v>298</v>
      </c>
      <c r="E39" s="16" t="s">
        <v>638</v>
      </c>
      <c r="F39" s="16" t="s">
        <v>192</v>
      </c>
      <c r="G39" s="16" t="s">
        <v>14</v>
      </c>
      <c r="H39" s="60" t="s">
        <v>120</v>
      </c>
      <c r="I39" s="60" t="s">
        <v>96</v>
      </c>
      <c r="J39" s="65" t="s">
        <v>125</v>
      </c>
      <c r="K39" s="53"/>
      <c r="L39" s="52" t="s">
        <v>96</v>
      </c>
      <c r="M39" s="52" t="s">
        <v>309</v>
      </c>
      <c r="N39" s="22" t="s">
        <v>92</v>
      </c>
    </row>
    <row r="40" spans="1:14" ht="12.75">
      <c r="A40" s="56" t="s">
        <v>653</v>
      </c>
      <c r="B40" s="32" t="s">
        <v>292</v>
      </c>
      <c r="C40" s="15" t="s">
        <v>299</v>
      </c>
      <c r="D40" s="15" t="s">
        <v>294</v>
      </c>
      <c r="E40" s="15" t="s">
        <v>639</v>
      </c>
      <c r="F40" s="15" t="s">
        <v>192</v>
      </c>
      <c r="G40" s="15" t="s">
        <v>14</v>
      </c>
      <c r="H40" s="64" t="s">
        <v>200</v>
      </c>
      <c r="I40" s="59" t="s">
        <v>200</v>
      </c>
      <c r="J40" s="59" t="s">
        <v>295</v>
      </c>
      <c r="K40" s="51"/>
      <c r="L40" s="50" t="s">
        <v>295</v>
      </c>
      <c r="M40" s="50" t="s">
        <v>313</v>
      </c>
      <c r="N40" s="21" t="s">
        <v>92</v>
      </c>
    </row>
    <row r="41" ht="15.75">
      <c r="F41" s="10"/>
    </row>
    <row r="43" spans="2:3" ht="18">
      <c r="B43" s="36" t="s">
        <v>223</v>
      </c>
      <c r="C43" s="36"/>
    </row>
    <row r="44" spans="2:3" ht="15.75">
      <c r="B44" s="37" t="s">
        <v>231</v>
      </c>
      <c r="C44" s="37"/>
    </row>
    <row r="45" spans="2:3" ht="13.5">
      <c r="B45" s="38"/>
      <c r="C45" s="44" t="s">
        <v>225</v>
      </c>
    </row>
    <row r="46" spans="2:6" ht="13.5">
      <c r="B46" s="11" t="s">
        <v>226</v>
      </c>
      <c r="C46" s="45" t="s">
        <v>227</v>
      </c>
      <c r="D46" s="45" t="s">
        <v>228</v>
      </c>
      <c r="E46" s="45" t="s">
        <v>229</v>
      </c>
      <c r="F46" s="11" t="s">
        <v>230</v>
      </c>
    </row>
    <row r="47" spans="1:6" ht="12.75">
      <c r="A47" s="56" t="s">
        <v>653</v>
      </c>
      <c r="B47" s="40" t="s">
        <v>277</v>
      </c>
      <c r="C47" s="1" t="s">
        <v>225</v>
      </c>
      <c r="D47" s="56" t="s">
        <v>648</v>
      </c>
      <c r="E47" s="56" t="s">
        <v>281</v>
      </c>
      <c r="F47" s="56" t="s">
        <v>303</v>
      </c>
    </row>
    <row r="48" spans="1:6" ht="12.75">
      <c r="A48" s="56" t="s">
        <v>654</v>
      </c>
      <c r="B48" s="40" t="s">
        <v>249</v>
      </c>
      <c r="C48" s="1" t="s">
        <v>225</v>
      </c>
      <c r="D48" s="56" t="s">
        <v>649</v>
      </c>
      <c r="E48" s="56" t="s">
        <v>193</v>
      </c>
      <c r="F48" s="56" t="s">
        <v>304</v>
      </c>
    </row>
    <row r="49" spans="1:6" ht="12.75">
      <c r="A49" s="56" t="s">
        <v>655</v>
      </c>
      <c r="B49" s="40" t="s">
        <v>292</v>
      </c>
      <c r="C49" s="1" t="s">
        <v>225</v>
      </c>
      <c r="D49" s="56" t="s">
        <v>650</v>
      </c>
      <c r="E49" s="56" t="s">
        <v>295</v>
      </c>
      <c r="F49" s="56" t="s">
        <v>305</v>
      </c>
    </row>
    <row r="50" spans="2:6" ht="12.75">
      <c r="B50" s="40"/>
      <c r="F50" s="4"/>
    </row>
    <row r="51" spans="2:3" ht="13.5">
      <c r="B51" s="38"/>
      <c r="C51" s="44" t="s">
        <v>238</v>
      </c>
    </row>
    <row r="52" spans="2:6" ht="13.5">
      <c r="B52" s="11" t="s">
        <v>226</v>
      </c>
      <c r="C52" s="45" t="s">
        <v>227</v>
      </c>
      <c r="D52" s="45" t="s">
        <v>228</v>
      </c>
      <c r="E52" s="45" t="s">
        <v>229</v>
      </c>
      <c r="F52" s="11" t="s">
        <v>230</v>
      </c>
    </row>
    <row r="53" spans="1:6" ht="12.75">
      <c r="A53" s="56" t="s">
        <v>653</v>
      </c>
      <c r="B53" s="40" t="s">
        <v>269</v>
      </c>
      <c r="C53" s="1" t="s">
        <v>239</v>
      </c>
      <c r="D53" s="56" t="s">
        <v>651</v>
      </c>
      <c r="E53" s="56" t="s">
        <v>165</v>
      </c>
      <c r="F53" s="56" t="s">
        <v>311</v>
      </c>
    </row>
    <row r="54" spans="1:6" ht="12.75">
      <c r="A54" s="56" t="s">
        <v>654</v>
      </c>
      <c r="B54" s="40" t="s">
        <v>292</v>
      </c>
      <c r="C54" s="1" t="s">
        <v>312</v>
      </c>
      <c r="D54" s="56" t="s">
        <v>650</v>
      </c>
      <c r="E54" s="56" t="s">
        <v>295</v>
      </c>
      <c r="F54" s="56" t="s">
        <v>313</v>
      </c>
    </row>
    <row r="55" spans="1:6" ht="12.75">
      <c r="A55" s="56" t="s">
        <v>655</v>
      </c>
      <c r="B55" s="40" t="s">
        <v>261</v>
      </c>
      <c r="C55" s="1" t="s">
        <v>312</v>
      </c>
      <c r="D55" s="56" t="s">
        <v>652</v>
      </c>
      <c r="E55" s="56" t="s">
        <v>97</v>
      </c>
      <c r="F55" s="56" t="s">
        <v>314</v>
      </c>
    </row>
  </sheetData>
  <sheetProtection/>
  <mergeCells count="21">
    <mergeCell ref="B29:M29"/>
    <mergeCell ref="B3:B4"/>
    <mergeCell ref="C3:C4"/>
    <mergeCell ref="D3:D4"/>
    <mergeCell ref="E3:E4"/>
    <mergeCell ref="B23:M23"/>
    <mergeCell ref="H3:K3"/>
    <mergeCell ref="L3:L4"/>
    <mergeCell ref="M3:M4"/>
    <mergeCell ref="N3:N4"/>
    <mergeCell ref="B1:N2"/>
    <mergeCell ref="A3:A4"/>
    <mergeCell ref="F3:F4"/>
    <mergeCell ref="G3:G4"/>
    <mergeCell ref="B32:M32"/>
    <mergeCell ref="B37:M37"/>
    <mergeCell ref="B5:M5"/>
    <mergeCell ref="B8:M8"/>
    <mergeCell ref="B11:M11"/>
    <mergeCell ref="B14:M14"/>
    <mergeCell ref="B18:M1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workbookViewId="0" topLeftCell="A50">
      <selection activeCell="A73" sqref="A73:IV73"/>
    </sheetView>
  </sheetViews>
  <sheetFormatPr defaultColWidth="9.125" defaultRowHeight="12.75"/>
  <cols>
    <col min="1" max="1" width="9.125" style="56" customWidth="1"/>
    <col min="2" max="2" width="28.25390625" style="35" bestFit="1" customWidth="1"/>
    <col min="3" max="3" width="27.1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375" style="5" bestFit="1" customWidth="1"/>
    <col min="8" max="10" width="5.625" style="56" bestFit="1" customWidth="1"/>
    <col min="11" max="11" width="4.625" style="56" bestFit="1" customWidth="1"/>
    <col min="12" max="12" width="11.25390625" style="56" customWidth="1"/>
    <col min="13" max="13" width="8.625" style="56" bestFit="1" customWidth="1"/>
    <col min="14" max="14" width="32.00390625" style="5" bestFit="1" customWidth="1"/>
    <col min="15" max="16384" width="9.125" style="1" customWidth="1"/>
  </cols>
  <sheetData>
    <row r="1" spans="2:14" ht="15" customHeight="1">
      <c r="B1" s="127" t="s">
        <v>724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2:14" ht="105" customHeight="1" thickBo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2</v>
      </c>
      <c r="I3" s="99"/>
      <c r="J3" s="99"/>
      <c r="K3" s="99"/>
      <c r="L3" s="99" t="s">
        <v>642</v>
      </c>
      <c r="M3" s="99" t="s">
        <v>6</v>
      </c>
      <c r="N3" s="131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32"/>
    </row>
    <row r="5" spans="2:13" ht="15.75">
      <c r="B5" s="103" t="s">
        <v>10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56" t="s">
        <v>653</v>
      </c>
      <c r="B6" s="68" t="s">
        <v>11</v>
      </c>
      <c r="C6" s="6" t="s">
        <v>12</v>
      </c>
      <c r="D6" s="6" t="s">
        <v>13</v>
      </c>
      <c r="E6" s="6" t="str">
        <f>"1,2466"</f>
        <v>1,2466</v>
      </c>
      <c r="F6" s="6" t="s">
        <v>647</v>
      </c>
      <c r="G6" s="6" t="s">
        <v>14</v>
      </c>
      <c r="H6" s="85" t="s">
        <v>15</v>
      </c>
      <c r="I6" s="92" t="s">
        <v>16</v>
      </c>
      <c r="J6" s="92" t="s">
        <v>16</v>
      </c>
      <c r="K6" s="76"/>
      <c r="L6" s="75" t="s">
        <v>15</v>
      </c>
      <c r="M6" s="75" t="str">
        <f>"56,0970"</f>
        <v>56,0970</v>
      </c>
      <c r="N6" s="6" t="s">
        <v>615</v>
      </c>
    </row>
    <row r="8" spans="2:13" ht="15.75">
      <c r="B8" s="105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2:14" ht="12.75">
      <c r="B9" s="68" t="s">
        <v>18</v>
      </c>
      <c r="C9" s="6" t="s">
        <v>19</v>
      </c>
      <c r="D9" s="6" t="s">
        <v>20</v>
      </c>
      <c r="E9" s="6" t="str">
        <f>"1,1340"</f>
        <v>1,1340</v>
      </c>
      <c r="F9" s="6" t="s">
        <v>647</v>
      </c>
      <c r="G9" s="6" t="s">
        <v>14</v>
      </c>
      <c r="H9" s="92" t="s">
        <v>21</v>
      </c>
      <c r="I9" s="92" t="s">
        <v>21</v>
      </c>
      <c r="J9" s="92" t="s">
        <v>21</v>
      </c>
      <c r="K9" s="76"/>
      <c r="L9" s="75" t="s">
        <v>656</v>
      </c>
      <c r="M9" s="75" t="s">
        <v>656</v>
      </c>
      <c r="N9" s="6" t="s">
        <v>92</v>
      </c>
    </row>
    <row r="11" spans="2:13" ht="15.75">
      <c r="B11" s="105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12.75">
      <c r="A12" s="56" t="s">
        <v>653</v>
      </c>
      <c r="B12" s="69" t="s">
        <v>23</v>
      </c>
      <c r="C12" s="7" t="s">
        <v>24</v>
      </c>
      <c r="D12" s="7" t="s">
        <v>25</v>
      </c>
      <c r="E12" s="7" t="str">
        <f>"1,0650"</f>
        <v>1,0650</v>
      </c>
      <c r="F12" s="7" t="s">
        <v>647</v>
      </c>
      <c r="G12" s="7" t="s">
        <v>26</v>
      </c>
      <c r="H12" s="86" t="s">
        <v>27</v>
      </c>
      <c r="I12" s="86" t="s">
        <v>28</v>
      </c>
      <c r="J12" s="86" t="s">
        <v>29</v>
      </c>
      <c r="K12" s="78"/>
      <c r="L12" s="77" t="s">
        <v>29</v>
      </c>
      <c r="M12" s="77" t="str">
        <f>"82,5375"</f>
        <v>82,5375</v>
      </c>
      <c r="N12" s="7" t="s">
        <v>616</v>
      </c>
    </row>
    <row r="13" spans="1:14" ht="12.75">
      <c r="A13" s="56" t="s">
        <v>654</v>
      </c>
      <c r="B13" s="70" t="s">
        <v>30</v>
      </c>
      <c r="C13" s="8" t="s">
        <v>31</v>
      </c>
      <c r="D13" s="8" t="s">
        <v>32</v>
      </c>
      <c r="E13" s="8" t="str">
        <f>"1,0564"</f>
        <v>1,0564</v>
      </c>
      <c r="F13" s="8" t="s">
        <v>647</v>
      </c>
      <c r="G13" s="8" t="s">
        <v>26</v>
      </c>
      <c r="H13" s="87" t="s">
        <v>33</v>
      </c>
      <c r="I13" s="87" t="s">
        <v>34</v>
      </c>
      <c r="J13" s="91" t="s">
        <v>35</v>
      </c>
      <c r="K13" s="80"/>
      <c r="L13" s="79" t="s">
        <v>34</v>
      </c>
      <c r="M13" s="81" t="str">
        <f>"63,3840"</f>
        <v>63,3840</v>
      </c>
      <c r="N13" s="8" t="s">
        <v>616</v>
      </c>
    </row>
    <row r="15" spans="2:13" ht="15.75">
      <c r="B15" s="105" t="s">
        <v>36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4" ht="12.75">
      <c r="A16" s="56" t="s">
        <v>653</v>
      </c>
      <c r="B16" s="68" t="s">
        <v>37</v>
      </c>
      <c r="C16" s="6" t="s">
        <v>38</v>
      </c>
      <c r="D16" s="6" t="s">
        <v>39</v>
      </c>
      <c r="E16" s="6" t="str">
        <f>"0,9506"</f>
        <v>0,9506</v>
      </c>
      <c r="F16" s="6" t="s">
        <v>40</v>
      </c>
      <c r="G16" s="6" t="s">
        <v>41</v>
      </c>
      <c r="H16" s="92" t="s">
        <v>42</v>
      </c>
      <c r="I16" s="92" t="s">
        <v>42</v>
      </c>
      <c r="J16" s="85" t="s">
        <v>42</v>
      </c>
      <c r="K16" s="76"/>
      <c r="L16" s="75" t="s">
        <v>42</v>
      </c>
      <c r="M16" s="75" t="str">
        <f>"38,0240"</f>
        <v>38,0240</v>
      </c>
      <c r="N16" s="6" t="s">
        <v>609</v>
      </c>
    </row>
    <row r="18" spans="2:13" ht="15.75">
      <c r="B18" s="105" t="s">
        <v>43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4" ht="12.75">
      <c r="A19" s="56" t="s">
        <v>653</v>
      </c>
      <c r="B19" s="68" t="s">
        <v>44</v>
      </c>
      <c r="C19" s="6" t="s">
        <v>45</v>
      </c>
      <c r="D19" s="6" t="s">
        <v>46</v>
      </c>
      <c r="E19" s="6" t="str">
        <f>"0,9565"</f>
        <v>0,9565</v>
      </c>
      <c r="F19" s="6" t="s">
        <v>47</v>
      </c>
      <c r="G19" s="6" t="s">
        <v>664</v>
      </c>
      <c r="H19" s="85" t="s">
        <v>49</v>
      </c>
      <c r="I19" s="85" t="s">
        <v>29</v>
      </c>
      <c r="J19" s="92" t="s">
        <v>50</v>
      </c>
      <c r="K19" s="76"/>
      <c r="L19" s="75" t="s">
        <v>29</v>
      </c>
      <c r="M19" s="75" t="str">
        <f>"74,1287"</f>
        <v>74,1287</v>
      </c>
      <c r="N19" s="6" t="s">
        <v>617</v>
      </c>
    </row>
    <row r="21" spans="2:13" ht="15.75">
      <c r="B21" s="105" t="s">
        <v>17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4" ht="12.75">
      <c r="A22" s="56" t="s">
        <v>653</v>
      </c>
      <c r="B22" s="69" t="s">
        <v>51</v>
      </c>
      <c r="C22" s="7" t="s">
        <v>52</v>
      </c>
      <c r="D22" s="7" t="s">
        <v>53</v>
      </c>
      <c r="E22" s="7" t="str">
        <f>"0,8845"</f>
        <v>0,8845</v>
      </c>
      <c r="F22" s="7" t="s">
        <v>54</v>
      </c>
      <c r="G22" s="7" t="s">
        <v>14</v>
      </c>
      <c r="H22" s="86" t="s">
        <v>34</v>
      </c>
      <c r="I22" s="86" t="s">
        <v>55</v>
      </c>
      <c r="J22" s="88" t="s">
        <v>27</v>
      </c>
      <c r="K22" s="78"/>
      <c r="L22" s="77" t="s">
        <v>55</v>
      </c>
      <c r="M22" s="77" t="str">
        <f>"57,4925"</f>
        <v>57,4925</v>
      </c>
      <c r="N22" s="7" t="s">
        <v>582</v>
      </c>
    </row>
    <row r="23" spans="2:14" ht="12.75">
      <c r="B23" s="71" t="s">
        <v>56</v>
      </c>
      <c r="C23" s="9" t="s">
        <v>57</v>
      </c>
      <c r="D23" s="9" t="s">
        <v>58</v>
      </c>
      <c r="E23" s="9" t="str">
        <f>"0,8759"</f>
        <v>0,8759</v>
      </c>
      <c r="F23" s="9" t="s">
        <v>54</v>
      </c>
      <c r="G23" s="9" t="s">
        <v>14</v>
      </c>
      <c r="H23" s="90" t="s">
        <v>55</v>
      </c>
      <c r="I23" s="90" t="s">
        <v>55</v>
      </c>
      <c r="J23" s="90" t="s">
        <v>21</v>
      </c>
      <c r="K23" s="82"/>
      <c r="L23" s="83" t="s">
        <v>656</v>
      </c>
      <c r="M23" s="83" t="s">
        <v>656</v>
      </c>
      <c r="N23" s="9" t="s">
        <v>582</v>
      </c>
    </row>
    <row r="24" spans="1:14" ht="12.75">
      <c r="A24" s="56" t="s">
        <v>653</v>
      </c>
      <c r="B24" s="70" t="s">
        <v>59</v>
      </c>
      <c r="C24" s="8" t="s">
        <v>60</v>
      </c>
      <c r="D24" s="8" t="s">
        <v>61</v>
      </c>
      <c r="E24" s="8" t="str">
        <f>"0,8555"</f>
        <v>0,8555</v>
      </c>
      <c r="F24" s="8" t="s">
        <v>647</v>
      </c>
      <c r="G24" s="8" t="s">
        <v>14</v>
      </c>
      <c r="H24" s="87" t="s">
        <v>62</v>
      </c>
      <c r="I24" s="87" t="s">
        <v>63</v>
      </c>
      <c r="J24" s="91" t="s">
        <v>64</v>
      </c>
      <c r="K24" s="80"/>
      <c r="L24" s="79" t="s">
        <v>63</v>
      </c>
      <c r="M24" s="79" t="str">
        <f>"98,3825"</f>
        <v>98,3825</v>
      </c>
      <c r="N24" s="8" t="s">
        <v>65</v>
      </c>
    </row>
    <row r="26" spans="2:13" ht="15.75">
      <c r="B26" s="105" t="s">
        <v>22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4" ht="12.75">
      <c r="A27" s="56" t="s">
        <v>653</v>
      </c>
      <c r="B27" s="69" t="s">
        <v>66</v>
      </c>
      <c r="C27" s="7" t="s">
        <v>67</v>
      </c>
      <c r="D27" s="7" t="s">
        <v>68</v>
      </c>
      <c r="E27" s="7" t="str">
        <f>"0,7872"</f>
        <v>0,7872</v>
      </c>
      <c r="F27" s="7" t="s">
        <v>647</v>
      </c>
      <c r="G27" s="7" t="s">
        <v>26</v>
      </c>
      <c r="H27" s="86" t="s">
        <v>69</v>
      </c>
      <c r="I27" s="86" t="s">
        <v>70</v>
      </c>
      <c r="J27" s="86" t="s">
        <v>71</v>
      </c>
      <c r="K27" s="78"/>
      <c r="L27" s="77" t="s">
        <v>71</v>
      </c>
      <c r="M27" s="77" t="str">
        <f>"78,7200"</f>
        <v>78,7200</v>
      </c>
      <c r="N27" s="7" t="s">
        <v>616</v>
      </c>
    </row>
    <row r="28" spans="1:14" ht="12.75">
      <c r="A28" s="56" t="s">
        <v>654</v>
      </c>
      <c r="B28" s="70" t="s">
        <v>72</v>
      </c>
      <c r="C28" s="8" t="s">
        <v>73</v>
      </c>
      <c r="D28" s="8" t="s">
        <v>74</v>
      </c>
      <c r="E28" s="8" t="str">
        <f>"0,7942"</f>
        <v>0,7942</v>
      </c>
      <c r="F28" s="8" t="s">
        <v>647</v>
      </c>
      <c r="G28" s="8" t="s">
        <v>14</v>
      </c>
      <c r="H28" s="87" t="s">
        <v>70</v>
      </c>
      <c r="I28" s="91" t="s">
        <v>71</v>
      </c>
      <c r="J28" s="91" t="s">
        <v>71</v>
      </c>
      <c r="K28" s="80"/>
      <c r="L28" s="79" t="s">
        <v>70</v>
      </c>
      <c r="M28" s="79" t="str">
        <f>"71,4780"</f>
        <v>71,4780</v>
      </c>
      <c r="N28" s="8" t="s">
        <v>92</v>
      </c>
    </row>
    <row r="30" spans="2:13" ht="15.75">
      <c r="B30" s="105" t="s">
        <v>36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4" ht="12.75">
      <c r="A31" s="56" t="s">
        <v>653</v>
      </c>
      <c r="B31" s="69" t="s">
        <v>76</v>
      </c>
      <c r="C31" s="7" t="s">
        <v>77</v>
      </c>
      <c r="D31" s="7" t="s">
        <v>78</v>
      </c>
      <c r="E31" s="7" t="str">
        <f>"0,7535"</f>
        <v>0,7535</v>
      </c>
      <c r="F31" s="7" t="s">
        <v>54</v>
      </c>
      <c r="G31" s="7" t="s">
        <v>14</v>
      </c>
      <c r="H31" s="93" t="s">
        <v>79</v>
      </c>
      <c r="I31" s="86" t="s">
        <v>79</v>
      </c>
      <c r="J31" s="86" t="s">
        <v>69</v>
      </c>
      <c r="K31" s="78"/>
      <c r="L31" s="77" t="s">
        <v>69</v>
      </c>
      <c r="M31" s="77" t="str">
        <f>"64,0475"</f>
        <v>64,0475</v>
      </c>
      <c r="N31" s="7" t="s">
        <v>582</v>
      </c>
    </row>
    <row r="32" spans="1:14" ht="12.75">
      <c r="A32" s="56" t="s">
        <v>653</v>
      </c>
      <c r="B32" s="71" t="s">
        <v>80</v>
      </c>
      <c r="C32" s="9" t="s">
        <v>81</v>
      </c>
      <c r="D32" s="9" t="s">
        <v>82</v>
      </c>
      <c r="E32" s="9" t="str">
        <f>"0,7300"</f>
        <v>0,7300</v>
      </c>
      <c r="F32" s="9" t="s">
        <v>54</v>
      </c>
      <c r="G32" s="9" t="s">
        <v>14</v>
      </c>
      <c r="H32" s="89" t="s">
        <v>83</v>
      </c>
      <c r="I32" s="90" t="s">
        <v>84</v>
      </c>
      <c r="J32" s="90" t="s">
        <v>84</v>
      </c>
      <c r="K32" s="82"/>
      <c r="L32" s="83" t="s">
        <v>83</v>
      </c>
      <c r="M32" s="83" t="str">
        <f>"89,4250"</f>
        <v>89,4250</v>
      </c>
      <c r="N32" s="9" t="s">
        <v>582</v>
      </c>
    </row>
    <row r="33" spans="1:14" ht="12.75">
      <c r="A33" s="56" t="s">
        <v>654</v>
      </c>
      <c r="B33" s="71" t="s">
        <v>85</v>
      </c>
      <c r="C33" s="9" t="s">
        <v>86</v>
      </c>
      <c r="D33" s="9" t="s">
        <v>87</v>
      </c>
      <c r="E33" s="9" t="str">
        <f>"0,7569"</f>
        <v>0,7569</v>
      </c>
      <c r="F33" s="9" t="s">
        <v>647</v>
      </c>
      <c r="G33" s="9" t="s">
        <v>88</v>
      </c>
      <c r="H33" s="89" t="s">
        <v>89</v>
      </c>
      <c r="I33" s="90" t="s">
        <v>90</v>
      </c>
      <c r="J33" s="94" t="s">
        <v>91</v>
      </c>
      <c r="K33" s="82"/>
      <c r="L33" s="83" t="s">
        <v>91</v>
      </c>
      <c r="M33" s="83" t="str">
        <f>"88,9358"</f>
        <v>88,9358</v>
      </c>
      <c r="N33" s="9" t="s">
        <v>92</v>
      </c>
    </row>
    <row r="34" spans="1:14" ht="12.75">
      <c r="A34" s="56" t="s">
        <v>653</v>
      </c>
      <c r="B34" s="71" t="s">
        <v>93</v>
      </c>
      <c r="C34" s="9" t="s">
        <v>94</v>
      </c>
      <c r="D34" s="9" t="s">
        <v>95</v>
      </c>
      <c r="E34" s="9" t="str">
        <f>"0,7173"</f>
        <v>0,7173</v>
      </c>
      <c r="F34" s="9" t="s">
        <v>647</v>
      </c>
      <c r="G34" s="9" t="s">
        <v>14</v>
      </c>
      <c r="H34" s="89" t="s">
        <v>96</v>
      </c>
      <c r="I34" s="90" t="s">
        <v>97</v>
      </c>
      <c r="J34" s="90" t="s">
        <v>97</v>
      </c>
      <c r="K34" s="82"/>
      <c r="L34" s="83" t="s">
        <v>96</v>
      </c>
      <c r="M34" s="83" t="str">
        <f>"104,0085"</f>
        <v>104,0085</v>
      </c>
      <c r="N34" s="9" t="s">
        <v>585</v>
      </c>
    </row>
    <row r="35" spans="1:14" ht="12.75">
      <c r="A35" s="56" t="s">
        <v>654</v>
      </c>
      <c r="B35" s="71" t="s">
        <v>98</v>
      </c>
      <c r="C35" s="9" t="s">
        <v>99</v>
      </c>
      <c r="D35" s="9" t="s">
        <v>100</v>
      </c>
      <c r="E35" s="9" t="str">
        <f>"0,7398"</f>
        <v>0,7398</v>
      </c>
      <c r="F35" s="9" t="s">
        <v>101</v>
      </c>
      <c r="G35" s="9" t="s">
        <v>102</v>
      </c>
      <c r="H35" s="90" t="s">
        <v>103</v>
      </c>
      <c r="I35" s="89" t="s">
        <v>104</v>
      </c>
      <c r="J35" s="90" t="s">
        <v>96</v>
      </c>
      <c r="K35" s="82"/>
      <c r="L35" s="83" t="s">
        <v>104</v>
      </c>
      <c r="M35" s="83" t="str">
        <f>"105,4215"</f>
        <v>105,4215</v>
      </c>
      <c r="N35" s="9" t="s">
        <v>584</v>
      </c>
    </row>
    <row r="36" spans="2:14" ht="12.75">
      <c r="B36" s="71" t="s">
        <v>105</v>
      </c>
      <c r="C36" s="9" t="s">
        <v>106</v>
      </c>
      <c r="D36" s="9" t="s">
        <v>107</v>
      </c>
      <c r="E36" s="9" t="str">
        <f>"0,7315"</f>
        <v>0,7315</v>
      </c>
      <c r="F36" s="9" t="s">
        <v>647</v>
      </c>
      <c r="G36" s="9" t="s">
        <v>108</v>
      </c>
      <c r="H36" s="90" t="s">
        <v>109</v>
      </c>
      <c r="I36" s="90" t="s">
        <v>109</v>
      </c>
      <c r="J36" s="90" t="s">
        <v>91</v>
      </c>
      <c r="K36" s="82"/>
      <c r="L36" s="83" t="s">
        <v>656</v>
      </c>
      <c r="M36" s="83" t="s">
        <v>656</v>
      </c>
      <c r="N36" s="9" t="s">
        <v>92</v>
      </c>
    </row>
    <row r="37" spans="2:14" ht="12.75">
      <c r="B37" s="70" t="s">
        <v>110</v>
      </c>
      <c r="C37" s="8" t="s">
        <v>111</v>
      </c>
      <c r="D37" s="8" t="s">
        <v>112</v>
      </c>
      <c r="E37" s="8" t="str">
        <f>"0,7271"</f>
        <v>0,7271</v>
      </c>
      <c r="F37" s="8" t="s">
        <v>647</v>
      </c>
      <c r="G37" s="8" t="s">
        <v>48</v>
      </c>
      <c r="H37" s="91" t="s">
        <v>83</v>
      </c>
      <c r="I37" s="91" t="s">
        <v>83</v>
      </c>
      <c r="J37" s="91" t="s">
        <v>113</v>
      </c>
      <c r="K37" s="80"/>
      <c r="L37" s="79" t="s">
        <v>656</v>
      </c>
      <c r="M37" s="79" t="s">
        <v>656</v>
      </c>
      <c r="N37" s="8" t="s">
        <v>92</v>
      </c>
    </row>
    <row r="39" spans="2:13" ht="15.75">
      <c r="B39" s="105" t="s">
        <v>114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4" ht="12.75">
      <c r="A40" s="56" t="s">
        <v>653</v>
      </c>
      <c r="B40" s="69" t="s">
        <v>115</v>
      </c>
      <c r="C40" s="7" t="s">
        <v>116</v>
      </c>
      <c r="D40" s="7" t="s">
        <v>117</v>
      </c>
      <c r="E40" s="7" t="str">
        <f>"0,6790"</f>
        <v>0,6790</v>
      </c>
      <c r="F40" s="7" t="s">
        <v>647</v>
      </c>
      <c r="G40" s="7" t="s">
        <v>118</v>
      </c>
      <c r="H40" s="86" t="s">
        <v>119</v>
      </c>
      <c r="I40" s="86" t="s">
        <v>120</v>
      </c>
      <c r="J40" s="86" t="s">
        <v>96</v>
      </c>
      <c r="K40" s="78"/>
      <c r="L40" s="77" t="s">
        <v>96</v>
      </c>
      <c r="M40" s="77" t="str">
        <f>"98,4550"</f>
        <v>98,4550</v>
      </c>
      <c r="N40" s="7" t="s">
        <v>618</v>
      </c>
    </row>
    <row r="41" spans="1:14" ht="12.75">
      <c r="A41" s="56" t="s">
        <v>654</v>
      </c>
      <c r="B41" s="71" t="s">
        <v>121</v>
      </c>
      <c r="C41" s="9" t="s">
        <v>122</v>
      </c>
      <c r="D41" s="9" t="s">
        <v>123</v>
      </c>
      <c r="E41" s="9" t="str">
        <f>"0,6832"</f>
        <v>0,6832</v>
      </c>
      <c r="F41" s="9" t="s">
        <v>47</v>
      </c>
      <c r="G41" s="9" t="s">
        <v>124</v>
      </c>
      <c r="H41" s="90" t="s">
        <v>120</v>
      </c>
      <c r="I41" s="89" t="s">
        <v>120</v>
      </c>
      <c r="J41" s="90" t="s">
        <v>125</v>
      </c>
      <c r="K41" s="82"/>
      <c r="L41" s="83" t="s">
        <v>120</v>
      </c>
      <c r="M41" s="83" t="str">
        <f>"95,6480"</f>
        <v>95,6480</v>
      </c>
      <c r="N41" s="9" t="s">
        <v>597</v>
      </c>
    </row>
    <row r="42" spans="1:14" ht="12.75">
      <c r="A42" s="56" t="s">
        <v>655</v>
      </c>
      <c r="B42" s="71" t="s">
        <v>126</v>
      </c>
      <c r="C42" s="9" t="s">
        <v>127</v>
      </c>
      <c r="D42" s="9" t="s">
        <v>128</v>
      </c>
      <c r="E42" s="9" t="str">
        <f>"0,6800"</f>
        <v>0,6800</v>
      </c>
      <c r="F42" s="9" t="s">
        <v>647</v>
      </c>
      <c r="G42" s="9" t="s">
        <v>664</v>
      </c>
      <c r="H42" s="89" t="s">
        <v>119</v>
      </c>
      <c r="I42" s="90" t="s">
        <v>96</v>
      </c>
      <c r="J42" s="90" t="s">
        <v>96</v>
      </c>
      <c r="K42" s="82"/>
      <c r="L42" s="83" t="s">
        <v>119</v>
      </c>
      <c r="M42" s="83" t="str">
        <f>"91,8000"</f>
        <v>91,8000</v>
      </c>
      <c r="N42" s="9" t="s">
        <v>92</v>
      </c>
    </row>
    <row r="43" spans="1:14" ht="12.75">
      <c r="A43" s="56" t="s">
        <v>660</v>
      </c>
      <c r="B43" s="71" t="s">
        <v>129</v>
      </c>
      <c r="C43" s="9" t="s">
        <v>130</v>
      </c>
      <c r="D43" s="9" t="s">
        <v>131</v>
      </c>
      <c r="E43" s="9" t="str">
        <f>"0,6744"</f>
        <v>0,6744</v>
      </c>
      <c r="F43" s="9" t="s">
        <v>647</v>
      </c>
      <c r="G43" s="9" t="s">
        <v>664</v>
      </c>
      <c r="H43" s="89" t="s">
        <v>119</v>
      </c>
      <c r="I43" s="90" t="s">
        <v>96</v>
      </c>
      <c r="J43" s="90" t="s">
        <v>96</v>
      </c>
      <c r="K43" s="82"/>
      <c r="L43" s="83" t="s">
        <v>119</v>
      </c>
      <c r="M43" s="83" t="str">
        <f>"91,0440"</f>
        <v>91,0440</v>
      </c>
      <c r="N43" s="9" t="s">
        <v>619</v>
      </c>
    </row>
    <row r="44" spans="1:14" ht="12.75">
      <c r="A44" s="56" t="s">
        <v>661</v>
      </c>
      <c r="B44" s="71" t="s">
        <v>132</v>
      </c>
      <c r="C44" s="9" t="s">
        <v>133</v>
      </c>
      <c r="D44" s="9" t="s">
        <v>134</v>
      </c>
      <c r="E44" s="9" t="str">
        <f>"0,6795"</f>
        <v>0,6795</v>
      </c>
      <c r="F44" s="9" t="s">
        <v>54</v>
      </c>
      <c r="G44" s="9" t="s">
        <v>14</v>
      </c>
      <c r="H44" s="89" t="s">
        <v>64</v>
      </c>
      <c r="I44" s="89" t="s">
        <v>84</v>
      </c>
      <c r="J44" s="89" t="s">
        <v>135</v>
      </c>
      <c r="K44" s="82"/>
      <c r="L44" s="83" t="s">
        <v>135</v>
      </c>
      <c r="M44" s="83" t="str">
        <f>"90,0337"</f>
        <v>90,0337</v>
      </c>
      <c r="N44" s="9" t="s">
        <v>582</v>
      </c>
    </row>
    <row r="45" spans="1:14" ht="12.75">
      <c r="A45" s="56" t="s">
        <v>662</v>
      </c>
      <c r="B45" s="71" t="s">
        <v>136</v>
      </c>
      <c r="C45" s="9" t="s">
        <v>137</v>
      </c>
      <c r="D45" s="9" t="s">
        <v>138</v>
      </c>
      <c r="E45" s="9" t="str">
        <f>"0,6779"</f>
        <v>0,6779</v>
      </c>
      <c r="F45" s="9" t="s">
        <v>647</v>
      </c>
      <c r="G45" s="9" t="s">
        <v>139</v>
      </c>
      <c r="H45" s="89" t="s">
        <v>140</v>
      </c>
      <c r="I45" s="90" t="s">
        <v>103</v>
      </c>
      <c r="J45" s="90" t="s">
        <v>103</v>
      </c>
      <c r="K45" s="82"/>
      <c r="L45" s="83" t="s">
        <v>140</v>
      </c>
      <c r="M45" s="83" t="str">
        <f>"88,1270"</f>
        <v>88,1270</v>
      </c>
      <c r="N45" s="9" t="s">
        <v>620</v>
      </c>
    </row>
    <row r="46" spans="1:14" ht="12.75">
      <c r="A46" s="56" t="s">
        <v>663</v>
      </c>
      <c r="B46" s="70" t="s">
        <v>141</v>
      </c>
      <c r="C46" s="8" t="s">
        <v>142</v>
      </c>
      <c r="D46" s="8" t="s">
        <v>143</v>
      </c>
      <c r="E46" s="8" t="str">
        <f>"0,6860"</f>
        <v>0,6860</v>
      </c>
      <c r="F46" s="8" t="s">
        <v>647</v>
      </c>
      <c r="G46" s="8" t="s">
        <v>14</v>
      </c>
      <c r="H46" s="87" t="s">
        <v>63</v>
      </c>
      <c r="I46" s="91" t="s">
        <v>91</v>
      </c>
      <c r="J46" s="91" t="s">
        <v>64</v>
      </c>
      <c r="K46" s="80"/>
      <c r="L46" s="79" t="s">
        <v>63</v>
      </c>
      <c r="M46" s="81" t="str">
        <f>"78,8900"</f>
        <v>78,8900</v>
      </c>
      <c r="N46" s="8" t="s">
        <v>615</v>
      </c>
    </row>
    <row r="48" spans="2:13" ht="15.75">
      <c r="B48" s="105" t="s">
        <v>144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4" ht="12.75">
      <c r="A49" s="56" t="s">
        <v>653</v>
      </c>
      <c r="B49" s="69" t="s">
        <v>145</v>
      </c>
      <c r="C49" s="7" t="s">
        <v>146</v>
      </c>
      <c r="D49" s="7" t="s">
        <v>147</v>
      </c>
      <c r="E49" s="7" t="str">
        <f>"0,6479"</f>
        <v>0,6479</v>
      </c>
      <c r="F49" s="7" t="s">
        <v>54</v>
      </c>
      <c r="G49" s="7" t="s">
        <v>14</v>
      </c>
      <c r="H49" s="86" t="s">
        <v>148</v>
      </c>
      <c r="I49" s="86" t="s">
        <v>149</v>
      </c>
      <c r="J49" s="93" t="s">
        <v>89</v>
      </c>
      <c r="K49" s="78"/>
      <c r="L49" s="77" t="s">
        <v>149</v>
      </c>
      <c r="M49" s="77" t="str">
        <f>"66,4097"</f>
        <v>66,4097</v>
      </c>
      <c r="N49" s="7" t="s">
        <v>582</v>
      </c>
    </row>
    <row r="50" spans="1:14" ht="12.75">
      <c r="A50" s="56" t="s">
        <v>654</v>
      </c>
      <c r="B50" s="71" t="s">
        <v>150</v>
      </c>
      <c r="C50" s="9" t="s">
        <v>151</v>
      </c>
      <c r="D50" s="9" t="s">
        <v>152</v>
      </c>
      <c r="E50" s="9" t="str">
        <f>"0,6545"</f>
        <v>0,6545</v>
      </c>
      <c r="F50" s="9" t="s">
        <v>647</v>
      </c>
      <c r="G50" s="9" t="s">
        <v>14</v>
      </c>
      <c r="H50" s="89" t="s">
        <v>153</v>
      </c>
      <c r="I50" s="90" t="s">
        <v>149</v>
      </c>
      <c r="J50" s="90" t="s">
        <v>89</v>
      </c>
      <c r="K50" s="82"/>
      <c r="L50" s="83" t="s">
        <v>153</v>
      </c>
      <c r="M50" s="83" t="str">
        <f>"62,1775"</f>
        <v>62,1775</v>
      </c>
      <c r="N50" s="9" t="s">
        <v>92</v>
      </c>
    </row>
    <row r="51" spans="1:14" ht="12.75">
      <c r="A51" s="56" t="s">
        <v>653</v>
      </c>
      <c r="B51" s="71" t="s">
        <v>154</v>
      </c>
      <c r="C51" s="9" t="s">
        <v>155</v>
      </c>
      <c r="D51" s="9" t="s">
        <v>156</v>
      </c>
      <c r="E51" s="9" t="str">
        <f>"0,6384"</f>
        <v>0,6384</v>
      </c>
      <c r="F51" s="9" t="s">
        <v>647</v>
      </c>
      <c r="G51" s="9" t="s">
        <v>157</v>
      </c>
      <c r="H51" s="89" t="s">
        <v>158</v>
      </c>
      <c r="I51" s="89" t="s">
        <v>159</v>
      </c>
      <c r="J51" s="89" t="s">
        <v>160</v>
      </c>
      <c r="K51" s="82"/>
      <c r="L51" s="83" t="s">
        <v>160</v>
      </c>
      <c r="M51" s="83" t="str">
        <f>"108,5280"</f>
        <v>108,5280</v>
      </c>
      <c r="N51" s="9" t="s">
        <v>92</v>
      </c>
    </row>
    <row r="52" spans="1:14" ht="12.75">
      <c r="A52" s="56" t="s">
        <v>654</v>
      </c>
      <c r="B52" s="71" t="s">
        <v>161</v>
      </c>
      <c r="C52" s="9" t="s">
        <v>162</v>
      </c>
      <c r="D52" s="9" t="s">
        <v>163</v>
      </c>
      <c r="E52" s="9" t="str">
        <f>"0,6410"</f>
        <v>0,6410</v>
      </c>
      <c r="F52" s="9" t="s">
        <v>647</v>
      </c>
      <c r="G52" s="9" t="s">
        <v>664</v>
      </c>
      <c r="H52" s="89" t="s">
        <v>120</v>
      </c>
      <c r="I52" s="89" t="s">
        <v>164</v>
      </c>
      <c r="J52" s="89" t="s">
        <v>165</v>
      </c>
      <c r="K52" s="82"/>
      <c r="L52" s="83" t="s">
        <v>165</v>
      </c>
      <c r="M52" s="83" t="str">
        <f>"100,9575"</f>
        <v>100,9575</v>
      </c>
      <c r="N52" s="9" t="s">
        <v>92</v>
      </c>
    </row>
    <row r="53" spans="1:14" ht="12.75">
      <c r="A53" s="56" t="s">
        <v>655</v>
      </c>
      <c r="B53" s="71" t="s">
        <v>166</v>
      </c>
      <c r="C53" s="9" t="s">
        <v>167</v>
      </c>
      <c r="D53" s="9" t="s">
        <v>168</v>
      </c>
      <c r="E53" s="9" t="str">
        <f>"0,6451"</f>
        <v>0,6451</v>
      </c>
      <c r="F53" s="9" t="s">
        <v>647</v>
      </c>
      <c r="G53" s="9" t="s">
        <v>664</v>
      </c>
      <c r="H53" s="89" t="s">
        <v>84</v>
      </c>
      <c r="I53" s="90" t="s">
        <v>135</v>
      </c>
      <c r="J53" s="90" t="s">
        <v>135</v>
      </c>
      <c r="K53" s="82"/>
      <c r="L53" s="83" t="s">
        <v>84</v>
      </c>
      <c r="M53" s="84" t="str">
        <f>"82,2502"</f>
        <v>82,2502</v>
      </c>
      <c r="N53" s="9" t="s">
        <v>621</v>
      </c>
    </row>
    <row r="54" spans="1:14" ht="12.75">
      <c r="A54" s="56" t="s">
        <v>660</v>
      </c>
      <c r="B54" s="71" t="s">
        <v>169</v>
      </c>
      <c r="C54" s="9" t="s">
        <v>170</v>
      </c>
      <c r="D54" s="9" t="s">
        <v>171</v>
      </c>
      <c r="E54" s="9" t="str">
        <f>"0,6406"</f>
        <v>0,6406</v>
      </c>
      <c r="F54" s="9" t="s">
        <v>647</v>
      </c>
      <c r="G54" s="9" t="s">
        <v>139</v>
      </c>
      <c r="H54" s="89" t="s">
        <v>63</v>
      </c>
      <c r="I54" s="89" t="s">
        <v>64</v>
      </c>
      <c r="J54" s="89" t="s">
        <v>113</v>
      </c>
      <c r="K54" s="82"/>
      <c r="L54" s="83" t="s">
        <v>113</v>
      </c>
      <c r="M54" s="83" t="str">
        <f>"80,0750"</f>
        <v>80,0750</v>
      </c>
      <c r="N54" s="9" t="s">
        <v>616</v>
      </c>
    </row>
    <row r="55" spans="2:14" ht="12.75">
      <c r="B55" s="71" t="s">
        <v>172</v>
      </c>
      <c r="C55" s="9" t="s">
        <v>173</v>
      </c>
      <c r="D55" s="9" t="s">
        <v>174</v>
      </c>
      <c r="E55" s="9" t="str">
        <f>"0,6417"</f>
        <v>0,6417</v>
      </c>
      <c r="F55" s="9" t="s">
        <v>647</v>
      </c>
      <c r="G55" s="9" t="s">
        <v>139</v>
      </c>
      <c r="H55" s="90" t="s">
        <v>164</v>
      </c>
      <c r="I55" s="90" t="s">
        <v>164</v>
      </c>
      <c r="J55" s="90" t="s">
        <v>164</v>
      </c>
      <c r="K55" s="82"/>
      <c r="L55" s="83" t="s">
        <v>656</v>
      </c>
      <c r="M55" s="83" t="s">
        <v>656</v>
      </c>
      <c r="N55" s="9" t="s">
        <v>622</v>
      </c>
    </row>
    <row r="56" spans="1:14" ht="12.75">
      <c r="A56" s="56" t="s">
        <v>653</v>
      </c>
      <c r="B56" s="70" t="s">
        <v>175</v>
      </c>
      <c r="C56" s="8" t="s">
        <v>176</v>
      </c>
      <c r="D56" s="8" t="s">
        <v>177</v>
      </c>
      <c r="E56" s="8" t="str">
        <f>"0,6536"</f>
        <v>0,6536</v>
      </c>
      <c r="F56" s="8" t="s">
        <v>47</v>
      </c>
      <c r="G56" s="8" t="s">
        <v>664</v>
      </c>
      <c r="H56" s="91" t="s">
        <v>96</v>
      </c>
      <c r="I56" s="87" t="s">
        <v>96</v>
      </c>
      <c r="J56" s="91" t="s">
        <v>164</v>
      </c>
      <c r="K56" s="80"/>
      <c r="L56" s="79" t="s">
        <v>96</v>
      </c>
      <c r="M56" s="79" t="str">
        <f>"102,1642"</f>
        <v>102,1642</v>
      </c>
      <c r="N56" s="8" t="s">
        <v>92</v>
      </c>
    </row>
    <row r="58" spans="2:14" ht="15.75">
      <c r="B58" s="105" t="s">
        <v>178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27"/>
    </row>
    <row r="59" spans="1:14" ht="12.75">
      <c r="A59" s="56" t="s">
        <v>653</v>
      </c>
      <c r="B59" s="69" t="s">
        <v>179</v>
      </c>
      <c r="C59" s="7" t="s">
        <v>180</v>
      </c>
      <c r="D59" s="7" t="s">
        <v>181</v>
      </c>
      <c r="E59" s="7" t="str">
        <f>"0,6315"</f>
        <v>0,6315</v>
      </c>
      <c r="F59" s="7" t="s">
        <v>40</v>
      </c>
      <c r="G59" s="7" t="s">
        <v>41</v>
      </c>
      <c r="H59" s="86" t="s">
        <v>113</v>
      </c>
      <c r="I59" s="86" t="s">
        <v>135</v>
      </c>
      <c r="J59" s="93" t="s">
        <v>120</v>
      </c>
      <c r="K59" s="78"/>
      <c r="L59" s="77" t="s">
        <v>135</v>
      </c>
      <c r="M59" s="77" t="str">
        <f>"83,6738"</f>
        <v>83,6738</v>
      </c>
      <c r="N59" s="9" t="s">
        <v>92</v>
      </c>
    </row>
    <row r="60" spans="1:14" ht="12.75">
      <c r="A60" s="56" t="s">
        <v>653</v>
      </c>
      <c r="B60" s="71" t="s">
        <v>182</v>
      </c>
      <c r="C60" s="9" t="s">
        <v>183</v>
      </c>
      <c r="D60" s="9" t="s">
        <v>184</v>
      </c>
      <c r="E60" s="9" t="str">
        <f>"0,6194"</f>
        <v>0,6194</v>
      </c>
      <c r="F60" s="9" t="s">
        <v>647</v>
      </c>
      <c r="G60" s="9" t="s">
        <v>185</v>
      </c>
      <c r="H60" s="89" t="s">
        <v>186</v>
      </c>
      <c r="I60" s="90" t="s">
        <v>187</v>
      </c>
      <c r="J60" s="89" t="s">
        <v>188</v>
      </c>
      <c r="K60" s="82"/>
      <c r="L60" s="83" t="s">
        <v>188</v>
      </c>
      <c r="M60" s="83" t="str">
        <f>"116,1375"</f>
        <v>116,1375</v>
      </c>
      <c r="N60" s="9" t="s">
        <v>92</v>
      </c>
    </row>
    <row r="61" spans="1:14" ht="12.75">
      <c r="A61" s="56" t="s">
        <v>654</v>
      </c>
      <c r="B61" s="71" t="s">
        <v>189</v>
      </c>
      <c r="C61" s="9" t="s">
        <v>190</v>
      </c>
      <c r="D61" s="9" t="s">
        <v>191</v>
      </c>
      <c r="E61" s="9" t="str">
        <f>"0,6113"</f>
        <v>0,6113</v>
      </c>
      <c r="F61" s="9" t="s">
        <v>192</v>
      </c>
      <c r="G61" s="9" t="s">
        <v>14</v>
      </c>
      <c r="H61" s="89" t="s">
        <v>193</v>
      </c>
      <c r="I61" s="89" t="s">
        <v>194</v>
      </c>
      <c r="J61" s="90" t="s">
        <v>195</v>
      </c>
      <c r="K61" s="82"/>
      <c r="L61" s="83" t="s">
        <v>194</v>
      </c>
      <c r="M61" s="83" t="str">
        <f>"99,3362"</f>
        <v>99,3362</v>
      </c>
      <c r="N61" s="9" t="s">
        <v>92</v>
      </c>
    </row>
    <row r="62" spans="2:14" ht="12.75">
      <c r="B62" s="70" t="s">
        <v>196</v>
      </c>
      <c r="C62" s="8" t="s">
        <v>197</v>
      </c>
      <c r="D62" s="8" t="s">
        <v>198</v>
      </c>
      <c r="E62" s="8" t="str">
        <f>"0,6144"</f>
        <v>0,6144</v>
      </c>
      <c r="F62" s="8" t="s">
        <v>647</v>
      </c>
      <c r="G62" s="8" t="s">
        <v>199</v>
      </c>
      <c r="H62" s="91" t="s">
        <v>186</v>
      </c>
      <c r="I62" s="91" t="s">
        <v>200</v>
      </c>
      <c r="J62" s="91" t="s">
        <v>200</v>
      </c>
      <c r="K62" s="80"/>
      <c r="L62" s="79" t="s">
        <v>656</v>
      </c>
      <c r="M62" s="79" t="s">
        <v>656</v>
      </c>
      <c r="N62" s="8" t="s">
        <v>92</v>
      </c>
    </row>
    <row r="64" spans="2:13" ht="15.75">
      <c r="B64" s="120" t="s">
        <v>201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2:14" ht="12.75">
      <c r="B65" s="71" t="s">
        <v>202</v>
      </c>
      <c r="C65" s="9" t="s">
        <v>203</v>
      </c>
      <c r="D65" s="9" t="s">
        <v>204</v>
      </c>
      <c r="E65" s="9" t="str">
        <f>"0,6050"</f>
        <v>0,6050</v>
      </c>
      <c r="F65" s="9" t="s">
        <v>647</v>
      </c>
      <c r="G65" s="9" t="s">
        <v>14</v>
      </c>
      <c r="H65" s="90" t="s">
        <v>158</v>
      </c>
      <c r="I65" s="90" t="s">
        <v>159</v>
      </c>
      <c r="J65" s="82"/>
      <c r="K65" s="82"/>
      <c r="L65" s="83" t="s">
        <v>656</v>
      </c>
      <c r="M65" s="83" t="s">
        <v>656</v>
      </c>
      <c r="N65" s="7" t="s">
        <v>92</v>
      </c>
    </row>
    <row r="66" spans="1:14" ht="12.75">
      <c r="A66" s="56" t="s">
        <v>653</v>
      </c>
      <c r="B66" s="71" t="s">
        <v>205</v>
      </c>
      <c r="C66" s="9" t="s">
        <v>206</v>
      </c>
      <c r="D66" s="9" t="s">
        <v>207</v>
      </c>
      <c r="E66" s="9" t="str">
        <f>"0,6067"</f>
        <v>0,6067</v>
      </c>
      <c r="F66" s="9" t="s">
        <v>647</v>
      </c>
      <c r="G66" s="9" t="s">
        <v>139</v>
      </c>
      <c r="H66" s="89" t="s">
        <v>119</v>
      </c>
      <c r="I66" s="89" t="s">
        <v>120</v>
      </c>
      <c r="J66" s="90" t="s">
        <v>125</v>
      </c>
      <c r="K66" s="82"/>
      <c r="L66" s="83" t="s">
        <v>120</v>
      </c>
      <c r="M66" s="83" t="str">
        <f>"84,9380"</f>
        <v>84,9380</v>
      </c>
      <c r="N66" s="9" t="s">
        <v>92</v>
      </c>
    </row>
    <row r="67" spans="1:14" ht="12.75">
      <c r="A67" s="56" t="s">
        <v>653</v>
      </c>
      <c r="B67" s="71" t="s">
        <v>208</v>
      </c>
      <c r="C67" s="9" t="s">
        <v>209</v>
      </c>
      <c r="D67" s="9" t="s">
        <v>210</v>
      </c>
      <c r="E67" s="9" t="str">
        <f>"0,5982"</f>
        <v>0,5982</v>
      </c>
      <c r="F67" s="9" t="s">
        <v>54</v>
      </c>
      <c r="G67" s="9" t="s">
        <v>14</v>
      </c>
      <c r="H67" s="89" t="s">
        <v>97</v>
      </c>
      <c r="I67" s="89" t="s">
        <v>193</v>
      </c>
      <c r="J67" s="89" t="s">
        <v>158</v>
      </c>
      <c r="K67" s="82"/>
      <c r="L67" s="83" t="s">
        <v>158</v>
      </c>
      <c r="M67" s="83" t="str">
        <f>"95,7120"</f>
        <v>95,7120</v>
      </c>
      <c r="N67" s="9" t="s">
        <v>92</v>
      </c>
    </row>
    <row r="68" spans="1:14" ht="12.75">
      <c r="A68" s="56" t="s">
        <v>654</v>
      </c>
      <c r="B68" s="71" t="s">
        <v>211</v>
      </c>
      <c r="C68" s="9" t="s">
        <v>212</v>
      </c>
      <c r="D68" s="9" t="s">
        <v>213</v>
      </c>
      <c r="E68" s="9" t="str">
        <f>"0,5924"</f>
        <v>0,5924</v>
      </c>
      <c r="F68" s="9" t="s">
        <v>647</v>
      </c>
      <c r="G68" s="9" t="s">
        <v>139</v>
      </c>
      <c r="H68" s="89" t="s">
        <v>96</v>
      </c>
      <c r="I68" s="89" t="s">
        <v>97</v>
      </c>
      <c r="J68" s="90" t="s">
        <v>193</v>
      </c>
      <c r="K68" s="82"/>
      <c r="L68" s="83" t="s">
        <v>97</v>
      </c>
      <c r="M68" s="83" t="str">
        <f>"88,8600"</f>
        <v>88,8600</v>
      </c>
      <c r="N68" s="9" t="s">
        <v>620</v>
      </c>
    </row>
    <row r="69" spans="1:14" ht="12.75">
      <c r="A69" s="56" t="s">
        <v>653</v>
      </c>
      <c r="B69" s="70" t="s">
        <v>214</v>
      </c>
      <c r="C69" s="8" t="s">
        <v>215</v>
      </c>
      <c r="D69" s="8" t="s">
        <v>216</v>
      </c>
      <c r="E69" s="8" t="str">
        <f>"0,5960"</f>
        <v>0,5960</v>
      </c>
      <c r="F69" s="8" t="s">
        <v>47</v>
      </c>
      <c r="G69" s="8" t="s">
        <v>664</v>
      </c>
      <c r="H69" s="87" t="s">
        <v>194</v>
      </c>
      <c r="I69" s="87" t="s">
        <v>195</v>
      </c>
      <c r="J69" s="91" t="s">
        <v>217</v>
      </c>
      <c r="K69" s="80"/>
      <c r="L69" s="79" t="s">
        <v>195</v>
      </c>
      <c r="M69" s="79" t="str">
        <f>"109,4137"</f>
        <v>109,4137</v>
      </c>
      <c r="N69" s="8" t="s">
        <v>617</v>
      </c>
    </row>
    <row r="71" spans="2:13" ht="15.75">
      <c r="B71" s="105" t="s">
        <v>218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4" ht="12.75">
      <c r="A72" s="56" t="s">
        <v>653</v>
      </c>
      <c r="B72" s="68" t="s">
        <v>219</v>
      </c>
      <c r="C72" s="6" t="s">
        <v>220</v>
      </c>
      <c r="D72" s="6" t="s">
        <v>221</v>
      </c>
      <c r="E72" s="6" t="str">
        <f>"0,5795"</f>
        <v>0,5795</v>
      </c>
      <c r="F72" s="6" t="s">
        <v>47</v>
      </c>
      <c r="G72" s="6" t="s">
        <v>222</v>
      </c>
      <c r="H72" s="92" t="s">
        <v>97</v>
      </c>
      <c r="I72" s="85" t="s">
        <v>97</v>
      </c>
      <c r="J72" s="92" t="s">
        <v>193</v>
      </c>
      <c r="K72" s="76"/>
      <c r="L72" s="75" t="s">
        <v>97</v>
      </c>
      <c r="M72" s="75" t="str">
        <f>"86,9250"</f>
        <v>86,9250</v>
      </c>
      <c r="N72" s="6" t="s">
        <v>92</v>
      </c>
    </row>
    <row r="73" ht="16.5" customHeight="1">
      <c r="F73" s="10"/>
    </row>
    <row r="74" ht="16.5" customHeight="1"/>
    <row r="75" spans="2:3" ht="16.5" customHeight="1">
      <c r="B75" s="36" t="s">
        <v>223</v>
      </c>
      <c r="C75" s="36"/>
    </row>
    <row r="77" spans="2:3" ht="15.75">
      <c r="B77" s="37" t="s">
        <v>231</v>
      </c>
      <c r="C77" s="37"/>
    </row>
    <row r="78" spans="2:3" ht="13.5">
      <c r="B78" s="72"/>
      <c r="C78" s="44" t="s">
        <v>232</v>
      </c>
    </row>
    <row r="79" spans="2:6" ht="13.5">
      <c r="B79" s="11" t="s">
        <v>226</v>
      </c>
      <c r="C79" s="45" t="s">
        <v>227</v>
      </c>
      <c r="D79" s="45" t="s">
        <v>228</v>
      </c>
      <c r="E79" s="45" t="s">
        <v>229</v>
      </c>
      <c r="F79" s="11" t="s">
        <v>230</v>
      </c>
    </row>
    <row r="80" spans="1:6" ht="12.75">
      <c r="A80" s="56" t="s">
        <v>653</v>
      </c>
      <c r="B80" s="73" t="s">
        <v>44</v>
      </c>
      <c r="C80" s="1" t="s">
        <v>233</v>
      </c>
      <c r="D80" s="56" t="s">
        <v>657</v>
      </c>
      <c r="E80" s="56" t="s">
        <v>29</v>
      </c>
      <c r="F80" s="56" t="s">
        <v>234</v>
      </c>
    </row>
    <row r="82" spans="2:3" ht="13.5">
      <c r="B82" s="72"/>
      <c r="C82" s="44" t="s">
        <v>225</v>
      </c>
    </row>
    <row r="83" spans="2:6" ht="13.5">
      <c r="B83" s="11" t="s">
        <v>226</v>
      </c>
      <c r="C83" s="45" t="s">
        <v>227</v>
      </c>
      <c r="D83" s="45" t="s">
        <v>228</v>
      </c>
      <c r="E83" s="45" t="s">
        <v>229</v>
      </c>
      <c r="F83" s="11" t="s">
        <v>230</v>
      </c>
    </row>
    <row r="84" spans="1:6" ht="12.75">
      <c r="A84" s="56" t="s">
        <v>653</v>
      </c>
      <c r="B84" s="73" t="s">
        <v>182</v>
      </c>
      <c r="C84" s="1" t="s">
        <v>225</v>
      </c>
      <c r="D84" s="56" t="s">
        <v>658</v>
      </c>
      <c r="E84" s="56" t="s">
        <v>188</v>
      </c>
      <c r="F84" s="56" t="s">
        <v>235</v>
      </c>
    </row>
    <row r="85" spans="1:6" ht="12.75">
      <c r="A85" s="56" t="s">
        <v>654</v>
      </c>
      <c r="B85" s="73" t="s">
        <v>154</v>
      </c>
      <c r="C85" s="1" t="s">
        <v>225</v>
      </c>
      <c r="D85" s="56" t="s">
        <v>651</v>
      </c>
      <c r="E85" s="56" t="s">
        <v>160</v>
      </c>
      <c r="F85" s="56" t="s">
        <v>236</v>
      </c>
    </row>
    <row r="86" spans="1:6" ht="12.75">
      <c r="A86" s="56" t="s">
        <v>655</v>
      </c>
      <c r="B86" s="73" t="s">
        <v>98</v>
      </c>
      <c r="C86" s="1" t="s">
        <v>225</v>
      </c>
      <c r="D86" s="56" t="s">
        <v>659</v>
      </c>
      <c r="E86" s="56" t="s">
        <v>104</v>
      </c>
      <c r="F86" s="56" t="s">
        <v>237</v>
      </c>
    </row>
  </sheetData>
  <sheetProtection/>
  <mergeCells count="25">
    <mergeCell ref="B1:N2"/>
    <mergeCell ref="H3:K3"/>
    <mergeCell ref="B3:B4"/>
    <mergeCell ref="C3:C4"/>
    <mergeCell ref="D3:D4"/>
    <mergeCell ref="N3:N4"/>
    <mergeCell ref="G3:G4"/>
    <mergeCell ref="F3:F4"/>
    <mergeCell ref="B39:M39"/>
    <mergeCell ref="B5:M5"/>
    <mergeCell ref="B8:M8"/>
    <mergeCell ref="B11:M11"/>
    <mergeCell ref="E3:E4"/>
    <mergeCell ref="L3:L4"/>
    <mergeCell ref="M3:M4"/>
    <mergeCell ref="A3:A4"/>
    <mergeCell ref="B48:M48"/>
    <mergeCell ref="B58:M58"/>
    <mergeCell ref="B64:M64"/>
    <mergeCell ref="B71:M71"/>
    <mergeCell ref="B15:M15"/>
    <mergeCell ref="B18:M18"/>
    <mergeCell ref="B21:M21"/>
    <mergeCell ref="B26:M26"/>
    <mergeCell ref="B30:M30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2" sqref="A2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75390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1.25390625" style="5" bestFit="1" customWidth="1"/>
    <col min="8" max="10" width="5.625" style="1" bestFit="1" customWidth="1"/>
    <col min="11" max="11" width="4.625" style="1" bestFit="1" customWidth="1"/>
    <col min="12" max="12" width="10.625" style="4" customWidth="1"/>
    <col min="13" max="13" width="7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107" t="s">
        <v>725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0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2</v>
      </c>
      <c r="I3" s="99"/>
      <c r="J3" s="99"/>
      <c r="K3" s="99"/>
      <c r="L3" s="99" t="s">
        <v>642</v>
      </c>
      <c r="M3" s="99" t="s">
        <v>6</v>
      </c>
      <c r="N3" s="125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26"/>
    </row>
    <row r="5" spans="2:13" ht="15.75">
      <c r="B5" s="103" t="s">
        <v>144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56" t="s">
        <v>653</v>
      </c>
      <c r="B6" s="68" t="s">
        <v>424</v>
      </c>
      <c r="C6" s="6" t="s">
        <v>425</v>
      </c>
      <c r="D6" s="6" t="s">
        <v>426</v>
      </c>
      <c r="E6" s="6" t="str">
        <f>"0,6444"</f>
        <v>0,6444</v>
      </c>
      <c r="F6" s="6" t="s">
        <v>647</v>
      </c>
      <c r="G6" s="6" t="s">
        <v>427</v>
      </c>
      <c r="H6" s="85" t="s">
        <v>140</v>
      </c>
      <c r="I6" s="92" t="s">
        <v>120</v>
      </c>
      <c r="J6" s="92" t="s">
        <v>97</v>
      </c>
      <c r="K6" s="76"/>
      <c r="L6" s="75" t="s">
        <v>140</v>
      </c>
      <c r="M6" s="75" t="str">
        <f>"83,7720"</f>
        <v>83,7720</v>
      </c>
      <c r="N6" s="6" t="s">
        <v>92</v>
      </c>
    </row>
    <row r="25" ht="12.75">
      <c r="F25" s="5" t="s">
        <v>726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E10" sqref="E10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7.75390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9.875" style="5" bestFit="1" customWidth="1"/>
    <col min="8" max="11" width="5.625" style="1" bestFit="1" customWidth="1"/>
    <col min="12" max="12" width="11.25390625" style="4" customWidth="1"/>
    <col min="13" max="13" width="8.625" style="1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107" t="s">
        <v>727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3.75" customHeight="1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2" customFormat="1" ht="12.75" customHeight="1">
      <c r="A3" s="97" t="s">
        <v>641</v>
      </c>
      <c r="B3" s="113" t="s">
        <v>0</v>
      </c>
      <c r="C3" s="115" t="s">
        <v>600</v>
      </c>
      <c r="D3" s="116" t="s">
        <v>601</v>
      </c>
      <c r="E3" s="99" t="s">
        <v>9</v>
      </c>
      <c r="F3" s="99" t="s">
        <v>7</v>
      </c>
      <c r="G3" s="118" t="s">
        <v>602</v>
      </c>
      <c r="H3" s="99" t="s">
        <v>2</v>
      </c>
      <c r="I3" s="99"/>
      <c r="J3" s="99"/>
      <c r="K3" s="99"/>
      <c r="L3" s="99" t="s">
        <v>642</v>
      </c>
      <c r="M3" s="99" t="s">
        <v>6</v>
      </c>
      <c r="N3" s="125" t="s">
        <v>5</v>
      </c>
    </row>
    <row r="4" spans="1:14" s="2" customFormat="1" ht="21" customHeight="1" thickBot="1">
      <c r="A4" s="98"/>
      <c r="B4" s="114"/>
      <c r="C4" s="100"/>
      <c r="D4" s="117"/>
      <c r="E4" s="100"/>
      <c r="F4" s="100"/>
      <c r="G4" s="119"/>
      <c r="H4" s="3">
        <v>1</v>
      </c>
      <c r="I4" s="3">
        <v>2</v>
      </c>
      <c r="J4" s="3">
        <v>3</v>
      </c>
      <c r="K4" s="3" t="s">
        <v>8</v>
      </c>
      <c r="L4" s="100"/>
      <c r="M4" s="100"/>
      <c r="N4" s="126"/>
    </row>
    <row r="5" spans="2:13" ht="15.75">
      <c r="B5" s="103" t="s">
        <v>178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2.75">
      <c r="A6" s="56" t="s">
        <v>653</v>
      </c>
      <c r="B6" s="68" t="s">
        <v>457</v>
      </c>
      <c r="C6" s="6" t="s">
        <v>458</v>
      </c>
      <c r="D6" s="6" t="s">
        <v>459</v>
      </c>
      <c r="E6" s="6" t="str">
        <f>"0,6129"</f>
        <v>0,6129</v>
      </c>
      <c r="F6" s="6" t="s">
        <v>647</v>
      </c>
      <c r="G6" s="6" t="s">
        <v>48</v>
      </c>
      <c r="H6" s="85" t="s">
        <v>187</v>
      </c>
      <c r="I6" s="92" t="s">
        <v>460</v>
      </c>
      <c r="J6" s="92" t="s">
        <v>453</v>
      </c>
      <c r="K6" s="76"/>
      <c r="L6" s="75" t="s">
        <v>187</v>
      </c>
      <c r="M6" s="75" t="str">
        <f>"113,3865"</f>
        <v>113,3865</v>
      </c>
      <c r="N6" s="6" t="s">
        <v>92</v>
      </c>
    </row>
    <row r="8" spans="2:13" ht="15.75">
      <c r="B8" s="105" t="s">
        <v>218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ht="12.75">
      <c r="A9" s="56" t="s">
        <v>653</v>
      </c>
      <c r="B9" s="68" t="s">
        <v>461</v>
      </c>
      <c r="C9" s="6" t="s">
        <v>462</v>
      </c>
      <c r="D9" s="6" t="s">
        <v>463</v>
      </c>
      <c r="E9" s="6" t="str">
        <f>"0,5815"</f>
        <v>0,5815</v>
      </c>
      <c r="F9" s="6" t="s">
        <v>647</v>
      </c>
      <c r="G9" s="6" t="s">
        <v>464</v>
      </c>
      <c r="H9" s="76" t="s">
        <v>394</v>
      </c>
      <c r="I9" s="85" t="s">
        <v>465</v>
      </c>
      <c r="J9" s="85" t="s">
        <v>409</v>
      </c>
      <c r="K9" s="76"/>
      <c r="L9" s="75" t="s">
        <v>409</v>
      </c>
      <c r="M9" s="75" t="str">
        <f>"146,8287"</f>
        <v>146,8287</v>
      </c>
      <c r="N9" s="6" t="s">
        <v>665</v>
      </c>
    </row>
    <row r="10" ht="12.75">
      <c r="E10" s="1" t="s">
        <v>726</v>
      </c>
    </row>
  </sheetData>
  <sheetProtection/>
  <mergeCells count="14"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2016-10-03T21:10:18Z</dcterms:modified>
  <cp:category/>
  <cp:version/>
  <cp:contentType/>
  <cp:contentStatus/>
</cp:coreProperties>
</file>