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0" yWindow="0" windowWidth="14380" windowHeight="7480" tabRatio="613" activeTab="0"/>
  </bookViews>
  <sheets>
    <sheet name="Пауэрлифтинг без экипировки ДК" sheetId="1" r:id="rId1"/>
    <sheet name="Пауэрлифтинг без экипировки" sheetId="2" r:id="rId2"/>
    <sheet name="Пауэрлифтинг в бинтах ДК" sheetId="3" r:id="rId3"/>
    <sheet name="Пауэрлифтинг в бинтах" sheetId="4" r:id="rId4"/>
    <sheet name="Паурлифтинг односл. экип." sheetId="5" r:id="rId5"/>
    <sheet name="Силовое двоеборье без экип. ДК" sheetId="6" r:id="rId6"/>
    <sheet name="Силовое двоеборье без экип." sheetId="7" r:id="rId7"/>
    <sheet name="Присед в бинтах ДК" sheetId="8" r:id="rId8"/>
    <sheet name="Присед в бинтах" sheetId="9" r:id="rId9"/>
    <sheet name="Присед без экипировки ДК" sheetId="10" r:id="rId10"/>
    <sheet name="Присед без экипировки" sheetId="11" r:id="rId11"/>
    <sheet name="Жим без экипировки ДК" sheetId="12" r:id="rId12"/>
    <sheet name="Жим без экипировки" sheetId="13" r:id="rId13"/>
    <sheet name="Жим однослойн. экип. ДК" sheetId="14" r:id="rId14"/>
    <sheet name="Жим однослойн. экип." sheetId="15" r:id="rId15"/>
    <sheet name="Жим софт экипировка ДК" sheetId="16" r:id="rId16"/>
    <sheet name="Жим софт экипировка" sheetId="17" r:id="rId17"/>
    <sheet name="Жим СФО" sheetId="18" r:id="rId18"/>
    <sheet name="Народный жим 1 вес ДК" sheetId="19" r:id="rId19"/>
    <sheet name="Народный жим 1 вес" sheetId="20" r:id="rId20"/>
    <sheet name="Тяга без экипировки ДК" sheetId="21" r:id="rId21"/>
    <sheet name="Тяга без экипировки" sheetId="22" r:id="rId22"/>
    <sheet name="Пауэрспорт с ДК" sheetId="23" r:id="rId23"/>
    <sheet name="Apollon`s Axle" sheetId="24" r:id="rId24"/>
    <sheet name="ЖД любители ДК" sheetId="25" r:id="rId25"/>
    <sheet name="Жим на максимум ДК" sheetId="26" r:id="rId26"/>
    <sheet name="Жим многоповторный любители ДК" sheetId="27" r:id="rId27"/>
    <sheet name="ЖД любители" sheetId="28" r:id="rId28"/>
    <sheet name="Жим на максимум " sheetId="29" r:id="rId29"/>
    <sheet name="Жим многоповторный любители" sheetId="30" r:id="rId30"/>
    <sheet name="ЖД армейский" sheetId="31" r:id="rId31"/>
    <sheet name="Армейский жим на максимум" sheetId="32" r:id="rId32"/>
    <sheet name="Армейский жим многоповторный" sheetId="33" r:id="rId33"/>
    <sheet name="Командный зачет" sheetId="34" r:id="rId34"/>
    <sheet name="Судейский корпус" sheetId="35" r:id="rId35"/>
  </sheets>
  <definedNames/>
  <calcPr fullCalcOnLoad="1" refMode="R1C1"/>
</workbook>
</file>

<file path=xl/sharedStrings.xml><?xml version="1.0" encoding="utf-8"?>
<sst xmlns="http://schemas.openxmlformats.org/spreadsheetml/2006/main" count="3743" uniqueCount="884">
  <si>
    <t>ФИО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</si>
  <si>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</si>
  <si>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</si>
  <si>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</si>
  <si>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</si>
  <si>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</si>
  <si>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Собств. вес</t>
  </si>
  <si>
    <t>Город/Область</t>
  </si>
  <si>
    <t>Подъем на бицепс</t>
  </si>
  <si>
    <t>Результат</t>
  </si>
  <si>
    <t>Жим стоя</t>
  </si>
  <si>
    <t>Gloss</t>
  </si>
  <si>
    <t>ВЕСОВАЯ КАТЕГОРИЯ   100</t>
  </si>
  <si>
    <t>Open (24.08.1977)/39</t>
  </si>
  <si>
    <t>98,60</t>
  </si>
  <si>
    <t xml:space="preserve">Великий Устюг </t>
  </si>
  <si>
    <t xml:space="preserve">Великий Устюг/Вологодская область </t>
  </si>
  <si>
    <t>205,0</t>
  </si>
  <si>
    <t>215,0</t>
  </si>
  <si>
    <t>222,5</t>
  </si>
  <si>
    <t>145,0</t>
  </si>
  <si>
    <t>152,5</t>
  </si>
  <si>
    <t>155,0</t>
  </si>
  <si>
    <t>255,0</t>
  </si>
  <si>
    <t>265,0</t>
  </si>
  <si>
    <t>632.50</t>
  </si>
  <si>
    <t xml:space="preserve">Рассохин Александр </t>
  </si>
  <si>
    <t>Open (08.06.1987)/29</t>
  </si>
  <si>
    <t>96,30</t>
  </si>
  <si>
    <t xml:space="preserve">Мегаполис </t>
  </si>
  <si>
    <t xml:space="preserve">Вологда/Вологодская область </t>
  </si>
  <si>
    <t>190,0</t>
  </si>
  <si>
    <t>200,0</t>
  </si>
  <si>
    <t>140,0</t>
  </si>
  <si>
    <t>150,0</t>
  </si>
  <si>
    <t>240,0</t>
  </si>
  <si>
    <t>250,0</t>
  </si>
  <si>
    <t>600.00</t>
  </si>
  <si>
    <t>Андреев Николай</t>
  </si>
  <si>
    <t>Open (20.04.1990)/26</t>
  </si>
  <si>
    <t>99,90</t>
  </si>
  <si>
    <t xml:space="preserve">Лично </t>
  </si>
  <si>
    <t xml:space="preserve">Мирный/Архангельская область </t>
  </si>
  <si>
    <t>192,5</t>
  </si>
  <si>
    <t>0,0</t>
  </si>
  <si>
    <t>0.00</t>
  </si>
  <si>
    <t xml:space="preserve">Глазьев Николай </t>
  </si>
  <si>
    <t>ВЕСОВАЯ КАТЕГОРИЯ   110</t>
  </si>
  <si>
    <t>Open (26.07.1991)/25</t>
  </si>
  <si>
    <t>109,30</t>
  </si>
  <si>
    <t xml:space="preserve">Жуковский/Московская область </t>
  </si>
  <si>
    <t>245,0</t>
  </si>
  <si>
    <t>175,0</t>
  </si>
  <si>
    <t>180,0</t>
  </si>
  <si>
    <t>182,5</t>
  </si>
  <si>
    <t>270,0</t>
  </si>
  <si>
    <t>275,0</t>
  </si>
  <si>
    <t>705.00</t>
  </si>
  <si>
    <t xml:space="preserve">Ломов Игорь 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</si>
  <si>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</si>
  <si>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</si>
  <si>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</si>
  <si>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</si>
  <si>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</si>
  <si>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</si>
  <si>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Gloss </t>
  </si>
  <si>
    <t>ВЕСОВАЯ КАТЕГОРИЯ   52</t>
  </si>
  <si>
    <t>Open (30.05.1991)/25</t>
  </si>
  <si>
    <t>52,00</t>
  </si>
  <si>
    <t>50,0</t>
  </si>
  <si>
    <t>60,0</t>
  </si>
  <si>
    <t>70,0</t>
  </si>
  <si>
    <t>35,0</t>
  </si>
  <si>
    <t>40,0</t>
  </si>
  <si>
    <t>80,0</t>
  </si>
  <si>
    <t>90,0</t>
  </si>
  <si>
    <t>100,0</t>
  </si>
  <si>
    <t xml:space="preserve">Наталья Ловцова </t>
  </si>
  <si>
    <t>ВЕСОВАЯ КАТЕГОРИЯ   56</t>
  </si>
  <si>
    <t>Open (17.03.1975)/41</t>
  </si>
  <si>
    <t>54,40</t>
  </si>
  <si>
    <t>82,5</t>
  </si>
  <si>
    <t>52,5</t>
  </si>
  <si>
    <t>97,5</t>
  </si>
  <si>
    <t>105,0</t>
  </si>
  <si>
    <t>112,5</t>
  </si>
  <si>
    <t>ВЕСОВАЯ КАТЕГОРИЯ   60</t>
  </si>
  <si>
    <t>Любимова Елизавета</t>
  </si>
  <si>
    <t>Teen 18-19 (26.01.1997)/19</t>
  </si>
  <si>
    <t>58,50</t>
  </si>
  <si>
    <t xml:space="preserve">Длужневского </t>
  </si>
  <si>
    <t>57,5</t>
  </si>
  <si>
    <t>62,5</t>
  </si>
  <si>
    <t>30,0</t>
  </si>
  <si>
    <t>32,5</t>
  </si>
  <si>
    <t>67,5</t>
  </si>
  <si>
    <t>Open (24.06.1985)/31</t>
  </si>
  <si>
    <t>59,30</t>
  </si>
  <si>
    <t xml:space="preserve">Котлас/Архангельская область </t>
  </si>
  <si>
    <t>75,0</t>
  </si>
  <si>
    <t>85,0</t>
  </si>
  <si>
    <t>95,0</t>
  </si>
  <si>
    <t>55,0</t>
  </si>
  <si>
    <t>107,5</t>
  </si>
  <si>
    <t xml:space="preserve">самостоятельно </t>
  </si>
  <si>
    <t>Open (28.01.1991)/25</t>
  </si>
  <si>
    <t>59,70</t>
  </si>
  <si>
    <t>87,5</t>
  </si>
  <si>
    <t>45,0</t>
  </si>
  <si>
    <t>47,5</t>
  </si>
  <si>
    <t>115,0</t>
  </si>
  <si>
    <t>130,0</t>
  </si>
  <si>
    <t>ВЕСОВАЯ КАТЕГОРИЯ   67.5</t>
  </si>
  <si>
    <t>Juniors 20-23 (31.12.1993)/22</t>
  </si>
  <si>
    <t>65,80</t>
  </si>
  <si>
    <t>122,5</t>
  </si>
  <si>
    <t xml:space="preserve">Якушевич Алексей </t>
  </si>
  <si>
    <t>Open (08.03.1985)/31</t>
  </si>
  <si>
    <t>62,40</t>
  </si>
  <si>
    <t>120,0</t>
  </si>
  <si>
    <t>125,0</t>
  </si>
  <si>
    <t>65,0</t>
  </si>
  <si>
    <t>ВЕСОВАЯ КАТЕГОРИЯ   75</t>
  </si>
  <si>
    <t>Курылёва Ксения</t>
  </si>
  <si>
    <t>Open (10.10.1992)/24</t>
  </si>
  <si>
    <t>73,70</t>
  </si>
  <si>
    <t xml:space="preserve">Череповец/Вологодская область </t>
  </si>
  <si>
    <t xml:space="preserve">Звездин Игорь </t>
  </si>
  <si>
    <t>Мирзоев Абдул</t>
  </si>
  <si>
    <t>Juniors 20-23 (04.12.1996)/20</t>
  </si>
  <si>
    <t>47,95</t>
  </si>
  <si>
    <t xml:space="preserve">Череповец </t>
  </si>
  <si>
    <t xml:space="preserve">Громов Алексей </t>
  </si>
  <si>
    <t>Open (08.10.1960)/56</t>
  </si>
  <si>
    <t>60,00</t>
  </si>
  <si>
    <t>92,5</t>
  </si>
  <si>
    <t>165,0</t>
  </si>
  <si>
    <t>170,0</t>
  </si>
  <si>
    <t>Teen 16-17 (08.11.1999)/17</t>
  </si>
  <si>
    <t>66,20</t>
  </si>
  <si>
    <t>135,0</t>
  </si>
  <si>
    <t xml:space="preserve">Люсков Сергей </t>
  </si>
  <si>
    <t>Open (03.09.1990)/26</t>
  </si>
  <si>
    <t>66,35</t>
  </si>
  <si>
    <t>142,5</t>
  </si>
  <si>
    <t>160,0</t>
  </si>
  <si>
    <t>172,5</t>
  </si>
  <si>
    <t>Open (08.11.1999)/17</t>
  </si>
  <si>
    <t>Teen 13-15 (08.08.2001)/15</t>
  </si>
  <si>
    <t>73,30</t>
  </si>
  <si>
    <t>102,5</t>
  </si>
  <si>
    <t>Open (23.08.1991)/25</t>
  </si>
  <si>
    <t>72,90</t>
  </si>
  <si>
    <t xml:space="preserve">Архангельск/Архангельская обла </t>
  </si>
  <si>
    <t>110,0</t>
  </si>
  <si>
    <t>195,0</t>
  </si>
  <si>
    <t>207,5</t>
  </si>
  <si>
    <t xml:space="preserve">Личутин Никита </t>
  </si>
  <si>
    <t>Гайдук Савелий</t>
  </si>
  <si>
    <t>Masters 60-64 (19.01.1956)/60</t>
  </si>
  <si>
    <t>69,30</t>
  </si>
  <si>
    <t xml:space="preserve">Петрозаводск/Карелия </t>
  </si>
  <si>
    <t xml:space="preserve">Ерошин Геннадий </t>
  </si>
  <si>
    <t>ВЕСОВАЯ КАТЕГОРИЯ   82.5</t>
  </si>
  <si>
    <t>Попов Артем</t>
  </si>
  <si>
    <t>Open (08.04.1991)/25</t>
  </si>
  <si>
    <t>82,10</t>
  </si>
  <si>
    <t xml:space="preserve">Сокол </t>
  </si>
  <si>
    <t xml:space="preserve">Сокол/Вологодская область </t>
  </si>
  <si>
    <t>220,0</t>
  </si>
  <si>
    <t>230,0</t>
  </si>
  <si>
    <t xml:space="preserve">Шетохин Дмитрий </t>
  </si>
  <si>
    <t>Шашерин Артем</t>
  </si>
  <si>
    <t>Open (08.11.1984)/32</t>
  </si>
  <si>
    <t>81,40</t>
  </si>
  <si>
    <t>185,0</t>
  </si>
  <si>
    <t>202,5</t>
  </si>
  <si>
    <t>137,5</t>
  </si>
  <si>
    <t>227,5</t>
  </si>
  <si>
    <t xml:space="preserve">Рассохин Алесандр </t>
  </si>
  <si>
    <t>Open (23.02.1985)/31</t>
  </si>
  <si>
    <t>82,20</t>
  </si>
  <si>
    <t>Open (02.12.1986)/30</t>
  </si>
  <si>
    <t>80,40</t>
  </si>
  <si>
    <t>Морозов Александр</t>
  </si>
  <si>
    <t>Open (30.07.1983)/33</t>
  </si>
  <si>
    <t>80,00</t>
  </si>
  <si>
    <t xml:space="preserve">Архангельск/Архангельская область </t>
  </si>
  <si>
    <t>197,5</t>
  </si>
  <si>
    <t xml:space="preserve">Горислов Алексей </t>
  </si>
  <si>
    <t>Малов Вадим</t>
  </si>
  <si>
    <t>Open (27.01.1990)/26</t>
  </si>
  <si>
    <t>80,90</t>
  </si>
  <si>
    <t xml:space="preserve">Железнодорожный/Московская область </t>
  </si>
  <si>
    <t>ВЕСОВАЯ КАТЕГОРИЯ   90</t>
  </si>
  <si>
    <t>Open (06.10.1987)/29</t>
  </si>
  <si>
    <t>86,90</t>
  </si>
  <si>
    <t xml:space="preserve">Еремеев Даниил </t>
  </si>
  <si>
    <t>Даниелян Самвел</t>
  </si>
  <si>
    <t>Open (17.04.1991)/25</t>
  </si>
  <si>
    <t>88,55</t>
  </si>
  <si>
    <t>Juniors 20-23 (09.06.1994)/22</t>
  </si>
  <si>
    <t>93,40</t>
  </si>
  <si>
    <t xml:space="preserve">Кронштадт/Санкт-Петербург </t>
  </si>
  <si>
    <t>210,0</t>
  </si>
  <si>
    <t>Open (21.10.1978)/38</t>
  </si>
  <si>
    <t>94,55</t>
  </si>
  <si>
    <t>212,5</t>
  </si>
  <si>
    <t>147,5</t>
  </si>
  <si>
    <t xml:space="preserve">Малюков Алексей </t>
  </si>
  <si>
    <t>Open (09.06.1994)/22</t>
  </si>
  <si>
    <t>Козин Александр</t>
  </si>
  <si>
    <t>Open (14.11.1984)/32</t>
  </si>
  <si>
    <t>93,70</t>
  </si>
  <si>
    <t>Шашерин Николай</t>
  </si>
  <si>
    <t>Open (20.01.1987)/29</t>
  </si>
  <si>
    <t>101,90</t>
  </si>
  <si>
    <t>260,0</t>
  </si>
  <si>
    <t>282,5</t>
  </si>
  <si>
    <t>Open (09.05.1984)/32</t>
  </si>
  <si>
    <t>107,10</t>
  </si>
  <si>
    <t>235,0</t>
  </si>
  <si>
    <t xml:space="preserve">Женщины </t>
  </si>
  <si>
    <t>247,5</t>
  </si>
  <si>
    <t>712,5</t>
  </si>
  <si>
    <t>411,0413</t>
  </si>
  <si>
    <t>585,0</t>
  </si>
  <si>
    <t>378,2903</t>
  </si>
  <si>
    <t>572,5</t>
  </si>
  <si>
    <t>372,2681</t>
  </si>
  <si>
    <t xml:space="preserve">Мастера </t>
  </si>
  <si>
    <t xml:space="preserve">Мастера 60 - 64 </t>
  </si>
  <si>
    <t>Рек Александр</t>
  </si>
  <si>
    <t>Open (13.07.1987)/29</t>
  </si>
  <si>
    <t>67,20</t>
  </si>
  <si>
    <t>217,5</t>
  </si>
  <si>
    <t>187,5</t>
  </si>
  <si>
    <t>Teen 18-19 (19.10.1997)/19</t>
  </si>
  <si>
    <t>81,90</t>
  </si>
  <si>
    <t xml:space="preserve">Бабаево/Вологодская область </t>
  </si>
  <si>
    <t>117,5</t>
  </si>
  <si>
    <t>Парылин Илья</t>
  </si>
  <si>
    <t>Open (31.03.1984)/32</t>
  </si>
  <si>
    <t xml:space="preserve">Тверь/Тверская область </t>
  </si>
  <si>
    <t>225,0</t>
  </si>
  <si>
    <t xml:space="preserve">Тысячнюк Евгений </t>
  </si>
  <si>
    <t>Open (16.12.1989)/27</t>
  </si>
  <si>
    <t>Open (31.01.1992)/24</t>
  </si>
  <si>
    <t>79,40</t>
  </si>
  <si>
    <t>Open (14.10.1985)/31</t>
  </si>
  <si>
    <t>88,80</t>
  </si>
  <si>
    <t xml:space="preserve">Иваново/Ивановская область </t>
  </si>
  <si>
    <t>Open (14.12.1990)/26</t>
  </si>
  <si>
    <t>87,70</t>
  </si>
  <si>
    <t>Juniors 20-23 (31.05.1996)/20</t>
  </si>
  <si>
    <t>99,00</t>
  </si>
  <si>
    <t>Якушевич Алексей</t>
  </si>
  <si>
    <t>Open (02.07.1991)/25</t>
  </si>
  <si>
    <t>94,40</t>
  </si>
  <si>
    <t>290,0</t>
  </si>
  <si>
    <t>302,5</t>
  </si>
  <si>
    <t>310,0</t>
  </si>
  <si>
    <t>285,0</t>
  </si>
  <si>
    <t>300,0</t>
  </si>
  <si>
    <t>307,5</t>
  </si>
  <si>
    <t>Шарапов Роман</t>
  </si>
  <si>
    <t>Open (18.03.1987)/29</t>
  </si>
  <si>
    <t>100,00</t>
  </si>
  <si>
    <t>280,0</t>
  </si>
  <si>
    <t xml:space="preserve">Шиловский Евгений </t>
  </si>
  <si>
    <t>Open (15.02.1987)/29</t>
  </si>
  <si>
    <t>105,25</t>
  </si>
  <si>
    <t>242,5</t>
  </si>
  <si>
    <t>630,0</t>
  </si>
  <si>
    <t>407,3895</t>
  </si>
  <si>
    <t>530,0</t>
  </si>
  <si>
    <t>398,1625</t>
  </si>
  <si>
    <t>Juniors 20-23 (10.07.1994)/22</t>
  </si>
  <si>
    <t>82,00</t>
  </si>
  <si>
    <t>Open (27.03.1990)/26</t>
  </si>
  <si>
    <t>87,40</t>
  </si>
  <si>
    <t>ВЕСОВАЯ КАТЕГОРИЯ   125</t>
  </si>
  <si>
    <t>Open (12.12.1986)/30</t>
  </si>
  <si>
    <t>111,00</t>
  </si>
  <si>
    <t>570,0</t>
  </si>
  <si>
    <t>Длужневская Владислава</t>
  </si>
  <si>
    <t>Teen 16-17 (10.06.2000)/16</t>
  </si>
  <si>
    <t>Валовень Анастасия</t>
  </si>
  <si>
    <t>Juniors 20-23 (27.12.1994)/21</t>
  </si>
  <si>
    <t>57,40</t>
  </si>
  <si>
    <t>Open (10.06.2000)/16</t>
  </si>
  <si>
    <t>Open (27.10.1985)/31</t>
  </si>
  <si>
    <t>64,90</t>
  </si>
  <si>
    <t xml:space="preserve">Няндома/Архангельская область </t>
  </si>
  <si>
    <t xml:space="preserve">Григорьев Константин </t>
  </si>
  <si>
    <t>Open (26.06.1977)/39</t>
  </si>
  <si>
    <t xml:space="preserve">Ярославль/Ярославская область </t>
  </si>
  <si>
    <t>127,5</t>
  </si>
  <si>
    <t>Juniors 20-23 (02.08.1993)/23</t>
  </si>
  <si>
    <t>87,80</t>
  </si>
  <si>
    <t>162,5</t>
  </si>
  <si>
    <t xml:space="preserve">Бурков Алексей </t>
  </si>
  <si>
    <t>Карташов Максим</t>
  </si>
  <si>
    <t>Open (12.02.1990)/26</t>
  </si>
  <si>
    <t>89,80</t>
  </si>
  <si>
    <t xml:space="preserve">Парнас </t>
  </si>
  <si>
    <t>Masters 55-59 (13.09.1959)/57</t>
  </si>
  <si>
    <t>83,60</t>
  </si>
  <si>
    <t>Masters 60-64 (15.06.1954)/62</t>
  </si>
  <si>
    <t>88,10</t>
  </si>
  <si>
    <t>167,5</t>
  </si>
  <si>
    <t xml:space="preserve">Папушой Виктор </t>
  </si>
  <si>
    <t>Juniors 20-23 (23.06.1995)/21</t>
  </si>
  <si>
    <t>97,95</t>
  </si>
  <si>
    <t>Open (03.08.1986)/30</t>
  </si>
  <si>
    <t>99,70</t>
  </si>
  <si>
    <t>Соболев Алексей</t>
  </si>
  <si>
    <t>Masters 40-44 (31.03.1973)/43</t>
  </si>
  <si>
    <t>99,80</t>
  </si>
  <si>
    <t>Никоноров Андрей</t>
  </si>
  <si>
    <t>Open (26.10.1975)/41</t>
  </si>
  <si>
    <t>109,20</t>
  </si>
  <si>
    <t>Open (17.08.1985)/31</t>
  </si>
  <si>
    <t>107,45</t>
  </si>
  <si>
    <t>Open (29.05.1984)/32</t>
  </si>
  <si>
    <t>106,50</t>
  </si>
  <si>
    <t>Open (08.08.1987)/29</t>
  </si>
  <si>
    <t>100,60</t>
  </si>
  <si>
    <t>Пашовкин Валентин</t>
  </si>
  <si>
    <t>Open (28.05.1985)/31</t>
  </si>
  <si>
    <t>108,00</t>
  </si>
  <si>
    <t>Калининский Илья</t>
  </si>
  <si>
    <t>Open (11.04.1989)/27</t>
  </si>
  <si>
    <t>112,90</t>
  </si>
  <si>
    <t>Open (18.04.1981)/35</t>
  </si>
  <si>
    <t>117,35</t>
  </si>
  <si>
    <t xml:space="preserve">Смыслов Иван </t>
  </si>
  <si>
    <t>ВЕСОВАЯ КАТЕГОРИЯ   140</t>
  </si>
  <si>
    <t>Лазарев Александр</t>
  </si>
  <si>
    <t>Open (13.06.1986)/30</t>
  </si>
  <si>
    <t>136,30</t>
  </si>
  <si>
    <t xml:space="preserve">Кострома/Костромская область </t>
  </si>
  <si>
    <t>109,0760</t>
  </si>
  <si>
    <t>135,2760</t>
  </si>
  <si>
    <t>125,6963</t>
  </si>
  <si>
    <t>119,4570</t>
  </si>
  <si>
    <t xml:space="preserve">Мастера 55 - 59 </t>
  </si>
  <si>
    <t>ВЕСОВАЯ КАТЕГОРИЯ   48</t>
  </si>
  <si>
    <t>Баженова Елизавета</t>
  </si>
  <si>
    <t>Open (03.07.1991)/25</t>
  </si>
  <si>
    <t>46,60</t>
  </si>
  <si>
    <t xml:space="preserve">Мокосин Антон </t>
  </si>
  <si>
    <t>Open (14.05.1987)/29</t>
  </si>
  <si>
    <t>46,70</t>
  </si>
  <si>
    <t>37,5</t>
  </si>
  <si>
    <t>Open (11.01.1990)/26</t>
  </si>
  <si>
    <t>51,20</t>
  </si>
  <si>
    <t>Емеличева Любовь</t>
  </si>
  <si>
    <t>Open (24.12.1989)/27</t>
  </si>
  <si>
    <t>Open (29.11.1986)/30</t>
  </si>
  <si>
    <t>61,10</t>
  </si>
  <si>
    <t>Teen 16-17 (28.12.1998)/17</t>
  </si>
  <si>
    <t>72,5</t>
  </si>
  <si>
    <t>Митин Илья</t>
  </si>
  <si>
    <t>Teen 13-15 (16.07.2002)/14</t>
  </si>
  <si>
    <t>50,10</t>
  </si>
  <si>
    <t xml:space="preserve">Ершов А. В. </t>
  </si>
  <si>
    <t>Teen 18-19 (06.05.1998)/18</t>
  </si>
  <si>
    <t>59,50</t>
  </si>
  <si>
    <t>Teen 18-19 (06.03.1997)/19</t>
  </si>
  <si>
    <t>64,40</t>
  </si>
  <si>
    <t>Осовской Илья</t>
  </si>
  <si>
    <t>Teen 18-19 (02.01.1998)/18</t>
  </si>
  <si>
    <t>64,60</t>
  </si>
  <si>
    <t>Juniors 20-23 (25.05.1995)/21</t>
  </si>
  <si>
    <t>64,20</t>
  </si>
  <si>
    <t>Juniors 20-23 (19.11.1994)/22</t>
  </si>
  <si>
    <t>65,50</t>
  </si>
  <si>
    <t>Open (21.02.1989)/27</t>
  </si>
  <si>
    <t xml:space="preserve">Борисов Александр </t>
  </si>
  <si>
    <t>Open (29.04.1987)/29</t>
  </si>
  <si>
    <t>Masters 45-49 (14.04.1970)/46</t>
  </si>
  <si>
    <t>63,30</t>
  </si>
  <si>
    <t>Juniors 20-23 (04.01.1995)/21</t>
  </si>
  <si>
    <t>73,00</t>
  </si>
  <si>
    <t>Рассохин Александр</t>
  </si>
  <si>
    <t>Open (08.10.1985)/31</t>
  </si>
  <si>
    <t>75,00</t>
  </si>
  <si>
    <t>Open (29.12.1978)/37</t>
  </si>
  <si>
    <t>73,90</t>
  </si>
  <si>
    <t>Open (26.09.1990)/26</t>
  </si>
  <si>
    <t>71,90</t>
  </si>
  <si>
    <t xml:space="preserve">Гузанов Дмитрий </t>
  </si>
  <si>
    <t>Богачев Роман</t>
  </si>
  <si>
    <t>Juniors 20-23 (07.02.1996)/20</t>
  </si>
  <si>
    <t>76,40</t>
  </si>
  <si>
    <t xml:space="preserve">Горячев Сергей </t>
  </si>
  <si>
    <t>Open (09.05.1992)/24</t>
  </si>
  <si>
    <t>79,70</t>
  </si>
  <si>
    <t xml:space="preserve">Вельск/Архангельская область </t>
  </si>
  <si>
    <t>Teen 16-17 (13.03.1999)/17</t>
  </si>
  <si>
    <t>87,65</t>
  </si>
  <si>
    <t xml:space="preserve">Грязовец/Вологодская область </t>
  </si>
  <si>
    <t>132,5</t>
  </si>
  <si>
    <t>Open (01.03.1982)/34</t>
  </si>
  <si>
    <t>90,00</t>
  </si>
  <si>
    <t>Open (25.08.1987)/29</t>
  </si>
  <si>
    <t>88,85</t>
  </si>
  <si>
    <t>Open (09.10.1990)/26</t>
  </si>
  <si>
    <t>88,60</t>
  </si>
  <si>
    <t>Open (29.01.1984)/32</t>
  </si>
  <si>
    <t>89,50</t>
  </si>
  <si>
    <t>Кузнецов Олег</t>
  </si>
  <si>
    <t>Open (09.09.1990)/26</t>
  </si>
  <si>
    <t>88,30</t>
  </si>
  <si>
    <t xml:space="preserve">Налимов Виталий </t>
  </si>
  <si>
    <t>Masters 45-49 (05.01.1971)/45</t>
  </si>
  <si>
    <t>84,90</t>
  </si>
  <si>
    <t>Open (06.07.1978)/38</t>
  </si>
  <si>
    <t>97,80</t>
  </si>
  <si>
    <t>Open (22.12.1986)/30</t>
  </si>
  <si>
    <t>98,50</t>
  </si>
  <si>
    <t xml:space="preserve">Ловцова Наталья </t>
  </si>
  <si>
    <t>Open (19.06.1985)/31</t>
  </si>
  <si>
    <t>95,85</t>
  </si>
  <si>
    <t>Open (27.12.1983)/32</t>
  </si>
  <si>
    <t>94,00</t>
  </si>
  <si>
    <t>Masters 40-44 (21.08.1973)/43</t>
  </si>
  <si>
    <t>91,00</t>
  </si>
  <si>
    <t>Мухтаров Сергей</t>
  </si>
  <si>
    <t>Masters 55-59 (17.02.1961)/55</t>
  </si>
  <si>
    <t>96,70</t>
  </si>
  <si>
    <t>156,0</t>
  </si>
  <si>
    <t>Мальчиков Денис</t>
  </si>
  <si>
    <t>Open (12.06.1980)/36</t>
  </si>
  <si>
    <t>108,25</t>
  </si>
  <si>
    <t xml:space="preserve">Фурсов Руслан </t>
  </si>
  <si>
    <t>Срослов Евгений</t>
  </si>
  <si>
    <t>Open (15.07.1978)/38</t>
  </si>
  <si>
    <t>108,50</t>
  </si>
  <si>
    <t>157,5</t>
  </si>
  <si>
    <t>Masters 40-44 (14.06.1975)/41</t>
  </si>
  <si>
    <t>108,40</t>
  </si>
  <si>
    <t>Masters 40-44 (22.04.1974)/42</t>
  </si>
  <si>
    <t>108,60</t>
  </si>
  <si>
    <t>Малыгин Дмитрий</t>
  </si>
  <si>
    <t>Masters 45-49 (12.04.1967)/49</t>
  </si>
  <si>
    <t>108,20</t>
  </si>
  <si>
    <t xml:space="preserve">Харовск/Вологодская область </t>
  </si>
  <si>
    <t>Masters 50-54 (23.01.1962)/54</t>
  </si>
  <si>
    <t>103,60</t>
  </si>
  <si>
    <t xml:space="preserve">Логунов Анатолий </t>
  </si>
  <si>
    <t>Логунов Анатолий</t>
  </si>
  <si>
    <t>Masters 60-64 (08.01.1953)/63</t>
  </si>
  <si>
    <t>Воронцов Артем</t>
  </si>
  <si>
    <t>Open (03.08.1976)/40</t>
  </si>
  <si>
    <t>110,10</t>
  </si>
  <si>
    <t xml:space="preserve">Тихвин/Ленинградская область </t>
  </si>
  <si>
    <t>Open (03.10.1980)/36</t>
  </si>
  <si>
    <t>113,80</t>
  </si>
  <si>
    <t>177,5</t>
  </si>
  <si>
    <t>Masters 40-44 (03.08.1976)/40</t>
  </si>
  <si>
    <t>66,3190</t>
  </si>
  <si>
    <t>59,2560</t>
  </si>
  <si>
    <t>128,5603</t>
  </si>
  <si>
    <t>115,2817</t>
  </si>
  <si>
    <t>111,8894</t>
  </si>
  <si>
    <t>124,1137</t>
  </si>
  <si>
    <t xml:space="preserve">Мастера 40 - 44 </t>
  </si>
  <si>
    <t>108,4033</t>
  </si>
  <si>
    <t>Open (29.10.1983)/33</t>
  </si>
  <si>
    <t>117,70</t>
  </si>
  <si>
    <t xml:space="preserve">Козырев Олег </t>
  </si>
  <si>
    <t>Open (09.12.1977)/39</t>
  </si>
  <si>
    <t>59,80</t>
  </si>
  <si>
    <t xml:space="preserve">Рыбинск/Ярославская область </t>
  </si>
  <si>
    <t>Open (29.05.1989)/27</t>
  </si>
  <si>
    <t>68,00</t>
  </si>
  <si>
    <t>Juniors 20-23 (07.06.1995)/21</t>
  </si>
  <si>
    <t>83,10</t>
  </si>
  <si>
    <t xml:space="preserve">Балашов Николай </t>
  </si>
  <si>
    <t>Кожин Леонид</t>
  </si>
  <si>
    <t>65,45</t>
  </si>
  <si>
    <t xml:space="preserve">Воложанов Сергей </t>
  </si>
  <si>
    <t>Open (08.01.1989)/27</t>
  </si>
  <si>
    <t>72,20</t>
  </si>
  <si>
    <t>237,5</t>
  </si>
  <si>
    <t>Open (22.10.1987)/29</t>
  </si>
  <si>
    <t>99,50</t>
  </si>
  <si>
    <t>257,5</t>
  </si>
  <si>
    <t>272,5</t>
  </si>
  <si>
    <t>Masters 40-44 (04.09.1973)/43</t>
  </si>
  <si>
    <t>108,80</t>
  </si>
  <si>
    <t>Juniors 20-23 (24.07.1993)/23</t>
  </si>
  <si>
    <t>119,60</t>
  </si>
  <si>
    <t xml:space="preserve">Ловцова Наталия </t>
  </si>
  <si>
    <t>Зеленин Сергей</t>
  </si>
  <si>
    <t>Open (16.05.1970)/46</t>
  </si>
  <si>
    <t>113,20</t>
  </si>
  <si>
    <t>320,0</t>
  </si>
  <si>
    <t>330,0</t>
  </si>
  <si>
    <t>Open (24.07.1993)/23</t>
  </si>
  <si>
    <t>184,4568</t>
  </si>
  <si>
    <t>184,2390</t>
  </si>
  <si>
    <t>183,5006</t>
  </si>
  <si>
    <t>148,3719</t>
  </si>
  <si>
    <t>Teen 18-19 (02.06.1998)/18</t>
  </si>
  <si>
    <t>55,10</t>
  </si>
  <si>
    <t xml:space="preserve">Комсомольск/Ивановская область </t>
  </si>
  <si>
    <t>Open (23.02.1989)/27</t>
  </si>
  <si>
    <t>58,30</t>
  </si>
  <si>
    <t xml:space="preserve">Иван Волчек </t>
  </si>
  <si>
    <t>Васильева Евгения</t>
  </si>
  <si>
    <t>Open (29.12.1977)/38</t>
  </si>
  <si>
    <t>65,20</t>
  </si>
  <si>
    <t>Сенько Евгений</t>
  </si>
  <si>
    <t>Open (19.03.1989)/27</t>
  </si>
  <si>
    <t>54,70</t>
  </si>
  <si>
    <t>Teen 13-15 (08.07.2001)/15</t>
  </si>
  <si>
    <t>66,00</t>
  </si>
  <si>
    <t>Teen 16-17 (03.10.2000)/16</t>
  </si>
  <si>
    <t>61,55</t>
  </si>
  <si>
    <t>Teen 16-17 (07.02.2000)/16</t>
  </si>
  <si>
    <t>Open (22.06.1987)/29</t>
  </si>
  <si>
    <t>72,60</t>
  </si>
  <si>
    <t xml:space="preserve">Гук Николай </t>
  </si>
  <si>
    <t>Juniors 20-23 (11.11.1995)/21</t>
  </si>
  <si>
    <t>Open (10.06.1986)/30</t>
  </si>
  <si>
    <t>79,60</t>
  </si>
  <si>
    <t>Open (03.08.1980)/36</t>
  </si>
  <si>
    <t>80,70</t>
  </si>
  <si>
    <t>Open (21.09.1985)/31</t>
  </si>
  <si>
    <t>86,40</t>
  </si>
  <si>
    <t>Open (21.02.1987)/29</t>
  </si>
  <si>
    <t>88,90</t>
  </si>
  <si>
    <t xml:space="preserve">Вытегра/Вологодская область </t>
  </si>
  <si>
    <t>Juniors 20-23 (17.03.1993)/23</t>
  </si>
  <si>
    <t>97,50</t>
  </si>
  <si>
    <t xml:space="preserve">Мурманск/Мурманская область </t>
  </si>
  <si>
    <t>Сотов Алексей</t>
  </si>
  <si>
    <t>Open (04.10.1989)/27</t>
  </si>
  <si>
    <t>108,30</t>
  </si>
  <si>
    <t>305,0</t>
  </si>
  <si>
    <t>Open (03.06.1983)/33</t>
  </si>
  <si>
    <t>104,60</t>
  </si>
  <si>
    <t>172,3250</t>
  </si>
  <si>
    <t>150,9420</t>
  </si>
  <si>
    <t>Juniors 20-23 (21.09.1994)/22</t>
  </si>
  <si>
    <t>Open (21.09.1994)/22</t>
  </si>
  <si>
    <t>Open (10.08.1988)/28</t>
  </si>
  <si>
    <t>Juniors 20-23 (22.12.1995)/21</t>
  </si>
  <si>
    <t>Teen 16-17 (07.10.1999)/17</t>
  </si>
  <si>
    <t>55,70</t>
  </si>
  <si>
    <t>Teen 16-17 (05.04.1999)/17</t>
  </si>
  <si>
    <t>Teen 16-17 (07.01.2000)/16</t>
  </si>
  <si>
    <t>89,00</t>
  </si>
  <si>
    <t>267,5</t>
  </si>
  <si>
    <t>Open (29.02.1984)/32</t>
  </si>
  <si>
    <t>67,50</t>
  </si>
  <si>
    <t>Присед</t>
  </si>
  <si>
    <t>1</t>
  </si>
  <si>
    <t>2</t>
  </si>
  <si>
    <t>3</t>
  </si>
  <si>
    <t>Место</t>
  </si>
  <si>
    <t>Командные очки</t>
  </si>
  <si>
    <t>30</t>
  </si>
  <si>
    <t>21</t>
  </si>
  <si>
    <t>24</t>
  </si>
  <si>
    <t>12</t>
  </si>
  <si>
    <t>Архангельск/Архангельская область</t>
  </si>
  <si>
    <t xml:space="preserve">Рычагов С.М. </t>
  </si>
  <si>
    <t>Жим лежа</t>
  </si>
  <si>
    <t>Становая тяга</t>
  </si>
  <si>
    <t>9</t>
  </si>
  <si>
    <t>471,472</t>
  </si>
  <si>
    <t xml:space="preserve">Шувалов С.Г. Шувалова Л.Г. </t>
  </si>
  <si>
    <t>4</t>
  </si>
  <si>
    <t>5</t>
  </si>
  <si>
    <t>20</t>
  </si>
  <si>
    <t>7</t>
  </si>
  <si>
    <t>Шетохин Дмитрий</t>
  </si>
  <si>
    <t>Великий Устюг/Вологодская область</t>
  </si>
  <si>
    <t>36</t>
  </si>
  <si>
    <t>8</t>
  </si>
  <si>
    <t>790,0</t>
  </si>
  <si>
    <t>Masters 40-49 (03.03.1972)/44</t>
  </si>
  <si>
    <t>66,50</t>
  </si>
  <si>
    <t>Кубышкин Евгений</t>
  </si>
  <si>
    <t>Open (08.04.1987)/29</t>
  </si>
  <si>
    <t>80,25</t>
  </si>
  <si>
    <t>Качанов Клим</t>
  </si>
  <si>
    <t>Masters 40-49 (19.06.1973)/43</t>
  </si>
  <si>
    <t>89,05</t>
  </si>
  <si>
    <t>Гаража Юрий</t>
  </si>
  <si>
    <t>Open (02.06.1982)/34</t>
  </si>
  <si>
    <t>Masters 40-49 (10.01.1967)/49</t>
  </si>
  <si>
    <t>89,40</t>
  </si>
  <si>
    <t>220.00</t>
  </si>
  <si>
    <t>225.00</t>
  </si>
  <si>
    <t>Teen 13-19 (10.06.2000)/16</t>
  </si>
  <si>
    <t>Masters 40-49 (14.04.1970)/46</t>
  </si>
  <si>
    <t>Masters 40-49 (14.03.1976)/40</t>
  </si>
  <si>
    <t>63,60</t>
  </si>
  <si>
    <t>Masters 60+ (24.08.1955)/61</t>
  </si>
  <si>
    <t>64,50</t>
  </si>
  <si>
    <t xml:space="preserve">Степанова Светлана </t>
  </si>
  <si>
    <t>Open (20.06.1987)/29</t>
  </si>
  <si>
    <t>74,70</t>
  </si>
  <si>
    <t>Open (31.12.1990)/25</t>
  </si>
  <si>
    <t>69,80</t>
  </si>
  <si>
    <t>Open (02.06.1975)/41</t>
  </si>
  <si>
    <t>77,70</t>
  </si>
  <si>
    <t>Masters 40-49 (02.06.1975)/41</t>
  </si>
  <si>
    <t>Open (07.06.1986)/30</t>
  </si>
  <si>
    <t>Masters 40-49 (12.04.1967)/49</t>
  </si>
  <si>
    <t>Masters 60+ (08.01.1953)/63</t>
  </si>
  <si>
    <t xml:space="preserve">Никитинский Александр </t>
  </si>
  <si>
    <t>Говорухин Сергей</t>
  </si>
  <si>
    <t>3237,5</t>
  </si>
  <si>
    <t>2021,0094</t>
  </si>
  <si>
    <t>2925,0</t>
  </si>
  <si>
    <t>1644,8737</t>
  </si>
  <si>
    <t>Бахметьев Андрей</t>
  </si>
  <si>
    <t>2175,0</t>
  </si>
  <si>
    <t>1502,0550</t>
  </si>
  <si>
    <t>1500.00</t>
  </si>
  <si>
    <t>Open (12.12.1984)/32</t>
  </si>
  <si>
    <t>69,50</t>
  </si>
  <si>
    <t>2100.00</t>
  </si>
  <si>
    <t>3960.00</t>
  </si>
  <si>
    <t>Open (27.11.1983)/33</t>
  </si>
  <si>
    <t>85,00</t>
  </si>
  <si>
    <t>3315.00</t>
  </si>
  <si>
    <t>Open (24.12.1985)/31</t>
  </si>
  <si>
    <t>98,90</t>
  </si>
  <si>
    <t>3700.00</t>
  </si>
  <si>
    <t xml:space="preserve">Соловьев Михаил </t>
  </si>
  <si>
    <t>2850.00</t>
  </si>
  <si>
    <t>Masters 40-49 (31.03.1973)/43</t>
  </si>
  <si>
    <t>2800.00</t>
  </si>
  <si>
    <t>3225.00</t>
  </si>
  <si>
    <t>3960,0</t>
  </si>
  <si>
    <t>2422,9261</t>
  </si>
  <si>
    <t>2232,0540</t>
  </si>
  <si>
    <t>Седов Олег</t>
  </si>
  <si>
    <t>3700,0</t>
  </si>
  <si>
    <t>2160,9850</t>
  </si>
  <si>
    <t>Вес</t>
  </si>
  <si>
    <t>Жим многоповторный</t>
  </si>
  <si>
    <t>Тоннаж</t>
  </si>
  <si>
    <t>64,70</t>
  </si>
  <si>
    <t>Open (06.04.1983)/33</t>
  </si>
  <si>
    <t>88,50</t>
  </si>
  <si>
    <t>Тяга</t>
  </si>
  <si>
    <t>Open (29.05.1986)/30</t>
  </si>
  <si>
    <t>72,50</t>
  </si>
  <si>
    <t>ВЕСОВАЯ КАТЕГОРИЯ   70</t>
  </si>
  <si>
    <t>Open (02.02.1990)/26</t>
  </si>
  <si>
    <t>68,70</t>
  </si>
  <si>
    <t>ВЕСОВАЯ КАТЕГОРИЯ   80</t>
  </si>
  <si>
    <t>Open (05.01.1981)/35</t>
  </si>
  <si>
    <t>78,20</t>
  </si>
  <si>
    <t>рек.</t>
  </si>
  <si>
    <t>Wilks</t>
  </si>
  <si>
    <t>Повторы</t>
  </si>
  <si>
    <t>Teen 14-17 (10.06.2000)/16</t>
  </si>
  <si>
    <t>Open (20.06.1979)/37</t>
  </si>
  <si>
    <t>69,60</t>
  </si>
  <si>
    <t>Open (14.08.1985)/31</t>
  </si>
  <si>
    <t>89,10</t>
  </si>
  <si>
    <t>Open (24.08.1983)/33</t>
  </si>
  <si>
    <t>97,60</t>
  </si>
  <si>
    <t>139,0</t>
  </si>
  <si>
    <t>Жим на максимум</t>
  </si>
  <si>
    <t>Open (22.01.1986)/30</t>
  </si>
  <si>
    <t>1700,0</t>
  </si>
  <si>
    <t>Open (21.12.1980)/36</t>
  </si>
  <si>
    <t>80</t>
  </si>
  <si>
    <t>111,0</t>
  </si>
  <si>
    <t>144,0</t>
  </si>
  <si>
    <t>Москва/Московская область</t>
  </si>
  <si>
    <t xml:space="preserve">Длужневский Сергей </t>
  </si>
  <si>
    <t>Москва /Московская область</t>
  </si>
  <si>
    <t xml:space="preserve">Нагибин Денис </t>
  </si>
  <si>
    <t xml:space="preserve">Короглишвили Роман </t>
  </si>
  <si>
    <t>Вожега/Вологодская область</t>
  </si>
  <si>
    <t>Пгт Спирово/Тверская область</t>
  </si>
  <si>
    <t>Яролавль/Ярославская область</t>
  </si>
  <si>
    <t xml:space="preserve">Сташко Степан </t>
  </si>
  <si>
    <t xml:space="preserve">Длужневский Сергей  </t>
  </si>
  <si>
    <t xml:space="preserve">Москва/Московская область </t>
  </si>
  <si>
    <t xml:space="preserve">Ростов-на-Дону/Ростовская область </t>
  </si>
  <si>
    <t>Яров Артем</t>
  </si>
  <si>
    <t xml:space="preserve">  </t>
  </si>
  <si>
    <t>Вологда/Вологодская область</t>
  </si>
  <si>
    <t>Ловцова Наталья</t>
  </si>
  <si>
    <t xml:space="preserve">   </t>
  </si>
  <si>
    <t xml:space="preserve"> </t>
  </si>
  <si>
    <t>Санкт-Петербург/Ленинградская область</t>
  </si>
  <si>
    <t>Длужневский Сергей</t>
  </si>
  <si>
    <t>Главный судья соревнований: Длужневская Эльвира/Вологда МК</t>
  </si>
  <si>
    <t>Главный секретарь соревнований: Новиков Степан/Вологда МК</t>
  </si>
  <si>
    <t xml:space="preserve">Секретари: Длужневская Владислава/Вологда, Литвинов Дмитрий/Ярославль, Литвинова Ксения/Ярославль. Краснова Екатерина/Вологда </t>
  </si>
  <si>
    <t xml:space="preserve">Судьи: Кузнецов Руслан/Вологда РК, Кузнецова Оксана/Санкт-Петербург НК, Налимов Виталий/Вологда НК, Якименков Георгий/Вологда НК, </t>
  </si>
  <si>
    <t>Рассохин Александр/Великий Устюг НК, Смирнов Олег/Санкт-Петербург НК, Третьякова Алена/Великий Устюг РК, Хомутов Андрей/Вологда РК</t>
  </si>
  <si>
    <t>Мегаполис 540</t>
  </si>
  <si>
    <t>Великий Устюг 450</t>
  </si>
  <si>
    <t>Череповец 110</t>
  </si>
  <si>
    <t>Сокол 180</t>
  </si>
  <si>
    <t>Парнас 89</t>
  </si>
  <si>
    <t>Команда Длужневского 1284</t>
  </si>
  <si>
    <t>Всероссийский мастерскийо турнир "Русский Север"                                                                                                                                      Пауэрлифтинг без экипировки с ДК
г. Вологда 23 - 25 декабря 2016 г.</t>
  </si>
  <si>
    <t>Всероссийский мастерский турнир "Русский север"                                                                                                                                     Пауэрлифтинг без экипировки
г. Вологда 23 - 25 декабря 2016 г.</t>
  </si>
  <si>
    <t>Всероссийский мастерский турнир "Русский север"                                                                                                                                     Пауэрлифтинг в бинтах ДК
г. Вологда 23 - 25 декабря 2016 г.</t>
  </si>
  <si>
    <t>Всероссийский мастерский турнир "Русский север"                                                                                                                                     Пауэрлифтинг в однослойной экипировке
г. Вологда 23 - 25 декабря 2016 г.</t>
  </si>
  <si>
    <t>Всероссийский мастерский турнир "Русский север"                                                                                                                   Силовое двоеборье без экипировки с ДК
г. Вологда 23 - 25 декабря 2016 г.</t>
  </si>
  <si>
    <t>Всероссийский мастерский турнир "Русский север"                                                                            Присед в бинтах ДК
г. Вологда 23 - 25 декабря 2016 г.</t>
  </si>
  <si>
    <t>Всероссийский мастерский турнир "Русский север"                                                                                                                 Присед в бинтах
г. Вологда 23 - 25 декабря 2016 г.</t>
  </si>
  <si>
    <t>Всероссийский мастерский турнир "Русский север"                                                                                                                Присед без экипировки
г. Вологда 23 - 25 декабря 2016 г.</t>
  </si>
  <si>
    <t>Всероссийский мастерский турнир "Русский север"                                                                                                              Жим лежа без экипировки с ДК
г. Вологда 23 - 25 декабря 2016 г.</t>
  </si>
  <si>
    <t>Всероссийский мастерский турнир "Русский север"                                                                                                              Жим лежа без экипировки
г. Вологда 23 - 25 декабря 2016 г.</t>
  </si>
  <si>
    <t>Всероссийский мастерский турнир "Русский север"                                                                                                          Жим лежа однослойная экипировка с ДК
г. Вологда 23 - 25 декабря 2016 г.</t>
  </si>
  <si>
    <t>Всероссийский мастерский турнир "Русский север"                                                                                         Жим лежа софт экипировка 
г. Вологда 23 - 25 декабря 2016 г.</t>
  </si>
  <si>
    <t>Всероссийский мастерский турнир "Русский север"                                                                             Жим лежа СФО
г. Вологда 23 - 25 декабря 2016 г.</t>
  </si>
  <si>
    <t>Всероссийский мастерский турнир "Русский север"                                                                                                             Народный жим 1 вес с ДК
г. Вологда 23 - 25 декабря 2016 г.</t>
  </si>
  <si>
    <t>Всероссийский мастерский турнир "Русский север"                                                                                                                     Народный жим 1 вес
г. Вологда 23 - 25 декабря 2016 г.</t>
  </si>
  <si>
    <t>Всероссийский мастерский турнир "Русский север"                                                                                                                  Становая тяга без экипировки с ДК
г. Вологда 23 - 25 декабря 2016 г.</t>
  </si>
  <si>
    <t>Всероссийский мастерский турнир "Русский север"                                                                                                              Становая тяга без экипировки
г. Вологда 23 - 25 декабря 2016 г.</t>
  </si>
  <si>
    <t>Всероссийский мастерский турнир "Русский север"                                                                                             Пауэрспорт с ДК
г. Вологда 23 - 25 декабря 2016 г.</t>
  </si>
  <si>
    <t>Всероссийский мастерский турнир "Русский север"                                                                                        Apollon`s Axle
г. Вологда 23 - 25 декабря 2016 г.</t>
  </si>
  <si>
    <t>Всероссийский мастерский турнир "Русский север"                                                                                                                                           Жимовое двоеборье любители с ДК
г. Вологда 23 - 25 декабря 2016 г.</t>
  </si>
  <si>
    <t>Всероссийский мастерский турнир "Русский север"                                                                                                                                         Жим на максимум любители с ДК
г. Вологда 23 - 25 декабря 2016 г.</t>
  </si>
  <si>
    <t>Всероссийский мастерский турнир "Русский север"                                                                                                                       Жим многоповторный любители с ДК
г. Вологда 23 - 25 декабря 2016 г.</t>
  </si>
  <si>
    <t>Всероссийский мастерский турнир "Русский север"                                                                                                                      Жимовое двоеборье любители
г. Вологда 23 - 25 декабря 2016 г.</t>
  </si>
  <si>
    <t>Всероссийский мастерский турнир "Русский север"                                                                                                                      Армейский жим
г. Вологда 23 - 25 декабря 2016 г.</t>
  </si>
  <si>
    <t>Всероссийский мастерский турнир "Русский север"                                                                         Командный зачет
г. Вологда 23 - 25 декабря 2016 г.</t>
  </si>
  <si>
    <t>Всероссийский мастерский турнир "Русский север"                                                                         Судейский корпус
г. Вологда 23 - 25 декабря 2016 г.</t>
  </si>
  <si>
    <t>Сумма</t>
  </si>
  <si>
    <t>Арутюнян Зара</t>
  </si>
  <si>
    <t>Грызулева Ирина</t>
  </si>
  <si>
    <t>Одинцова Ирина</t>
  </si>
  <si>
    <t>Кузьмина Алена</t>
  </si>
  <si>
    <t>Ельцина Анна</t>
  </si>
  <si>
    <t>Варенюк Татьяна</t>
  </si>
  <si>
    <t>Двойников Олег</t>
  </si>
  <si>
    <t>Люсков Роман</t>
  </si>
  <si>
    <t>Кузнецов Михаил</t>
  </si>
  <si>
    <t>Ленок Ян</t>
  </si>
  <si>
    <t>Ефимцов Сергей</t>
  </si>
  <si>
    <t>Раджабов Роман</t>
  </si>
  <si>
    <t>Зуев Никита</t>
  </si>
  <si>
    <t>Козин Анатолий</t>
  </si>
  <si>
    <t>Чайка Игорь</t>
  </si>
  <si>
    <t>Молодцов Александр</t>
  </si>
  <si>
    <t>Киселкин Петр</t>
  </si>
  <si>
    <t>Моисеев Сергей</t>
  </si>
  <si>
    <t>Чугунов Денис</t>
  </si>
  <si>
    <t>Костерин Валерий</t>
  </si>
  <si>
    <t>Личутин Никита</t>
  </si>
  <si>
    <t>Яровой Дмитрий</t>
  </si>
  <si>
    <t>Бойков Михаил</t>
  </si>
  <si>
    <t>Борисов Александр</t>
  </si>
  <si>
    <t>Клиновицкий Александр</t>
  </si>
  <si>
    <t>Сурков Сергей</t>
  </si>
  <si>
    <t>Голубков Сергей</t>
  </si>
  <si>
    <t>Иванов Дмитрий</t>
  </si>
  <si>
    <t>Калининский Антон</t>
  </si>
  <si>
    <t>Чайка Александр</t>
  </si>
  <si>
    <t>Пашков Игорь</t>
  </si>
  <si>
    <t>Казимирский Александр</t>
  </si>
  <si>
    <t>Сажнев Владислав</t>
  </si>
  <si>
    <t>Лукаш Виктор</t>
  </si>
  <si>
    <t>Чеканов Николай</t>
  </si>
  <si>
    <t>Леонтьев Никита</t>
  </si>
  <si>
    <t>Баранова Ксения</t>
  </si>
  <si>
    <t>Земсков Антон</t>
  </si>
  <si>
    <t>Вершок Михаил</t>
  </si>
  <si>
    <t>Нелюбова Елена</t>
  </si>
  <si>
    <t>Соколова Елена</t>
  </si>
  <si>
    <t>Крутикова Яна</t>
  </si>
  <si>
    <t>Третьякова Алена</t>
  </si>
  <si>
    <t>Шильниковский Сергей</t>
  </si>
  <si>
    <t>Сергеев Андрей</t>
  </si>
  <si>
    <t>Пузанов Олег</t>
  </si>
  <si>
    <t>Зайцев Антон</t>
  </si>
  <si>
    <t>Белобородов Илья</t>
  </si>
  <si>
    <t>Молчанов Михаил</t>
  </si>
  <si>
    <t>Пиялкин Сергей</t>
  </si>
  <si>
    <t>Кузнецов Максим</t>
  </si>
  <si>
    <t>Ивашевский Алексей</t>
  </si>
  <si>
    <t>Сапогов Артем</t>
  </si>
  <si>
    <t>Кононов Александр</t>
  </si>
  <si>
    <t>Баранов Алексей</t>
  </si>
  <si>
    <t>Нелаев Сергей</t>
  </si>
  <si>
    <t>Перов Антон</t>
  </si>
  <si>
    <t>Токарев Алексей</t>
  </si>
  <si>
    <t>Орлов Олег</t>
  </si>
  <si>
    <t>Спирков Сергей</t>
  </si>
  <si>
    <t>Канин Михаил</t>
  </si>
  <si>
    <t>Волчек Иван</t>
  </si>
  <si>
    <t>Сушков Алексей</t>
  </si>
  <si>
    <t>Сергеев Алексей</t>
  </si>
  <si>
    <t>Шамов Сергей</t>
  </si>
  <si>
    <t>Распопов Сергей</t>
  </si>
  <si>
    <t>Петерсон Леонид</t>
  </si>
  <si>
    <t>Тарасов Вадим</t>
  </si>
  <si>
    <t>Судавный Юрий</t>
  </si>
  <si>
    <t xml:space="preserve">Длужневская Владислава </t>
  </si>
  <si>
    <t>Осипов Владимир</t>
  </si>
  <si>
    <t>Туликов Максим</t>
  </si>
  <si>
    <t>Смирнов Всеволод</t>
  </si>
  <si>
    <t>Зарубин Сергей</t>
  </si>
  <si>
    <t>Козлов Владимир</t>
  </si>
  <si>
    <t>Марков Артем</t>
  </si>
  <si>
    <t>Соловьев Михаил</t>
  </si>
  <si>
    <t>Гладких Сергей</t>
  </si>
  <si>
    <t>Феничев Сергей</t>
  </si>
  <si>
    <t>Хохлов Олег</t>
  </si>
  <si>
    <t>Тюрина Ольга</t>
  </si>
  <si>
    <t>Глазьев Николай</t>
  </si>
  <si>
    <t>Горислова Наталья</t>
  </si>
  <si>
    <t>Горислов Алексей</t>
  </si>
  <si>
    <t>Расторгуев Владимир</t>
  </si>
  <si>
    <t>Востриков Антон</t>
  </si>
  <si>
    <t>Одинцов Костантин</t>
  </si>
  <si>
    <t>Вильчицкий Анатолий</t>
  </si>
  <si>
    <t>Королев Сергей</t>
  </si>
  <si>
    <t>Костров Алексей</t>
  </si>
  <si>
    <t>25</t>
  </si>
  <si>
    <t>27</t>
  </si>
  <si>
    <t>18</t>
  </si>
  <si>
    <t>29</t>
  </si>
  <si>
    <t>37</t>
  </si>
  <si>
    <t>22</t>
  </si>
  <si>
    <t>11</t>
  </si>
  <si>
    <t>26</t>
  </si>
  <si>
    <t>44</t>
  </si>
  <si>
    <t>39</t>
  </si>
  <si>
    <t>28</t>
  </si>
  <si>
    <t>Ирин Дмитрий</t>
  </si>
  <si>
    <t>Латышев Сергей</t>
  </si>
  <si>
    <t>Чиненкова Анастасия</t>
  </si>
  <si>
    <t>Котова Наталья</t>
  </si>
  <si>
    <t>Букаранов Денис</t>
  </si>
  <si>
    <t>Малинов Артем</t>
  </si>
  <si>
    <t>Переведенцев Павел</t>
  </si>
  <si>
    <t>Гузанов Дмитрий</t>
  </si>
  <si>
    <t>Смирнов Антон</t>
  </si>
  <si>
    <t>Рябинин Юрий</t>
  </si>
  <si>
    <t>Кяхяри Владимир</t>
  </si>
  <si>
    <t>Голосов Андрей</t>
  </si>
  <si>
    <t>Новиков Станислав</t>
  </si>
  <si>
    <t>Кудрявцев Сергей</t>
  </si>
  <si>
    <t>56,0</t>
  </si>
  <si>
    <t>Котов Артем</t>
  </si>
  <si>
    <t>Угаров Алексей</t>
  </si>
  <si>
    <t>Костылев Алексей</t>
  </si>
  <si>
    <t>Солдатенков Богдан</t>
  </si>
  <si>
    <t xml:space="preserve">67,5 </t>
  </si>
  <si>
    <t>Павлов Алексей</t>
  </si>
  <si>
    <t>Осокин Александр</t>
  </si>
  <si>
    <t>Латышев Артем</t>
  </si>
  <si>
    <t>Кузинский Денис</t>
  </si>
  <si>
    <t>Линьков Евгений</t>
  </si>
  <si>
    <t>Селяков Олег</t>
  </si>
  <si>
    <t>19</t>
  </si>
  <si>
    <t>Смирнов Олег</t>
  </si>
  <si>
    <t>Кочнев Денис</t>
  </si>
  <si>
    <t>34</t>
  </si>
  <si>
    <t>31</t>
  </si>
  <si>
    <t xml:space="preserve">82,5 </t>
  </si>
  <si>
    <t>48,0</t>
  </si>
  <si>
    <t xml:space="preserve">Самостоятельно </t>
  </si>
  <si>
    <t xml:space="preserve">Самостоятелно </t>
  </si>
  <si>
    <t>Всероссийский мастерский турнир "Русский север"                                                                                              Жим многоповторный любители
г. Вологда 23 - 25 декабря 2016 г.</t>
  </si>
  <si>
    <t>Всероссийский мастерский турнир "Русский север"                                                                                               Армейский жим на максимум
г. Вологда 23 - 25 декабря 2016 г.</t>
  </si>
  <si>
    <t>Всероссийский мастерский турнир "Русский север"                                                                                    Армейский жим многоповторный
г. Вологда 23 - 25 декабря 2016 г.</t>
  </si>
  <si>
    <t>Всероссийский мастерский турнир "Русский север"                                                                                                        Жим на максимум любители
г. Вологда 23 - 25 декабря 2016 г.</t>
  </si>
  <si>
    <t>Всероссийский мастерский турнир "Русский север"                                                                                   Жим лежа однослойная экипировка
г. Вологда 23 - 25 декабря 2016 г.</t>
  </si>
  <si>
    <t>Всероссийский мастерский турнир "Русский север"                                                                                            Жим лежа софт экипировка с ДК
г. Вологда 23 - 25 декабря 2016 г.</t>
  </si>
  <si>
    <t>Всероссийский мастерский турнир "Русский север"                                                                              Присед без экипировки с ДК
г. Вологда 23 - 25 декабря 2016 г.</t>
  </si>
  <si>
    <t>Всероссийский мастерский турнир "Русский север"                                                                                                            Силовое двоеборье без экипировки
г. Вологда 23 - 25 декабря 2016 г.</t>
  </si>
  <si>
    <t>Всероссийский мастерский турнир "Русский север"                                                                                                                              Пауэрлифтинг в бинтах
г. Вологда 23 - 25 декабря 2016 г.</t>
  </si>
  <si>
    <t>90,4475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</si>
</sst>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50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u val="single"/>
      <sz val="10"/>
      <color indexed="39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>
        <color rgb="FF00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indent="1"/>
    </xf>
    <xf numFmtId="49" fontId="10" fillId="0" borderId="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/>
    </xf>
    <xf numFmtId="49" fontId="6" fillId="0" borderId="0" xfId="0" applyNumberFormat="1" applyFont="1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4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10" fillId="0" borderId="0" xfId="0" applyNumberFormat="1" applyFont="1" applyAlignment="1">
      <alignment horizontal="left" indent="1"/>
    </xf>
    <xf numFmtId="49" fontId="10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14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72" fontId="2" fillId="0" borderId="0" xfId="0" applyNumberFormat="1" applyFont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0" fillId="0" borderId="18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14" xfId="0" applyNumberFormat="1" applyFill="1" applyBorder="1" applyAlignment="1">
      <alignment/>
    </xf>
    <xf numFmtId="172" fontId="2" fillId="0" borderId="18" xfId="0" applyNumberFormat="1" applyFont="1" applyFill="1" applyBorder="1" applyAlignment="1">
      <alignment horizontal="center"/>
    </xf>
    <xf numFmtId="172" fontId="2" fillId="0" borderId="20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8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33" borderId="14" xfId="0" applyNumberFormat="1" applyFont="1" applyFill="1" applyBorder="1" applyAlignment="1">
      <alignment/>
    </xf>
    <xf numFmtId="49" fontId="49" fillId="0" borderId="14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33" borderId="11" xfId="0" applyNumberFormat="1" applyFont="1" applyFill="1" applyBorder="1" applyAlignment="1">
      <alignment/>
    </xf>
    <xf numFmtId="49" fontId="49" fillId="0" borderId="11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49" fillId="0" borderId="12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33" borderId="13" xfId="0" applyNumberFormat="1" applyFont="1" applyFill="1" applyBorder="1" applyAlignment="1">
      <alignment/>
    </xf>
    <xf numFmtId="49" fontId="49" fillId="0" borderId="13" xfId="0" applyNumberFormat="1" applyFont="1" applyBorder="1" applyAlignment="1">
      <alignment/>
    </xf>
    <xf numFmtId="49" fontId="11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49" fillId="0" borderId="14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/>
    </xf>
    <xf numFmtId="49" fontId="49" fillId="0" borderId="14" xfId="0" applyNumberFormat="1" applyFont="1" applyFill="1" applyBorder="1" applyAlignment="1">
      <alignment horizontal="center"/>
    </xf>
    <xf numFmtId="49" fontId="49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49" fillId="0" borderId="1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49" fillId="0" borderId="14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11" fillId="0" borderId="16" xfId="0" applyNumberFormat="1" applyFont="1" applyBorder="1" applyAlignment="1">
      <alignment/>
    </xf>
    <xf numFmtId="49" fontId="2" fillId="33" borderId="16" xfId="0" applyNumberFormat="1" applyFont="1" applyFill="1" applyBorder="1" applyAlignment="1">
      <alignment/>
    </xf>
    <xf numFmtId="49" fontId="2" fillId="33" borderId="21" xfId="0" applyNumberFormat="1" applyFont="1" applyFill="1" applyBorder="1" applyAlignment="1">
      <alignment/>
    </xf>
    <xf numFmtId="49" fontId="2" fillId="33" borderId="18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/>
    </xf>
    <xf numFmtId="49" fontId="11" fillId="0" borderId="19" xfId="0" applyNumberFormat="1" applyFont="1" applyBorder="1" applyAlignment="1">
      <alignment/>
    </xf>
    <xf numFmtId="49" fontId="2" fillId="33" borderId="19" xfId="0" applyNumberFormat="1" applyFont="1" applyFill="1" applyBorder="1" applyAlignment="1">
      <alignment/>
    </xf>
    <xf numFmtId="49" fontId="49" fillId="0" borderId="22" xfId="0" applyNumberFormat="1" applyFont="1" applyBorder="1" applyAlignment="1">
      <alignment/>
    </xf>
    <xf numFmtId="49" fontId="49" fillId="0" borderId="20" xfId="0" applyNumberFormat="1" applyFont="1" applyBorder="1" applyAlignment="1">
      <alignment/>
    </xf>
    <xf numFmtId="49" fontId="11" fillId="0" borderId="20" xfId="0" applyNumberFormat="1" applyFont="1" applyBorder="1" applyAlignment="1">
      <alignment/>
    </xf>
    <xf numFmtId="49" fontId="49" fillId="0" borderId="18" xfId="0" applyNumberFormat="1" applyFont="1" applyBorder="1" applyAlignment="1">
      <alignment/>
    </xf>
    <xf numFmtId="49" fontId="2" fillId="33" borderId="20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49" fontId="11" fillId="0" borderId="23" xfId="0" applyNumberFormat="1" applyFont="1" applyBorder="1" applyAlignment="1">
      <alignment/>
    </xf>
    <xf numFmtId="49" fontId="2" fillId="33" borderId="23" xfId="0" applyNumberFormat="1" applyFont="1" applyFill="1" applyBorder="1" applyAlignment="1">
      <alignment/>
    </xf>
    <xf numFmtId="49" fontId="49" fillId="0" borderId="23" xfId="0" applyNumberFormat="1" applyFont="1" applyBorder="1" applyAlignment="1">
      <alignment/>
    </xf>
    <xf numFmtId="49" fontId="2" fillId="0" borderId="1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49" fontId="0" fillId="0" borderId="11" xfId="0" applyNumberFormat="1" applyFill="1" applyBorder="1" applyAlignment="1">
      <alignment horizontal="left" vertical="top"/>
    </xf>
    <xf numFmtId="49" fontId="0" fillId="0" borderId="12" xfId="0" applyNumberFormat="1" applyFill="1" applyBorder="1" applyAlignment="1">
      <alignment horizontal="left" vertical="top"/>
    </xf>
    <xf numFmtId="49" fontId="0" fillId="0" borderId="13" xfId="0" applyNumberFormat="1" applyFill="1" applyBorder="1" applyAlignment="1">
      <alignment horizontal="left" vertical="top"/>
    </xf>
    <xf numFmtId="49" fontId="0" fillId="0" borderId="14" xfId="0" applyNumberFormat="1" applyFill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172" fontId="3" fillId="0" borderId="29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29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left" vertical="top" wrapText="1"/>
    </xf>
    <xf numFmtId="49" fontId="3" fillId="0" borderId="29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/>
    </xf>
    <xf numFmtId="49" fontId="1" fillId="0" borderId="37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/>
    </xf>
    <xf numFmtId="49" fontId="49" fillId="0" borderId="0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49" fillId="0" borderId="16" xfId="0" applyNumberFormat="1" applyFont="1" applyBorder="1" applyAlignment="1">
      <alignment/>
    </xf>
    <xf numFmtId="49" fontId="49" fillId="0" borderId="21" xfId="0" applyNumberFormat="1" applyFont="1" applyBorder="1" applyAlignment="1">
      <alignment/>
    </xf>
    <xf numFmtId="49" fontId="2" fillId="33" borderId="19" xfId="0" applyNumberFormat="1" applyFont="1" applyFill="1" applyBorder="1" applyAlignment="1">
      <alignment horizontal="center" vertical="center"/>
    </xf>
    <xf numFmtId="49" fontId="49" fillId="0" borderId="22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/>
    </xf>
    <xf numFmtId="172" fontId="2" fillId="0" borderId="16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workbookViewId="0" topLeftCell="F24">
      <selection activeCell="M44" sqref="M44:O44"/>
    </sheetView>
  </sheetViews>
  <sheetFormatPr defaultColWidth="8.75390625" defaultRowHeight="12.75"/>
  <cols>
    <col min="1" max="1" width="11.25390625" style="43" bestFit="1" customWidth="1"/>
    <col min="2" max="2" width="19.125" style="43" customWidth="1"/>
    <col min="3" max="3" width="23.625" style="21" customWidth="1"/>
    <col min="4" max="4" width="26.25390625" style="21" customWidth="1"/>
    <col min="5" max="5" width="10.625" style="21" bestFit="1" customWidth="1"/>
    <col min="6" max="6" width="11.625" style="21" customWidth="1"/>
    <col min="7" max="7" width="16.875" style="21" customWidth="1"/>
    <col min="8" max="8" width="36.00390625" style="21" customWidth="1"/>
    <col min="9" max="11" width="5.625" style="105" bestFit="1" customWidth="1"/>
    <col min="12" max="12" width="7.75390625" style="105" customWidth="1"/>
    <col min="13" max="15" width="5.625" style="105" bestFit="1" customWidth="1"/>
    <col min="16" max="16" width="4.625" style="105" bestFit="1" customWidth="1"/>
    <col min="17" max="20" width="5.625" style="105" bestFit="1" customWidth="1"/>
    <col min="21" max="21" width="11.25390625" style="127" bestFit="1" customWidth="1"/>
    <col min="22" max="22" width="8.625" style="105" bestFit="1" customWidth="1"/>
    <col min="23" max="23" width="22.125" style="21" customWidth="1"/>
  </cols>
  <sheetData>
    <row r="1" spans="3:23" s="1" customFormat="1" ht="15" customHeight="1">
      <c r="C1" s="204" t="s">
        <v>711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6"/>
    </row>
    <row r="2" spans="3:23" s="1" customFormat="1" ht="88.5" customHeight="1" thickBot="1"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8"/>
    </row>
    <row r="3" spans="1:23" s="2" customFormat="1" ht="12.75" customHeight="1">
      <c r="A3" s="224" t="s">
        <v>563</v>
      </c>
      <c r="B3" s="222" t="s">
        <v>564</v>
      </c>
      <c r="C3" s="209" t="s">
        <v>0</v>
      </c>
      <c r="D3" s="211" t="s">
        <v>5</v>
      </c>
      <c r="E3" s="213" t="s">
        <v>6</v>
      </c>
      <c r="F3" s="215" t="s">
        <v>11</v>
      </c>
      <c r="G3" s="215" t="s">
        <v>3</v>
      </c>
      <c r="H3" s="215" t="s">
        <v>7</v>
      </c>
      <c r="I3" s="215" t="s">
        <v>559</v>
      </c>
      <c r="J3" s="215"/>
      <c r="K3" s="215"/>
      <c r="L3" s="215"/>
      <c r="M3" s="215" t="s">
        <v>571</v>
      </c>
      <c r="N3" s="215"/>
      <c r="O3" s="215"/>
      <c r="P3" s="215"/>
      <c r="Q3" s="215" t="s">
        <v>572</v>
      </c>
      <c r="R3" s="215"/>
      <c r="S3" s="215"/>
      <c r="T3" s="215"/>
      <c r="U3" s="217" t="s">
        <v>737</v>
      </c>
      <c r="V3" s="215" t="s">
        <v>2</v>
      </c>
      <c r="W3" s="219" t="s">
        <v>1</v>
      </c>
    </row>
    <row r="4" spans="1:23" s="2" customFormat="1" ht="21" customHeight="1" thickBot="1">
      <c r="A4" s="225"/>
      <c r="B4" s="223"/>
      <c r="C4" s="210"/>
      <c r="D4" s="212"/>
      <c r="E4" s="214"/>
      <c r="F4" s="212"/>
      <c r="G4" s="212"/>
      <c r="H4" s="212"/>
      <c r="I4" s="5">
        <v>1</v>
      </c>
      <c r="J4" s="5">
        <v>2</v>
      </c>
      <c r="K4" s="5">
        <v>3</v>
      </c>
      <c r="L4" s="5" t="s">
        <v>4</v>
      </c>
      <c r="M4" s="5">
        <v>1</v>
      </c>
      <c r="N4" s="5">
        <v>2</v>
      </c>
      <c r="O4" s="5">
        <v>3</v>
      </c>
      <c r="P4" s="5" t="s">
        <v>4</v>
      </c>
      <c r="Q4" s="5">
        <v>1</v>
      </c>
      <c r="R4" s="5">
        <v>2</v>
      </c>
      <c r="S4" s="5">
        <v>3</v>
      </c>
      <c r="T4" s="5" t="s">
        <v>4</v>
      </c>
      <c r="U4" s="218"/>
      <c r="V4" s="212"/>
      <c r="W4" s="220"/>
    </row>
    <row r="5" spans="1:22" ht="15.75">
      <c r="A5"/>
      <c r="B5"/>
      <c r="C5" s="221" t="s">
        <v>66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</row>
    <row r="6" spans="1:23" ht="12.75">
      <c r="A6" s="42" t="s">
        <v>560</v>
      </c>
      <c r="B6" s="42" t="s">
        <v>568</v>
      </c>
      <c r="C6" s="22" t="s">
        <v>738</v>
      </c>
      <c r="D6" s="22" t="s">
        <v>67</v>
      </c>
      <c r="E6" s="22" t="s">
        <v>68</v>
      </c>
      <c r="F6" s="22" t="str">
        <f>"1,1076"</f>
        <v>1,1076</v>
      </c>
      <c r="G6" s="22" t="s">
        <v>29</v>
      </c>
      <c r="H6" s="22" t="s">
        <v>30</v>
      </c>
      <c r="I6" s="128" t="s">
        <v>69</v>
      </c>
      <c r="J6" s="128" t="s">
        <v>70</v>
      </c>
      <c r="K6" s="129" t="s">
        <v>71</v>
      </c>
      <c r="L6" s="130"/>
      <c r="M6" s="128" t="s">
        <v>72</v>
      </c>
      <c r="N6" s="129" t="s">
        <v>73</v>
      </c>
      <c r="O6" s="129" t="s">
        <v>73</v>
      </c>
      <c r="P6" s="130"/>
      <c r="Q6" s="128" t="s">
        <v>74</v>
      </c>
      <c r="R6" s="128" t="s">
        <v>75</v>
      </c>
      <c r="S6" s="128" t="s">
        <v>76</v>
      </c>
      <c r="T6" s="130"/>
      <c r="U6" s="122">
        <v>195</v>
      </c>
      <c r="V6" s="131" t="str">
        <f>"215,9820"</f>
        <v>215,9820</v>
      </c>
      <c r="W6" s="22" t="s">
        <v>77</v>
      </c>
    </row>
    <row r="8" spans="1:22" ht="15.75">
      <c r="A8"/>
      <c r="B8"/>
      <c r="C8" s="216" t="s">
        <v>78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</row>
    <row r="9" spans="1:23" ht="12.75">
      <c r="A9" s="42" t="s">
        <v>560</v>
      </c>
      <c r="B9" s="42"/>
      <c r="C9" s="22" t="s">
        <v>739</v>
      </c>
      <c r="D9" s="22" t="s">
        <v>79</v>
      </c>
      <c r="E9" s="22" t="s">
        <v>80</v>
      </c>
      <c r="F9" s="22" t="str">
        <f>"1,0684"</f>
        <v>1,0684</v>
      </c>
      <c r="G9" s="22" t="s">
        <v>41</v>
      </c>
      <c r="H9" s="22" t="s">
        <v>42</v>
      </c>
      <c r="I9" s="129" t="s">
        <v>74</v>
      </c>
      <c r="J9" s="128" t="s">
        <v>74</v>
      </c>
      <c r="K9" s="129" t="s">
        <v>81</v>
      </c>
      <c r="L9" s="130"/>
      <c r="M9" s="129" t="s">
        <v>69</v>
      </c>
      <c r="N9" s="128" t="s">
        <v>69</v>
      </c>
      <c r="O9" s="129" t="s">
        <v>82</v>
      </c>
      <c r="P9" s="130"/>
      <c r="Q9" s="128" t="s">
        <v>83</v>
      </c>
      <c r="R9" s="128" t="s">
        <v>84</v>
      </c>
      <c r="S9" s="129" t="s">
        <v>85</v>
      </c>
      <c r="T9" s="130"/>
      <c r="U9" s="122">
        <v>235</v>
      </c>
      <c r="V9" s="131" t="str">
        <f>"251,0740"</f>
        <v>251,0740</v>
      </c>
      <c r="W9" s="22" t="s">
        <v>46</v>
      </c>
    </row>
    <row r="11" spans="1:22" ht="15.75">
      <c r="A11"/>
      <c r="B11"/>
      <c r="C11" s="216" t="s">
        <v>86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</row>
    <row r="12" spans="1:23" ht="12.75">
      <c r="A12" s="40" t="s">
        <v>560</v>
      </c>
      <c r="B12" s="40" t="s">
        <v>568</v>
      </c>
      <c r="C12" s="24" t="s">
        <v>87</v>
      </c>
      <c r="D12" s="24" t="s">
        <v>88</v>
      </c>
      <c r="E12" s="24" t="s">
        <v>89</v>
      </c>
      <c r="F12" s="24" t="str">
        <f>"1,0079"</f>
        <v>1,0079</v>
      </c>
      <c r="G12" s="24" t="s">
        <v>90</v>
      </c>
      <c r="H12" s="24" t="s">
        <v>30</v>
      </c>
      <c r="I12" s="132" t="s">
        <v>69</v>
      </c>
      <c r="J12" s="132" t="s">
        <v>91</v>
      </c>
      <c r="K12" s="133" t="s">
        <v>92</v>
      </c>
      <c r="L12" s="134"/>
      <c r="M12" s="132" t="s">
        <v>93</v>
      </c>
      <c r="N12" s="133" t="s">
        <v>94</v>
      </c>
      <c r="O12" s="133" t="s">
        <v>72</v>
      </c>
      <c r="P12" s="134"/>
      <c r="Q12" s="132" t="s">
        <v>69</v>
      </c>
      <c r="R12" s="132" t="s">
        <v>92</v>
      </c>
      <c r="S12" s="132" t="s">
        <v>95</v>
      </c>
      <c r="T12" s="134"/>
      <c r="U12" s="123">
        <v>155</v>
      </c>
      <c r="V12" s="135" t="str">
        <f>"156,2245"</f>
        <v>156,2245</v>
      </c>
      <c r="W12" s="24" t="s">
        <v>256</v>
      </c>
    </row>
    <row r="13" spans="1:23" ht="12.75">
      <c r="A13" s="52" t="s">
        <v>560</v>
      </c>
      <c r="B13" s="52" t="s">
        <v>568</v>
      </c>
      <c r="C13" s="25" t="s">
        <v>740</v>
      </c>
      <c r="D13" s="25" t="s">
        <v>96</v>
      </c>
      <c r="E13" s="25" t="s">
        <v>97</v>
      </c>
      <c r="F13" s="25" t="str">
        <f>"0,9969"</f>
        <v>0,9969</v>
      </c>
      <c r="G13" s="25" t="s">
        <v>15</v>
      </c>
      <c r="H13" s="25" t="s">
        <v>98</v>
      </c>
      <c r="I13" s="136" t="s">
        <v>99</v>
      </c>
      <c r="J13" s="136" t="s">
        <v>100</v>
      </c>
      <c r="K13" s="137" t="s">
        <v>101</v>
      </c>
      <c r="L13" s="138"/>
      <c r="M13" s="136" t="s">
        <v>69</v>
      </c>
      <c r="N13" s="136" t="s">
        <v>102</v>
      </c>
      <c r="O13" s="137" t="s">
        <v>70</v>
      </c>
      <c r="P13" s="138"/>
      <c r="Q13" s="136" t="s">
        <v>75</v>
      </c>
      <c r="R13" s="136" t="s">
        <v>76</v>
      </c>
      <c r="S13" s="136" t="s">
        <v>103</v>
      </c>
      <c r="T13" s="137" t="s">
        <v>103</v>
      </c>
      <c r="U13" s="124">
        <v>247.5</v>
      </c>
      <c r="V13" s="139" t="str">
        <f>"246,7451"</f>
        <v>246,7451</v>
      </c>
      <c r="W13" s="25" t="s">
        <v>872</v>
      </c>
    </row>
    <row r="14" spans="1:23" ht="12.75">
      <c r="A14" s="41" t="s">
        <v>561</v>
      </c>
      <c r="B14" s="41" t="s">
        <v>573</v>
      </c>
      <c r="C14" s="26" t="s">
        <v>741</v>
      </c>
      <c r="D14" s="26" t="s">
        <v>105</v>
      </c>
      <c r="E14" s="26" t="s">
        <v>106</v>
      </c>
      <c r="F14" s="26" t="str">
        <f>"0,9916"</f>
        <v>0,9916</v>
      </c>
      <c r="G14" s="26" t="s">
        <v>29</v>
      </c>
      <c r="H14" s="26" t="s">
        <v>30</v>
      </c>
      <c r="I14" s="140" t="s">
        <v>74</v>
      </c>
      <c r="J14" s="141" t="s">
        <v>100</v>
      </c>
      <c r="K14" s="141" t="s">
        <v>107</v>
      </c>
      <c r="L14" s="142"/>
      <c r="M14" s="141" t="s">
        <v>108</v>
      </c>
      <c r="N14" s="140" t="s">
        <v>108</v>
      </c>
      <c r="O14" s="141" t="s">
        <v>109</v>
      </c>
      <c r="P14" s="142"/>
      <c r="Q14" s="140" t="s">
        <v>76</v>
      </c>
      <c r="R14" s="140" t="s">
        <v>110</v>
      </c>
      <c r="S14" s="141" t="s">
        <v>111</v>
      </c>
      <c r="T14" s="142"/>
      <c r="U14" s="125">
        <v>240</v>
      </c>
      <c r="V14" s="143" t="str">
        <f>"237,9840"</f>
        <v>237,9840</v>
      </c>
      <c r="W14" s="26" t="s">
        <v>872</v>
      </c>
    </row>
    <row r="16" spans="1:22" ht="15.75">
      <c r="A16"/>
      <c r="B16"/>
      <c r="C16" s="216" t="s">
        <v>112</v>
      </c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</row>
    <row r="17" spans="1:23" ht="12.75">
      <c r="A17" s="40" t="s">
        <v>560</v>
      </c>
      <c r="B17" s="40" t="s">
        <v>568</v>
      </c>
      <c r="C17" s="24" t="s">
        <v>742</v>
      </c>
      <c r="D17" s="24" t="s">
        <v>113</v>
      </c>
      <c r="E17" s="24" t="s">
        <v>114</v>
      </c>
      <c r="F17" s="24" t="str">
        <f>"0,9178"</f>
        <v>0,9178</v>
      </c>
      <c r="G17" s="24" t="s">
        <v>29</v>
      </c>
      <c r="H17" s="24" t="s">
        <v>30</v>
      </c>
      <c r="I17" s="132" t="s">
        <v>74</v>
      </c>
      <c r="J17" s="132" t="s">
        <v>75</v>
      </c>
      <c r="K17" s="132" t="s">
        <v>83</v>
      </c>
      <c r="L17" s="134"/>
      <c r="M17" s="132" t="s">
        <v>69</v>
      </c>
      <c r="N17" s="133" t="s">
        <v>102</v>
      </c>
      <c r="O17" s="133" t="s">
        <v>102</v>
      </c>
      <c r="P17" s="134"/>
      <c r="Q17" s="132" t="s">
        <v>74</v>
      </c>
      <c r="R17" s="132" t="s">
        <v>76</v>
      </c>
      <c r="S17" s="132" t="s">
        <v>115</v>
      </c>
      <c r="T17" s="134"/>
      <c r="U17" s="123">
        <v>270</v>
      </c>
      <c r="V17" s="135" t="str">
        <f>"247,8060"</f>
        <v>247,8060</v>
      </c>
      <c r="W17" s="24" t="s">
        <v>116</v>
      </c>
    </row>
    <row r="18" spans="1:23" ht="12.75">
      <c r="A18" s="41" t="s">
        <v>560</v>
      </c>
      <c r="B18" s="41"/>
      <c r="C18" s="26" t="s">
        <v>743</v>
      </c>
      <c r="D18" s="26" t="s">
        <v>117</v>
      </c>
      <c r="E18" s="26" t="s">
        <v>118</v>
      </c>
      <c r="F18" s="26" t="str">
        <f>"0,9571"</f>
        <v>0,9571</v>
      </c>
      <c r="G18" s="26" t="s">
        <v>41</v>
      </c>
      <c r="H18" s="26" t="s">
        <v>694</v>
      </c>
      <c r="I18" s="140" t="s">
        <v>110</v>
      </c>
      <c r="J18" s="140" t="s">
        <v>119</v>
      </c>
      <c r="K18" s="140" t="s">
        <v>120</v>
      </c>
      <c r="L18" s="142"/>
      <c r="M18" s="140" t="s">
        <v>70</v>
      </c>
      <c r="N18" s="140" t="s">
        <v>121</v>
      </c>
      <c r="O18" s="140" t="s">
        <v>71</v>
      </c>
      <c r="P18" s="142"/>
      <c r="Q18" s="140" t="s">
        <v>120</v>
      </c>
      <c r="R18" s="140" t="s">
        <v>33</v>
      </c>
      <c r="S18" s="140" t="s">
        <v>34</v>
      </c>
      <c r="T18" s="142"/>
      <c r="U18" s="125">
        <v>345</v>
      </c>
      <c r="V18" s="143" t="str">
        <f>"330,1995"</f>
        <v>330,1995</v>
      </c>
      <c r="W18" s="26" t="s">
        <v>872</v>
      </c>
    </row>
    <row r="20" spans="1:22" ht="15.75">
      <c r="A20"/>
      <c r="B20"/>
      <c r="C20" s="216" t="s">
        <v>122</v>
      </c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</row>
    <row r="21" spans="1:23" ht="12.75">
      <c r="A21" s="42"/>
      <c r="B21" s="42"/>
      <c r="C21" s="22" t="s">
        <v>123</v>
      </c>
      <c r="D21" s="22" t="s">
        <v>124</v>
      </c>
      <c r="E21" s="22" t="s">
        <v>125</v>
      </c>
      <c r="F21" s="22" t="str">
        <f>"0,8461"</f>
        <v>0,8461</v>
      </c>
      <c r="G21" s="22" t="s">
        <v>90</v>
      </c>
      <c r="H21" s="22" t="s">
        <v>126</v>
      </c>
      <c r="I21" s="128" t="s">
        <v>99</v>
      </c>
      <c r="J21" s="129" t="s">
        <v>81</v>
      </c>
      <c r="K21" s="129" t="s">
        <v>81</v>
      </c>
      <c r="L21" s="130"/>
      <c r="M21" s="129" t="s">
        <v>109</v>
      </c>
      <c r="N21" s="129" t="s">
        <v>109</v>
      </c>
      <c r="O21" s="129" t="s">
        <v>109</v>
      </c>
      <c r="P21" s="130"/>
      <c r="Q21" s="129"/>
      <c r="R21" s="130"/>
      <c r="S21" s="130"/>
      <c r="T21" s="130"/>
      <c r="U21" s="122">
        <v>0</v>
      </c>
      <c r="V21" s="131" t="str">
        <f>"0,0000"</f>
        <v>0,0000</v>
      </c>
      <c r="W21" s="22" t="s">
        <v>127</v>
      </c>
    </row>
    <row r="23" spans="1:22" ht="15.75">
      <c r="A23"/>
      <c r="B23"/>
      <c r="C23" s="216" t="s">
        <v>66</v>
      </c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</row>
    <row r="24" spans="1:23" ht="12.75">
      <c r="A24" s="42" t="s">
        <v>560</v>
      </c>
      <c r="B24" s="42" t="s">
        <v>568</v>
      </c>
      <c r="C24" s="22" t="s">
        <v>128</v>
      </c>
      <c r="D24" s="22" t="s">
        <v>129</v>
      </c>
      <c r="E24" s="22" t="s">
        <v>130</v>
      </c>
      <c r="F24" s="22" t="str">
        <f>"1,0599"</f>
        <v>1,0599</v>
      </c>
      <c r="G24" s="22" t="s">
        <v>131</v>
      </c>
      <c r="H24" s="22" t="s">
        <v>126</v>
      </c>
      <c r="I24" s="129" t="s">
        <v>121</v>
      </c>
      <c r="J24" s="128" t="s">
        <v>121</v>
      </c>
      <c r="K24" s="128" t="s">
        <v>71</v>
      </c>
      <c r="L24" s="130"/>
      <c r="M24" s="128" t="s">
        <v>69</v>
      </c>
      <c r="N24" s="128" t="s">
        <v>91</v>
      </c>
      <c r="O24" s="129" t="s">
        <v>92</v>
      </c>
      <c r="P24" s="130"/>
      <c r="Q24" s="128" t="s">
        <v>99</v>
      </c>
      <c r="R24" s="128" t="s">
        <v>100</v>
      </c>
      <c r="S24" s="128" t="s">
        <v>101</v>
      </c>
      <c r="T24" s="130"/>
      <c r="U24" s="122">
        <v>222.5</v>
      </c>
      <c r="V24" s="131" t="str">
        <f>"235,8278"</f>
        <v>235,8278</v>
      </c>
      <c r="W24" s="22" t="s">
        <v>132</v>
      </c>
    </row>
    <row r="26" spans="1:22" ht="15.75">
      <c r="A26"/>
      <c r="B26"/>
      <c r="C26" s="216" t="s">
        <v>86</v>
      </c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</row>
    <row r="27" spans="1:23" ht="12.75">
      <c r="A27" s="42" t="s">
        <v>560</v>
      </c>
      <c r="B27" s="42" t="s">
        <v>568</v>
      </c>
      <c r="C27" s="22" t="s">
        <v>744</v>
      </c>
      <c r="D27" s="22" t="s">
        <v>133</v>
      </c>
      <c r="E27" s="22" t="s">
        <v>134</v>
      </c>
      <c r="F27" s="22" t="str">
        <f>"0,8328"</f>
        <v>0,8328</v>
      </c>
      <c r="G27" s="22" t="s">
        <v>15</v>
      </c>
      <c r="H27" s="22" t="s">
        <v>16</v>
      </c>
      <c r="I27" s="129" t="s">
        <v>110</v>
      </c>
      <c r="J27" s="128" t="s">
        <v>119</v>
      </c>
      <c r="K27" s="128" t="s">
        <v>120</v>
      </c>
      <c r="L27" s="130"/>
      <c r="M27" s="128" t="s">
        <v>107</v>
      </c>
      <c r="N27" s="128" t="s">
        <v>75</v>
      </c>
      <c r="O27" s="128" t="s">
        <v>135</v>
      </c>
      <c r="P27" s="130"/>
      <c r="Q27" s="128" t="s">
        <v>22</v>
      </c>
      <c r="R27" s="128" t="s">
        <v>136</v>
      </c>
      <c r="S27" s="128" t="s">
        <v>137</v>
      </c>
      <c r="T27" s="130"/>
      <c r="U27" s="122">
        <v>387.5</v>
      </c>
      <c r="V27" s="131" t="str">
        <f>"322,7294"</f>
        <v>322,7294</v>
      </c>
      <c r="W27" s="22" t="s">
        <v>872</v>
      </c>
    </row>
    <row r="29" spans="1:22" ht="15.75">
      <c r="A29"/>
      <c r="B29"/>
      <c r="C29" s="216" t="s">
        <v>112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</row>
    <row r="30" spans="1:23" ht="12.75">
      <c r="A30" s="40" t="s">
        <v>560</v>
      </c>
      <c r="B30" s="40"/>
      <c r="C30" s="24" t="s">
        <v>745</v>
      </c>
      <c r="D30" s="24" t="s">
        <v>138</v>
      </c>
      <c r="E30" s="24" t="s">
        <v>139</v>
      </c>
      <c r="F30" s="24" t="str">
        <f>"0,7610"</f>
        <v>0,7610</v>
      </c>
      <c r="G30" s="24" t="s">
        <v>41</v>
      </c>
      <c r="H30" s="24" t="s">
        <v>30</v>
      </c>
      <c r="I30" s="132" t="s">
        <v>140</v>
      </c>
      <c r="J30" s="133" t="s">
        <v>20</v>
      </c>
      <c r="K30" s="132" t="s">
        <v>20</v>
      </c>
      <c r="L30" s="134"/>
      <c r="M30" s="132" t="s">
        <v>75</v>
      </c>
      <c r="N30" s="133" t="s">
        <v>101</v>
      </c>
      <c r="O30" s="132" t="s">
        <v>101</v>
      </c>
      <c r="P30" s="134"/>
      <c r="Q30" s="132" t="s">
        <v>140</v>
      </c>
      <c r="R30" s="133" t="s">
        <v>21</v>
      </c>
      <c r="S30" s="133" t="s">
        <v>21</v>
      </c>
      <c r="T30" s="134"/>
      <c r="U30" s="123">
        <v>375</v>
      </c>
      <c r="V30" s="135" t="str">
        <f>"285,3563"</f>
        <v>285,3563</v>
      </c>
      <c r="W30" s="24" t="s">
        <v>141</v>
      </c>
    </row>
    <row r="31" spans="1:23" ht="12.75">
      <c r="A31" s="52" t="s">
        <v>560</v>
      </c>
      <c r="B31" s="52" t="s">
        <v>568</v>
      </c>
      <c r="C31" s="25" t="s">
        <v>746</v>
      </c>
      <c r="D31" s="25" t="s">
        <v>142</v>
      </c>
      <c r="E31" s="25" t="s">
        <v>143</v>
      </c>
      <c r="F31" s="25" t="str">
        <f>"0,7595"</f>
        <v>0,7595</v>
      </c>
      <c r="G31" s="25" t="s">
        <v>131</v>
      </c>
      <c r="H31" s="25" t="s">
        <v>126</v>
      </c>
      <c r="I31" s="136" t="s">
        <v>111</v>
      </c>
      <c r="J31" s="136" t="s">
        <v>33</v>
      </c>
      <c r="K31" s="137" t="s">
        <v>144</v>
      </c>
      <c r="L31" s="138"/>
      <c r="M31" s="136" t="s">
        <v>101</v>
      </c>
      <c r="N31" s="137" t="s">
        <v>84</v>
      </c>
      <c r="O31" s="137" t="s">
        <v>84</v>
      </c>
      <c r="P31" s="138"/>
      <c r="Q31" s="136" t="s">
        <v>34</v>
      </c>
      <c r="R31" s="136" t="s">
        <v>145</v>
      </c>
      <c r="S31" s="137" t="s">
        <v>146</v>
      </c>
      <c r="T31" s="138"/>
      <c r="U31" s="124">
        <v>395</v>
      </c>
      <c r="V31" s="139" t="str">
        <f>"300,0025"</f>
        <v>300,0025</v>
      </c>
      <c r="W31" s="25" t="s">
        <v>132</v>
      </c>
    </row>
    <row r="32" spans="1:23" ht="12.75">
      <c r="A32" s="41" t="s">
        <v>561</v>
      </c>
      <c r="B32" s="41"/>
      <c r="C32" s="26" t="s">
        <v>745</v>
      </c>
      <c r="D32" s="26" t="s">
        <v>147</v>
      </c>
      <c r="E32" s="26" t="s">
        <v>139</v>
      </c>
      <c r="F32" s="26" t="str">
        <f>"0,7610"</f>
        <v>0,7610</v>
      </c>
      <c r="G32" s="26" t="s">
        <v>41</v>
      </c>
      <c r="H32" s="26" t="s">
        <v>30</v>
      </c>
      <c r="I32" s="140" t="s">
        <v>140</v>
      </c>
      <c r="J32" s="141" t="s">
        <v>20</v>
      </c>
      <c r="K32" s="140" t="s">
        <v>20</v>
      </c>
      <c r="L32" s="142"/>
      <c r="M32" s="140" t="s">
        <v>75</v>
      </c>
      <c r="N32" s="141" t="s">
        <v>101</v>
      </c>
      <c r="O32" s="140" t="s">
        <v>101</v>
      </c>
      <c r="P32" s="142"/>
      <c r="Q32" s="140" t="s">
        <v>140</v>
      </c>
      <c r="R32" s="141" t="s">
        <v>21</v>
      </c>
      <c r="S32" s="141" t="s">
        <v>21</v>
      </c>
      <c r="T32" s="142"/>
      <c r="U32" s="125">
        <v>375</v>
      </c>
      <c r="V32" s="143" t="str">
        <f>"285,3563"</f>
        <v>285,3563</v>
      </c>
      <c r="W32" s="26" t="s">
        <v>141</v>
      </c>
    </row>
    <row r="34" spans="1:22" ht="15.75">
      <c r="A34"/>
      <c r="B34"/>
      <c r="C34" s="216" t="s">
        <v>122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</row>
    <row r="35" spans="1:23" ht="12.75">
      <c r="A35" s="40" t="s">
        <v>560</v>
      </c>
      <c r="B35" s="40" t="s">
        <v>568</v>
      </c>
      <c r="C35" s="24" t="s">
        <v>747</v>
      </c>
      <c r="D35" s="24" t="s">
        <v>148</v>
      </c>
      <c r="E35" s="24" t="s">
        <v>149</v>
      </c>
      <c r="F35" s="24" t="str">
        <f>"0,7005"</f>
        <v>0,7005</v>
      </c>
      <c r="G35" s="24" t="s">
        <v>15</v>
      </c>
      <c r="H35" s="24" t="s">
        <v>581</v>
      </c>
      <c r="I35" s="132" t="s">
        <v>140</v>
      </c>
      <c r="J35" s="132" t="s">
        <v>144</v>
      </c>
      <c r="K35" s="133" t="s">
        <v>34</v>
      </c>
      <c r="L35" s="134"/>
      <c r="M35" s="132" t="s">
        <v>135</v>
      </c>
      <c r="N35" s="132" t="s">
        <v>83</v>
      </c>
      <c r="O35" s="133" t="s">
        <v>150</v>
      </c>
      <c r="P35" s="134"/>
      <c r="Q35" s="132" t="s">
        <v>137</v>
      </c>
      <c r="R35" s="133" t="s">
        <v>53</v>
      </c>
      <c r="S35" s="132" t="s">
        <v>53</v>
      </c>
      <c r="T35" s="134"/>
      <c r="U35" s="123">
        <v>420</v>
      </c>
      <c r="V35" s="135" t="str">
        <f>"294,1890"</f>
        <v>294,1890</v>
      </c>
      <c r="W35" s="24" t="s">
        <v>26</v>
      </c>
    </row>
    <row r="36" spans="1:23" ht="12.75">
      <c r="A36" s="52" t="s">
        <v>560</v>
      </c>
      <c r="B36" s="52"/>
      <c r="C36" s="25" t="s">
        <v>748</v>
      </c>
      <c r="D36" s="25" t="s">
        <v>151</v>
      </c>
      <c r="E36" s="25" t="s">
        <v>152</v>
      </c>
      <c r="F36" s="25" t="str">
        <f>"0,7034"</f>
        <v>0,7034</v>
      </c>
      <c r="G36" s="25" t="s">
        <v>41</v>
      </c>
      <c r="H36" s="25" t="s">
        <v>569</v>
      </c>
      <c r="I36" s="137" t="s">
        <v>20</v>
      </c>
      <c r="J36" s="137" t="s">
        <v>34</v>
      </c>
      <c r="K36" s="136" t="s">
        <v>34</v>
      </c>
      <c r="L36" s="138"/>
      <c r="M36" s="136" t="s">
        <v>76</v>
      </c>
      <c r="N36" s="137" t="s">
        <v>154</v>
      </c>
      <c r="O36" s="137" t="s">
        <v>154</v>
      </c>
      <c r="P36" s="138"/>
      <c r="Q36" s="136" t="s">
        <v>155</v>
      </c>
      <c r="R36" s="137" t="s">
        <v>156</v>
      </c>
      <c r="S36" s="136" t="s">
        <v>156</v>
      </c>
      <c r="T36" s="138"/>
      <c r="U36" s="124">
        <v>457.5</v>
      </c>
      <c r="V36" s="139" t="str">
        <f>"321,8055"</f>
        <v>321,8055</v>
      </c>
      <c r="W36" s="25" t="s">
        <v>157</v>
      </c>
    </row>
    <row r="37" spans="1:23" ht="12.75">
      <c r="A37" s="41" t="s">
        <v>560</v>
      </c>
      <c r="B37" s="41"/>
      <c r="C37" s="26" t="s">
        <v>158</v>
      </c>
      <c r="D37" s="26" t="s">
        <v>159</v>
      </c>
      <c r="E37" s="26" t="s">
        <v>160</v>
      </c>
      <c r="F37" s="26" t="str">
        <f>"0,7322"</f>
        <v>0,7322</v>
      </c>
      <c r="G37" s="26" t="s">
        <v>41</v>
      </c>
      <c r="H37" s="26" t="s">
        <v>161</v>
      </c>
      <c r="I37" s="140" t="s">
        <v>74</v>
      </c>
      <c r="J37" s="140" t="s">
        <v>75</v>
      </c>
      <c r="K37" s="142"/>
      <c r="L37" s="142"/>
      <c r="M37" s="140" t="s">
        <v>70</v>
      </c>
      <c r="N37" s="140" t="s">
        <v>92</v>
      </c>
      <c r="O37" s="142"/>
      <c r="P37" s="142"/>
      <c r="Q37" s="140" t="s">
        <v>154</v>
      </c>
      <c r="R37" s="140" t="s">
        <v>119</v>
      </c>
      <c r="S37" s="140" t="s">
        <v>111</v>
      </c>
      <c r="T37" s="142"/>
      <c r="U37" s="125">
        <v>282.5</v>
      </c>
      <c r="V37" s="143" t="str">
        <f>"277,1743"</f>
        <v>277,1743</v>
      </c>
      <c r="W37" s="26" t="s">
        <v>162</v>
      </c>
    </row>
    <row r="39" spans="1:22" ht="15.75">
      <c r="A39"/>
      <c r="B39"/>
      <c r="C39" s="216" t="s">
        <v>163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</row>
    <row r="40" spans="1:23" ht="12.75">
      <c r="A40" s="40" t="s">
        <v>560</v>
      </c>
      <c r="B40" s="40" t="s">
        <v>567</v>
      </c>
      <c r="C40" s="24" t="s">
        <v>164</v>
      </c>
      <c r="D40" s="24" t="s">
        <v>165</v>
      </c>
      <c r="E40" s="24" t="s">
        <v>166</v>
      </c>
      <c r="F40" s="24" t="str">
        <f>"0,6467"</f>
        <v>0,6467</v>
      </c>
      <c r="G40" s="24" t="s">
        <v>167</v>
      </c>
      <c r="H40" s="24" t="s">
        <v>168</v>
      </c>
      <c r="I40" s="132" t="s">
        <v>31</v>
      </c>
      <c r="J40" s="133" t="s">
        <v>32</v>
      </c>
      <c r="K40" s="132" t="s">
        <v>32</v>
      </c>
      <c r="L40" s="134"/>
      <c r="M40" s="132" t="s">
        <v>140</v>
      </c>
      <c r="N40" s="132" t="s">
        <v>33</v>
      </c>
      <c r="O40" s="132" t="s">
        <v>20</v>
      </c>
      <c r="P40" s="134"/>
      <c r="Q40" s="132" t="s">
        <v>169</v>
      </c>
      <c r="R40" s="132" t="s">
        <v>170</v>
      </c>
      <c r="S40" s="132" t="s">
        <v>35</v>
      </c>
      <c r="T40" s="134"/>
      <c r="U40" s="123">
        <v>585</v>
      </c>
      <c r="V40" s="135" t="str">
        <f>"378,2903"</f>
        <v>378,2903</v>
      </c>
      <c r="W40" s="24" t="s">
        <v>171</v>
      </c>
    </row>
    <row r="41" spans="1:23" ht="12.75">
      <c r="A41" s="52" t="s">
        <v>561</v>
      </c>
      <c r="B41" s="52" t="s">
        <v>566</v>
      </c>
      <c r="C41" s="25" t="s">
        <v>172</v>
      </c>
      <c r="D41" s="25" t="s">
        <v>173</v>
      </c>
      <c r="E41" s="25" t="s">
        <v>174</v>
      </c>
      <c r="F41" s="25" t="str">
        <f>"0,6503"</f>
        <v>0,6503</v>
      </c>
      <c r="G41" s="25" t="s">
        <v>15</v>
      </c>
      <c r="H41" s="25" t="s">
        <v>16</v>
      </c>
      <c r="I41" s="136" t="s">
        <v>175</v>
      </c>
      <c r="J41" s="136" t="s">
        <v>155</v>
      </c>
      <c r="K41" s="136" t="s">
        <v>176</v>
      </c>
      <c r="L41" s="138"/>
      <c r="M41" s="136" t="s">
        <v>111</v>
      </c>
      <c r="N41" s="136" t="s">
        <v>177</v>
      </c>
      <c r="O41" s="136" t="s">
        <v>144</v>
      </c>
      <c r="P41" s="138"/>
      <c r="Q41" s="136" t="s">
        <v>18</v>
      </c>
      <c r="R41" s="136" t="s">
        <v>19</v>
      </c>
      <c r="S41" s="136" t="s">
        <v>178</v>
      </c>
      <c r="T41" s="138"/>
      <c r="U41" s="124">
        <v>572.5</v>
      </c>
      <c r="V41" s="139" t="str">
        <f>"372,2681"</f>
        <v>372,2681</v>
      </c>
      <c r="W41" s="25" t="s">
        <v>179</v>
      </c>
    </row>
    <row r="42" spans="1:23" ht="12.75">
      <c r="A42" s="52" t="s">
        <v>562</v>
      </c>
      <c r="B42" s="52" t="s">
        <v>583</v>
      </c>
      <c r="C42" s="25" t="s">
        <v>749</v>
      </c>
      <c r="D42" s="25" t="s">
        <v>180</v>
      </c>
      <c r="E42" s="25" t="s">
        <v>181</v>
      </c>
      <c r="F42" s="25" t="str">
        <f>"0,6461"</f>
        <v>0,6461</v>
      </c>
      <c r="G42" s="25" t="s">
        <v>131</v>
      </c>
      <c r="H42" s="25" t="s">
        <v>126</v>
      </c>
      <c r="I42" s="136" t="s">
        <v>34</v>
      </c>
      <c r="J42" s="137" t="s">
        <v>22</v>
      </c>
      <c r="K42" s="136" t="s">
        <v>22</v>
      </c>
      <c r="L42" s="138"/>
      <c r="M42" s="136" t="s">
        <v>76</v>
      </c>
      <c r="N42" s="136" t="s">
        <v>154</v>
      </c>
      <c r="O42" s="136" t="s">
        <v>85</v>
      </c>
      <c r="P42" s="138"/>
      <c r="Q42" s="136" t="s">
        <v>34</v>
      </c>
      <c r="R42" s="136" t="s">
        <v>137</v>
      </c>
      <c r="S42" s="136" t="s">
        <v>31</v>
      </c>
      <c r="T42" s="138"/>
      <c r="U42" s="124">
        <v>457.5</v>
      </c>
      <c r="V42" s="139" t="str">
        <f>"295,6136"</f>
        <v>295,6136</v>
      </c>
      <c r="W42" s="25" t="s">
        <v>132</v>
      </c>
    </row>
    <row r="43" spans="1:23" ht="12.75">
      <c r="A43" s="52" t="s">
        <v>576</v>
      </c>
      <c r="B43" s="52" t="s">
        <v>579</v>
      </c>
      <c r="C43" s="25" t="s">
        <v>750</v>
      </c>
      <c r="D43" s="25" t="s">
        <v>182</v>
      </c>
      <c r="E43" s="25" t="s">
        <v>183</v>
      </c>
      <c r="F43" s="25" t="str">
        <f>"0,6557"</f>
        <v>0,6557</v>
      </c>
      <c r="G43" s="25" t="s">
        <v>131</v>
      </c>
      <c r="H43" s="25" t="s">
        <v>126</v>
      </c>
      <c r="I43" s="136" t="s">
        <v>33</v>
      </c>
      <c r="J43" s="136" t="s">
        <v>20</v>
      </c>
      <c r="K43" s="137" t="s">
        <v>34</v>
      </c>
      <c r="L43" s="138"/>
      <c r="M43" s="136" t="s">
        <v>84</v>
      </c>
      <c r="N43" s="136" t="s">
        <v>154</v>
      </c>
      <c r="O43" s="137" t="s">
        <v>85</v>
      </c>
      <c r="P43" s="138"/>
      <c r="Q43" s="136" t="s">
        <v>145</v>
      </c>
      <c r="R43" s="136" t="s">
        <v>53</v>
      </c>
      <c r="S43" s="137" t="s">
        <v>32</v>
      </c>
      <c r="T43" s="138"/>
      <c r="U43" s="124">
        <v>435</v>
      </c>
      <c r="V43" s="139" t="str">
        <f>"285,2078"</f>
        <v>285,2078</v>
      </c>
      <c r="W43" s="25" t="s">
        <v>132</v>
      </c>
    </row>
    <row r="44" spans="1:23" ht="12.75">
      <c r="A44" s="52"/>
      <c r="B44" s="52"/>
      <c r="C44" s="25" t="s">
        <v>184</v>
      </c>
      <c r="D44" s="25" t="s">
        <v>185</v>
      </c>
      <c r="E44" s="25" t="s">
        <v>186</v>
      </c>
      <c r="F44" s="25" t="str">
        <f>"0,6578"</f>
        <v>0,6578</v>
      </c>
      <c r="G44" s="25" t="s">
        <v>41</v>
      </c>
      <c r="H44" s="25" t="s">
        <v>187</v>
      </c>
      <c r="I44" s="136" t="s">
        <v>31</v>
      </c>
      <c r="J44" s="136" t="s">
        <v>188</v>
      </c>
      <c r="K44" s="136" t="s">
        <v>17</v>
      </c>
      <c r="L44" s="138"/>
      <c r="M44" s="136" t="s">
        <v>177</v>
      </c>
      <c r="N44" s="137" t="s">
        <v>144</v>
      </c>
      <c r="O44" s="137" t="s">
        <v>144</v>
      </c>
      <c r="P44" s="138"/>
      <c r="Q44" s="137" t="s">
        <v>44</v>
      </c>
      <c r="R44" s="138"/>
      <c r="S44" s="138"/>
      <c r="T44" s="138"/>
      <c r="U44" s="124">
        <v>0</v>
      </c>
      <c r="V44" s="139" t="str">
        <f>"0,0000"</f>
        <v>0,0000</v>
      </c>
      <c r="W44" s="25" t="s">
        <v>189</v>
      </c>
    </row>
    <row r="45" spans="1:23" ht="12.75">
      <c r="A45" s="41"/>
      <c r="B45" s="41"/>
      <c r="C45" s="26" t="s">
        <v>190</v>
      </c>
      <c r="D45" s="26" t="s">
        <v>191</v>
      </c>
      <c r="E45" s="26" t="s">
        <v>192</v>
      </c>
      <c r="F45" s="26" t="str">
        <f>"0,6529"</f>
        <v>0,6529</v>
      </c>
      <c r="G45" s="26" t="s">
        <v>41</v>
      </c>
      <c r="H45" s="26" t="s">
        <v>193</v>
      </c>
      <c r="I45" s="141" t="s">
        <v>175</v>
      </c>
      <c r="J45" s="141" t="s">
        <v>32</v>
      </c>
      <c r="K45" s="141" t="s">
        <v>32</v>
      </c>
      <c r="L45" s="142"/>
      <c r="M45" s="141"/>
      <c r="N45" s="142"/>
      <c r="O45" s="142"/>
      <c r="P45" s="142"/>
      <c r="Q45" s="141"/>
      <c r="R45" s="142"/>
      <c r="S45" s="142"/>
      <c r="T45" s="142"/>
      <c r="U45" s="125">
        <v>0</v>
      </c>
      <c r="V45" s="143" t="str">
        <f>"0,0000"</f>
        <v>0,0000</v>
      </c>
      <c r="W45" s="26" t="s">
        <v>104</v>
      </c>
    </row>
    <row r="47" spans="1:22" ht="15.75">
      <c r="A47"/>
      <c r="B47"/>
      <c r="C47" s="216" t="s">
        <v>194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</row>
    <row r="48" spans="1:23" ht="12.75">
      <c r="A48" s="40" t="s">
        <v>560</v>
      </c>
      <c r="B48" s="40"/>
      <c r="C48" s="24" t="s">
        <v>751</v>
      </c>
      <c r="D48" s="24" t="s">
        <v>195</v>
      </c>
      <c r="E48" s="24" t="s">
        <v>196</v>
      </c>
      <c r="F48" s="24" t="str">
        <f>"0,6242"</f>
        <v>0,6242</v>
      </c>
      <c r="G48" s="24" t="s">
        <v>41</v>
      </c>
      <c r="H48" s="24" t="s">
        <v>30</v>
      </c>
      <c r="I48" s="132" t="s">
        <v>110</v>
      </c>
      <c r="J48" s="133" t="s">
        <v>120</v>
      </c>
      <c r="K48" s="132" t="s">
        <v>120</v>
      </c>
      <c r="L48" s="134"/>
      <c r="M48" s="132" t="s">
        <v>101</v>
      </c>
      <c r="N48" s="132" t="s">
        <v>76</v>
      </c>
      <c r="O48" s="133" t="s">
        <v>84</v>
      </c>
      <c r="P48" s="134"/>
      <c r="Q48" s="132" t="s">
        <v>33</v>
      </c>
      <c r="R48" s="132" t="s">
        <v>34</v>
      </c>
      <c r="S48" s="132" t="s">
        <v>137</v>
      </c>
      <c r="T48" s="134"/>
      <c r="U48" s="123">
        <v>395</v>
      </c>
      <c r="V48" s="135" t="str">
        <f>"246,5787"</f>
        <v>246,5787</v>
      </c>
      <c r="W48" s="24" t="s">
        <v>197</v>
      </c>
    </row>
    <row r="49" spans="1:23" ht="12.75">
      <c r="A49" s="41" t="s">
        <v>561</v>
      </c>
      <c r="B49" s="41"/>
      <c r="C49" s="26" t="s">
        <v>198</v>
      </c>
      <c r="D49" s="26" t="s">
        <v>199</v>
      </c>
      <c r="E49" s="26" t="s">
        <v>200</v>
      </c>
      <c r="F49" s="26" t="str">
        <f>"0,6175"</f>
        <v>0,6175</v>
      </c>
      <c r="G49" s="26" t="s">
        <v>41</v>
      </c>
      <c r="H49" s="26" t="s">
        <v>690</v>
      </c>
      <c r="I49" s="140" t="s">
        <v>53</v>
      </c>
      <c r="J49" s="141" t="s">
        <v>31</v>
      </c>
      <c r="K49" s="141" t="s">
        <v>155</v>
      </c>
      <c r="L49" s="142"/>
      <c r="M49" s="141" t="s">
        <v>33</v>
      </c>
      <c r="N49" s="141" t="s">
        <v>33</v>
      </c>
      <c r="O49" s="141" t="s">
        <v>33</v>
      </c>
      <c r="P49" s="142"/>
      <c r="Q49" s="141"/>
      <c r="R49" s="142"/>
      <c r="S49" s="142"/>
      <c r="T49" s="142"/>
      <c r="U49" s="125">
        <v>0</v>
      </c>
      <c r="V49" s="143" t="str">
        <f>"0,0000"</f>
        <v>0,0000</v>
      </c>
      <c r="W49" s="26" t="s">
        <v>104</v>
      </c>
    </row>
    <row r="51" spans="1:22" ht="15.75">
      <c r="A51"/>
      <c r="B51"/>
      <c r="C51" s="216" t="s">
        <v>12</v>
      </c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</row>
    <row r="52" spans="1:23" ht="12.75">
      <c r="A52" s="40" t="s">
        <v>560</v>
      </c>
      <c r="B52" s="40" t="s">
        <v>568</v>
      </c>
      <c r="C52" s="24" t="s">
        <v>752</v>
      </c>
      <c r="D52" s="24" t="s">
        <v>201</v>
      </c>
      <c r="E52" s="24" t="s">
        <v>202</v>
      </c>
      <c r="F52" s="24" t="str">
        <f>"0,6000"</f>
        <v>0,6000</v>
      </c>
      <c r="G52" s="24" t="s">
        <v>90</v>
      </c>
      <c r="H52" s="24" t="s">
        <v>203</v>
      </c>
      <c r="I52" s="133" t="s">
        <v>31</v>
      </c>
      <c r="J52" s="133" t="s">
        <v>31</v>
      </c>
      <c r="K52" s="132" t="s">
        <v>31</v>
      </c>
      <c r="L52" s="134"/>
      <c r="M52" s="132" t="s">
        <v>101</v>
      </c>
      <c r="N52" s="132" t="s">
        <v>84</v>
      </c>
      <c r="O52" s="133" t="s">
        <v>154</v>
      </c>
      <c r="P52" s="134"/>
      <c r="Q52" s="132" t="s">
        <v>204</v>
      </c>
      <c r="R52" s="133" t="s">
        <v>170</v>
      </c>
      <c r="S52" s="132" t="s">
        <v>170</v>
      </c>
      <c r="T52" s="134"/>
      <c r="U52" s="123">
        <v>525</v>
      </c>
      <c r="V52" s="135" t="str">
        <f>"314,9738"</f>
        <v>314,9738</v>
      </c>
      <c r="W52" s="24" t="s">
        <v>681</v>
      </c>
    </row>
    <row r="53" spans="1:23" ht="12.75">
      <c r="A53" s="52" t="s">
        <v>560</v>
      </c>
      <c r="B53" s="52" t="s">
        <v>568</v>
      </c>
      <c r="C53" s="25" t="s">
        <v>753</v>
      </c>
      <c r="D53" s="25" t="s">
        <v>205</v>
      </c>
      <c r="E53" s="25" t="s">
        <v>206</v>
      </c>
      <c r="F53" s="25" t="str">
        <f>"0,5963"</f>
        <v>0,5963</v>
      </c>
      <c r="G53" s="25" t="s">
        <v>167</v>
      </c>
      <c r="H53" s="25" t="s">
        <v>168</v>
      </c>
      <c r="I53" s="136" t="s">
        <v>31</v>
      </c>
      <c r="J53" s="137" t="s">
        <v>207</v>
      </c>
      <c r="K53" s="137" t="s">
        <v>207</v>
      </c>
      <c r="L53" s="138"/>
      <c r="M53" s="136" t="s">
        <v>33</v>
      </c>
      <c r="N53" s="136" t="s">
        <v>208</v>
      </c>
      <c r="O53" s="137" t="s">
        <v>22</v>
      </c>
      <c r="P53" s="138"/>
      <c r="Q53" s="136" t="s">
        <v>169</v>
      </c>
      <c r="R53" s="136" t="s">
        <v>170</v>
      </c>
      <c r="S53" s="137" t="s">
        <v>35</v>
      </c>
      <c r="T53" s="138"/>
      <c r="U53" s="124">
        <v>567.5</v>
      </c>
      <c r="V53" s="139" t="str">
        <f>"338,4003"</f>
        <v>338,4003</v>
      </c>
      <c r="W53" s="25" t="s">
        <v>209</v>
      </c>
    </row>
    <row r="54" spans="1:23" ht="12.75">
      <c r="A54" s="52" t="s">
        <v>561</v>
      </c>
      <c r="B54" s="52" t="s">
        <v>573</v>
      </c>
      <c r="C54" s="25" t="s">
        <v>752</v>
      </c>
      <c r="D54" s="25" t="s">
        <v>210</v>
      </c>
      <c r="E54" s="25" t="s">
        <v>202</v>
      </c>
      <c r="F54" s="25" t="str">
        <f>"0,6000"</f>
        <v>0,6000</v>
      </c>
      <c r="G54" s="25" t="s">
        <v>90</v>
      </c>
      <c r="H54" s="25" t="s">
        <v>203</v>
      </c>
      <c r="I54" s="137" t="s">
        <v>31</v>
      </c>
      <c r="J54" s="137" t="s">
        <v>31</v>
      </c>
      <c r="K54" s="136" t="s">
        <v>31</v>
      </c>
      <c r="L54" s="138"/>
      <c r="M54" s="136" t="s">
        <v>101</v>
      </c>
      <c r="N54" s="136" t="s">
        <v>84</v>
      </c>
      <c r="O54" s="137" t="s">
        <v>154</v>
      </c>
      <c r="P54" s="138"/>
      <c r="Q54" s="136" t="s">
        <v>204</v>
      </c>
      <c r="R54" s="137" t="s">
        <v>170</v>
      </c>
      <c r="S54" s="136" t="s">
        <v>170</v>
      </c>
      <c r="T54" s="138"/>
      <c r="U54" s="124">
        <v>525</v>
      </c>
      <c r="V54" s="139" t="str">
        <f>"314,9738"</f>
        <v>314,9738</v>
      </c>
      <c r="W54" s="25" t="s">
        <v>681</v>
      </c>
    </row>
    <row r="55" spans="1:23" ht="12.75">
      <c r="A55" s="41"/>
      <c r="B55" s="41"/>
      <c r="C55" s="26" t="s">
        <v>211</v>
      </c>
      <c r="D55" s="26" t="s">
        <v>212</v>
      </c>
      <c r="E55" s="26" t="s">
        <v>213</v>
      </c>
      <c r="F55" s="26" t="str">
        <f>"0,5990"</f>
        <v>0,5990</v>
      </c>
      <c r="G55" s="26" t="s">
        <v>41</v>
      </c>
      <c r="H55" s="26" t="s">
        <v>30</v>
      </c>
      <c r="I55" s="141" t="s">
        <v>33</v>
      </c>
      <c r="J55" s="141" t="s">
        <v>33</v>
      </c>
      <c r="K55" s="141" t="s">
        <v>33</v>
      </c>
      <c r="L55" s="142"/>
      <c r="M55" s="141" t="s">
        <v>84</v>
      </c>
      <c r="N55" s="141" t="s">
        <v>84</v>
      </c>
      <c r="O55" s="142"/>
      <c r="P55" s="142"/>
      <c r="Q55" s="141"/>
      <c r="R55" s="142"/>
      <c r="S55" s="142"/>
      <c r="T55" s="142"/>
      <c r="U55" s="125">
        <v>0</v>
      </c>
      <c r="V55" s="143" t="str">
        <f>"0,0000"</f>
        <v>0,0000</v>
      </c>
      <c r="W55" s="26" t="s">
        <v>197</v>
      </c>
    </row>
    <row r="57" spans="1:22" ht="15.75">
      <c r="A57"/>
      <c r="B57"/>
      <c r="C57" s="216" t="s">
        <v>47</v>
      </c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</row>
    <row r="58" spans="1:23" ht="12.75">
      <c r="A58" s="40" t="s">
        <v>560</v>
      </c>
      <c r="B58" s="40" t="s">
        <v>567</v>
      </c>
      <c r="C58" s="24" t="s">
        <v>214</v>
      </c>
      <c r="D58" s="24" t="s">
        <v>215</v>
      </c>
      <c r="E58" s="24" t="s">
        <v>216</v>
      </c>
      <c r="F58" s="24" t="str">
        <f>"0,5769"</f>
        <v>0,5769</v>
      </c>
      <c r="G58" s="24" t="s">
        <v>167</v>
      </c>
      <c r="H58" s="24" t="s">
        <v>168</v>
      </c>
      <c r="I58" s="132" t="s">
        <v>36</v>
      </c>
      <c r="J58" s="132" t="s">
        <v>217</v>
      </c>
      <c r="K58" s="133" t="s">
        <v>55</v>
      </c>
      <c r="L58" s="134"/>
      <c r="M58" s="132" t="s">
        <v>137</v>
      </c>
      <c r="N58" s="133" t="s">
        <v>53</v>
      </c>
      <c r="O58" s="133" t="s">
        <v>53</v>
      </c>
      <c r="P58" s="134"/>
      <c r="Q58" s="132" t="s">
        <v>217</v>
      </c>
      <c r="R58" s="132" t="s">
        <v>55</v>
      </c>
      <c r="S58" s="132" t="s">
        <v>218</v>
      </c>
      <c r="T58" s="134"/>
      <c r="U58" s="123">
        <v>712.5</v>
      </c>
      <c r="V58" s="135" t="str">
        <f>"411,0413"</f>
        <v>411,0413</v>
      </c>
      <c r="W58" s="24" t="s">
        <v>209</v>
      </c>
    </row>
    <row r="59" spans="1:23" ht="12.75">
      <c r="A59" s="41" t="s">
        <v>561</v>
      </c>
      <c r="B59" s="41"/>
      <c r="C59" s="26" t="s">
        <v>754</v>
      </c>
      <c r="D59" s="26" t="s">
        <v>219</v>
      </c>
      <c r="E59" s="26" t="s">
        <v>220</v>
      </c>
      <c r="F59" s="26" t="str">
        <f>"0,5670"</f>
        <v>0,5670</v>
      </c>
      <c r="G59" s="26" t="s">
        <v>41</v>
      </c>
      <c r="H59" s="26" t="s">
        <v>30</v>
      </c>
      <c r="I59" s="141" t="s">
        <v>137</v>
      </c>
      <c r="J59" s="140" t="s">
        <v>137</v>
      </c>
      <c r="K59" s="140" t="s">
        <v>31</v>
      </c>
      <c r="L59" s="142"/>
      <c r="M59" s="141" t="s">
        <v>33</v>
      </c>
      <c r="N59" s="140" t="s">
        <v>34</v>
      </c>
      <c r="O59" s="141" t="s">
        <v>22</v>
      </c>
      <c r="P59" s="142"/>
      <c r="Q59" s="140" t="s">
        <v>18</v>
      </c>
      <c r="R59" s="140" t="s">
        <v>221</v>
      </c>
      <c r="S59" s="140" t="s">
        <v>36</v>
      </c>
      <c r="T59" s="142"/>
      <c r="U59" s="125">
        <v>590</v>
      </c>
      <c r="V59" s="143" t="str">
        <f>"334,5005"</f>
        <v>334,5005</v>
      </c>
      <c r="W59" s="26" t="s">
        <v>104</v>
      </c>
    </row>
    <row r="61" spans="2:6" ht="15.75">
      <c r="B61" s="21"/>
      <c r="F61" s="27"/>
    </row>
    <row r="62" spans="2:3" ht="18">
      <c r="B62" s="28" t="s">
        <v>59</v>
      </c>
      <c r="C62" s="28"/>
    </row>
    <row r="63" spans="2:3" ht="15.75">
      <c r="B63" s="29" t="s">
        <v>60</v>
      </c>
      <c r="C63" s="29"/>
    </row>
    <row r="64" spans="2:3" ht="13.5">
      <c r="B64" s="31"/>
      <c r="C64" s="32" t="s">
        <v>61</v>
      </c>
    </row>
    <row r="65" spans="1:6" ht="13.5">
      <c r="A65" s="34" t="s">
        <v>563</v>
      </c>
      <c r="B65" s="34" t="s">
        <v>62</v>
      </c>
      <c r="C65" s="34" t="s">
        <v>63</v>
      </c>
      <c r="D65" s="34" t="s">
        <v>64</v>
      </c>
      <c r="E65" s="34" t="s">
        <v>9</v>
      </c>
      <c r="F65" s="34" t="s">
        <v>65</v>
      </c>
    </row>
    <row r="66" spans="1:6" ht="12.75" customHeight="1">
      <c r="A66" s="43" t="s">
        <v>560</v>
      </c>
      <c r="B66" s="30" t="s">
        <v>214</v>
      </c>
      <c r="C66" s="36" t="s">
        <v>61</v>
      </c>
      <c r="D66" s="105" t="s">
        <v>154</v>
      </c>
      <c r="E66" s="105" t="s">
        <v>224</v>
      </c>
      <c r="F66" s="105" t="s">
        <v>225</v>
      </c>
    </row>
    <row r="67" spans="1:6" ht="13.5" customHeight="1">
      <c r="A67" s="43" t="s">
        <v>561</v>
      </c>
      <c r="B67" s="30" t="s">
        <v>164</v>
      </c>
      <c r="C67" s="36" t="s">
        <v>61</v>
      </c>
      <c r="D67" s="105" t="s">
        <v>870</v>
      </c>
      <c r="E67" s="105" t="s">
        <v>226</v>
      </c>
      <c r="F67" s="105" t="s">
        <v>227</v>
      </c>
    </row>
    <row r="68" spans="1:6" ht="12.75">
      <c r="A68" s="43" t="s">
        <v>562</v>
      </c>
      <c r="B68" s="30" t="s">
        <v>172</v>
      </c>
      <c r="C68" s="36" t="s">
        <v>61</v>
      </c>
      <c r="D68" s="105" t="s">
        <v>870</v>
      </c>
      <c r="E68" s="105" t="s">
        <v>228</v>
      </c>
      <c r="F68" s="105" t="s">
        <v>229</v>
      </c>
    </row>
    <row r="69" ht="12.75">
      <c r="B69" s="21"/>
    </row>
  </sheetData>
  <sheetProtection/>
  <mergeCells count="28">
    <mergeCell ref="C39:V39"/>
    <mergeCell ref="C47:V47"/>
    <mergeCell ref="C51:V51"/>
    <mergeCell ref="C57:V57"/>
    <mergeCell ref="B3:B4"/>
    <mergeCell ref="A3:A4"/>
    <mergeCell ref="C16:V16"/>
    <mergeCell ref="C20:V20"/>
    <mergeCell ref="C23:V23"/>
    <mergeCell ref="C26:V26"/>
    <mergeCell ref="C29:V29"/>
    <mergeCell ref="C34:V34"/>
    <mergeCell ref="U3:U4"/>
    <mergeCell ref="V3:V4"/>
    <mergeCell ref="W3:W4"/>
    <mergeCell ref="C5:V5"/>
    <mergeCell ref="C8:V8"/>
    <mergeCell ref="C11:V11"/>
    <mergeCell ref="C1:W2"/>
    <mergeCell ref="C3:C4"/>
    <mergeCell ref="D3:D4"/>
    <mergeCell ref="E3:E4"/>
    <mergeCell ref="F3:F4"/>
    <mergeCell ref="G3:G4"/>
    <mergeCell ref="H3:H4"/>
    <mergeCell ref="I3:L3"/>
    <mergeCell ref="M3:P3"/>
    <mergeCell ref="Q3:T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C12" sqref="C12:H12"/>
    </sheetView>
  </sheetViews>
  <sheetFormatPr defaultColWidth="8.75390625" defaultRowHeight="12.75"/>
  <cols>
    <col min="1" max="1" width="9.125" style="43" customWidth="1"/>
    <col min="2" max="2" width="13.25390625" style="43" customWidth="1"/>
    <col min="3" max="3" width="23.625" style="21" customWidth="1"/>
    <col min="4" max="4" width="26.00390625" style="21" customWidth="1"/>
    <col min="5" max="5" width="10.625" style="21" bestFit="1" customWidth="1"/>
    <col min="6" max="6" width="8.375" style="21" bestFit="1" customWidth="1"/>
    <col min="7" max="7" width="22.75390625" style="21" bestFit="1" customWidth="1"/>
    <col min="8" max="8" width="31.875" style="21" customWidth="1"/>
    <col min="9" max="11" width="5.625" style="35" bestFit="1" customWidth="1"/>
    <col min="12" max="12" width="6.125" style="35" customWidth="1"/>
    <col min="13" max="13" width="11.25390625" style="47" bestFit="1" customWidth="1"/>
    <col min="14" max="14" width="8.625" style="35" bestFit="1" customWidth="1"/>
    <col min="15" max="15" width="16.375" style="21" bestFit="1" customWidth="1"/>
  </cols>
  <sheetData>
    <row r="1" spans="3:15" s="1" customFormat="1" ht="15" customHeight="1">
      <c r="C1" s="204" t="s">
        <v>880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6"/>
    </row>
    <row r="2" spans="3:15" s="1" customFormat="1" ht="78" customHeight="1" thickBot="1"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8"/>
    </row>
    <row r="3" spans="1:15" s="2" customFormat="1" ht="12.75" customHeight="1">
      <c r="A3" s="232" t="s">
        <v>563</v>
      </c>
      <c r="B3" s="213" t="s">
        <v>564</v>
      </c>
      <c r="C3" s="230" t="s">
        <v>0</v>
      </c>
      <c r="D3" s="211" t="s">
        <v>5</v>
      </c>
      <c r="E3" s="213" t="s">
        <v>6</v>
      </c>
      <c r="F3" s="215" t="s">
        <v>11</v>
      </c>
      <c r="G3" s="215" t="s">
        <v>3</v>
      </c>
      <c r="H3" s="215" t="s">
        <v>7</v>
      </c>
      <c r="I3" s="215" t="s">
        <v>559</v>
      </c>
      <c r="J3" s="215"/>
      <c r="K3" s="215"/>
      <c r="L3" s="215"/>
      <c r="M3" s="217" t="s">
        <v>9</v>
      </c>
      <c r="N3" s="215" t="s">
        <v>2</v>
      </c>
      <c r="O3" s="219" t="s">
        <v>1</v>
      </c>
    </row>
    <row r="4" spans="1:15" s="2" customFormat="1" ht="21" customHeight="1" thickBot="1">
      <c r="A4" s="233"/>
      <c r="B4" s="214"/>
      <c r="C4" s="231"/>
      <c r="D4" s="212"/>
      <c r="E4" s="214"/>
      <c r="F4" s="212"/>
      <c r="G4" s="212"/>
      <c r="H4" s="212"/>
      <c r="I4" s="5" t="s">
        <v>560</v>
      </c>
      <c r="J4" s="5" t="s">
        <v>561</v>
      </c>
      <c r="K4" s="5" t="s">
        <v>562</v>
      </c>
      <c r="L4" s="5" t="s">
        <v>4</v>
      </c>
      <c r="M4" s="218"/>
      <c r="N4" s="212"/>
      <c r="O4" s="220"/>
    </row>
    <row r="5" spans="1:14" ht="15.75">
      <c r="A5"/>
      <c r="B5"/>
      <c r="C5" s="221" t="s">
        <v>78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</row>
    <row r="6" spans="1:15" ht="12.75">
      <c r="A6" s="42" t="s">
        <v>560</v>
      </c>
      <c r="B6" s="42" t="s">
        <v>568</v>
      </c>
      <c r="C6" s="22" t="s">
        <v>774</v>
      </c>
      <c r="D6" s="22" t="s">
        <v>551</v>
      </c>
      <c r="E6" s="22" t="s">
        <v>552</v>
      </c>
      <c r="F6" s="22" t="str">
        <f>"1,0484"</f>
        <v>1,0484</v>
      </c>
      <c r="G6" s="22" t="s">
        <v>29</v>
      </c>
      <c r="H6" s="22" t="s">
        <v>508</v>
      </c>
      <c r="I6" s="106" t="s">
        <v>75</v>
      </c>
      <c r="J6" s="106" t="s">
        <v>83</v>
      </c>
      <c r="K6" s="107" t="s">
        <v>84</v>
      </c>
      <c r="L6" s="108"/>
      <c r="M6" s="46">
        <v>97.5</v>
      </c>
      <c r="N6" s="109" t="str">
        <f>"102,2190"</f>
        <v>102,2190</v>
      </c>
      <c r="O6" s="22" t="s">
        <v>570</v>
      </c>
    </row>
    <row r="8" spans="1:14" ht="15.75">
      <c r="A8"/>
      <c r="B8"/>
      <c r="C8" s="216" t="s">
        <v>112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</row>
    <row r="9" spans="1:15" ht="12.75">
      <c r="A9" s="42" t="s">
        <v>560</v>
      </c>
      <c r="B9" s="42" t="s">
        <v>568</v>
      </c>
      <c r="C9" s="22" t="s">
        <v>775</v>
      </c>
      <c r="D9" s="22" t="s">
        <v>553</v>
      </c>
      <c r="E9" s="22" t="s">
        <v>139</v>
      </c>
      <c r="F9" s="22" t="str">
        <f>"0,7610"</f>
        <v>0,7610</v>
      </c>
      <c r="G9" s="22" t="s">
        <v>29</v>
      </c>
      <c r="H9" s="22" t="s">
        <v>508</v>
      </c>
      <c r="I9" s="106" t="s">
        <v>208</v>
      </c>
      <c r="J9" s="106" t="s">
        <v>21</v>
      </c>
      <c r="K9" s="106" t="s">
        <v>22</v>
      </c>
      <c r="L9" s="108"/>
      <c r="M9" s="46">
        <v>155</v>
      </c>
      <c r="N9" s="109" t="str">
        <f>"117,9473"</f>
        <v>117,9473</v>
      </c>
      <c r="O9" s="22" t="s">
        <v>570</v>
      </c>
    </row>
    <row r="11" spans="1:14" ht="15.75">
      <c r="A11"/>
      <c r="B11"/>
      <c r="C11" s="216" t="s">
        <v>163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</row>
    <row r="12" spans="1:15" ht="12.75">
      <c r="A12" s="42" t="s">
        <v>560</v>
      </c>
      <c r="B12" s="42"/>
      <c r="C12" s="22" t="s">
        <v>184</v>
      </c>
      <c r="D12" s="22" t="s">
        <v>185</v>
      </c>
      <c r="E12" s="22" t="s">
        <v>186</v>
      </c>
      <c r="F12" s="22" t="str">
        <f>"0,6578"</f>
        <v>0,6578</v>
      </c>
      <c r="G12" s="22" t="s">
        <v>41</v>
      </c>
      <c r="H12" s="22" t="s">
        <v>187</v>
      </c>
      <c r="I12" s="106" t="s">
        <v>31</v>
      </c>
      <c r="J12" s="106" t="s">
        <v>188</v>
      </c>
      <c r="K12" s="106" t="s">
        <v>17</v>
      </c>
      <c r="L12" s="108"/>
      <c r="M12" s="46">
        <v>205</v>
      </c>
      <c r="N12" s="109" t="str">
        <f>"134,8490"</f>
        <v>134,8490</v>
      </c>
      <c r="O12" s="22" t="s">
        <v>821</v>
      </c>
    </row>
    <row r="14" spans="1:14" ht="15.75">
      <c r="A14"/>
      <c r="B14"/>
      <c r="C14" s="216" t="s">
        <v>194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</row>
    <row r="15" spans="1:15" ht="12.75">
      <c r="A15" s="42" t="s">
        <v>560</v>
      </c>
      <c r="B15" s="42" t="s">
        <v>568</v>
      </c>
      <c r="C15" s="22" t="s">
        <v>776</v>
      </c>
      <c r="D15" s="22" t="s">
        <v>554</v>
      </c>
      <c r="E15" s="22" t="s">
        <v>555</v>
      </c>
      <c r="F15" s="22" t="str">
        <f>"0,6157"</f>
        <v>0,6157</v>
      </c>
      <c r="G15" s="22" t="s">
        <v>29</v>
      </c>
      <c r="H15" s="22" t="s">
        <v>508</v>
      </c>
      <c r="I15" s="106" t="s">
        <v>52</v>
      </c>
      <c r="J15" s="106" t="s">
        <v>54</v>
      </c>
      <c r="K15" s="107" t="s">
        <v>236</v>
      </c>
      <c r="L15" s="108"/>
      <c r="M15" s="46">
        <v>182.5</v>
      </c>
      <c r="N15" s="109" t="str">
        <f>"112,3653"</f>
        <v>112,3653</v>
      </c>
      <c r="O15" s="22" t="s">
        <v>570</v>
      </c>
    </row>
  </sheetData>
  <sheetProtection/>
  <mergeCells count="17">
    <mergeCell ref="C14:N14"/>
    <mergeCell ref="B3:B4"/>
    <mergeCell ref="A3:A4"/>
    <mergeCell ref="M3:M4"/>
    <mergeCell ref="N3:N4"/>
    <mergeCell ref="O3:O4"/>
    <mergeCell ref="C5:N5"/>
    <mergeCell ref="C8:N8"/>
    <mergeCell ref="C11:N11"/>
    <mergeCell ref="C1:O2"/>
    <mergeCell ref="C3:C4"/>
    <mergeCell ref="D3:D4"/>
    <mergeCell ref="E3:E4"/>
    <mergeCell ref="F3:F4"/>
    <mergeCell ref="G3:G4"/>
    <mergeCell ref="H3:H4"/>
    <mergeCell ref="I3:L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"/>
  <sheetViews>
    <sheetView workbookViewId="0" topLeftCell="D1">
      <selection activeCell="G30" sqref="G30"/>
    </sheetView>
  </sheetViews>
  <sheetFormatPr defaultColWidth="8.75390625" defaultRowHeight="12.75"/>
  <cols>
    <col min="1" max="1" width="9.875" style="43" customWidth="1"/>
    <col min="2" max="2" width="15.25390625" style="43" customWidth="1"/>
    <col min="3" max="3" width="26.00390625" style="21" bestFit="1" customWidth="1"/>
    <col min="4" max="4" width="26.375" style="21" customWidth="1"/>
    <col min="5" max="5" width="10.625" style="21" bestFit="1" customWidth="1"/>
    <col min="6" max="6" width="8.375" style="21" bestFit="1" customWidth="1"/>
    <col min="7" max="7" width="22.75390625" style="21" bestFit="1" customWidth="1"/>
    <col min="8" max="8" width="34.00390625" style="21" bestFit="1" customWidth="1"/>
    <col min="9" max="12" width="5.875" style="35" customWidth="1"/>
    <col min="13" max="13" width="11.25390625" style="47" bestFit="1" customWidth="1"/>
    <col min="14" max="14" width="8.625" style="35" bestFit="1" customWidth="1"/>
    <col min="15" max="15" width="20.00390625" style="21" bestFit="1" customWidth="1"/>
  </cols>
  <sheetData>
    <row r="1" spans="3:15" s="1" customFormat="1" ht="15" customHeight="1">
      <c r="C1" s="204" t="s">
        <v>718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6"/>
    </row>
    <row r="2" spans="3:15" s="1" customFormat="1" ht="84" customHeight="1" thickBot="1"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8"/>
    </row>
    <row r="3" spans="1:15" s="2" customFormat="1" ht="12.75" customHeight="1">
      <c r="A3" s="232" t="s">
        <v>563</v>
      </c>
      <c r="B3" s="213" t="s">
        <v>564</v>
      </c>
      <c r="C3" s="230" t="s">
        <v>0</v>
      </c>
      <c r="D3" s="211" t="s">
        <v>5</v>
      </c>
      <c r="E3" s="213" t="s">
        <v>6</v>
      </c>
      <c r="F3" s="215" t="s">
        <v>11</v>
      </c>
      <c r="G3" s="215" t="s">
        <v>3</v>
      </c>
      <c r="H3" s="215" t="s">
        <v>7</v>
      </c>
      <c r="I3" s="215" t="s">
        <v>559</v>
      </c>
      <c r="J3" s="215"/>
      <c r="K3" s="215"/>
      <c r="L3" s="215"/>
      <c r="M3" s="217" t="s">
        <v>9</v>
      </c>
      <c r="N3" s="215" t="s">
        <v>2</v>
      </c>
      <c r="O3" s="219" t="s">
        <v>1</v>
      </c>
    </row>
    <row r="4" spans="1:15" s="2" customFormat="1" ht="21" customHeight="1" thickBot="1">
      <c r="A4" s="233"/>
      <c r="B4" s="214"/>
      <c r="C4" s="231"/>
      <c r="D4" s="212"/>
      <c r="E4" s="214"/>
      <c r="F4" s="212"/>
      <c r="G4" s="212"/>
      <c r="H4" s="212"/>
      <c r="I4" s="5" t="s">
        <v>560</v>
      </c>
      <c r="J4" s="5" t="s">
        <v>561</v>
      </c>
      <c r="K4" s="5" t="s">
        <v>562</v>
      </c>
      <c r="L4" s="5" t="s">
        <v>4</v>
      </c>
      <c r="M4" s="218"/>
      <c r="N4" s="212"/>
      <c r="O4" s="220"/>
    </row>
    <row r="5" spans="1:14" ht="15.75">
      <c r="A5"/>
      <c r="B5"/>
      <c r="C5" s="221" t="s">
        <v>12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</row>
    <row r="6" spans="1:15" ht="12.75">
      <c r="A6" s="42" t="s">
        <v>560</v>
      </c>
      <c r="B6" s="42" t="s">
        <v>568</v>
      </c>
      <c r="C6" s="22" t="s">
        <v>755</v>
      </c>
      <c r="D6" s="22" t="s">
        <v>13</v>
      </c>
      <c r="E6" s="22" t="s">
        <v>14</v>
      </c>
      <c r="F6" s="22" t="str">
        <f>"0,5848"</f>
        <v>0,5848</v>
      </c>
      <c r="G6" s="22" t="s">
        <v>15</v>
      </c>
      <c r="H6" s="22" t="s">
        <v>16</v>
      </c>
      <c r="I6" s="144" t="s">
        <v>17</v>
      </c>
      <c r="J6" s="144" t="s">
        <v>18</v>
      </c>
      <c r="K6" s="145" t="s">
        <v>19</v>
      </c>
      <c r="L6" s="108"/>
      <c r="M6" s="46">
        <v>215</v>
      </c>
      <c r="N6" s="109" t="str">
        <f>"125,7320"</f>
        <v>125,7320</v>
      </c>
      <c r="O6" s="22" t="s">
        <v>26</v>
      </c>
    </row>
  </sheetData>
  <sheetProtection/>
  <mergeCells count="14">
    <mergeCell ref="A3:A4"/>
    <mergeCell ref="M3:M4"/>
    <mergeCell ref="N3:N4"/>
    <mergeCell ref="O3:O4"/>
    <mergeCell ref="C5:N5"/>
    <mergeCell ref="C3:C4"/>
    <mergeCell ref="B3:B4"/>
    <mergeCell ref="C1:O2"/>
    <mergeCell ref="D3:D4"/>
    <mergeCell ref="E3:E4"/>
    <mergeCell ref="F3:F4"/>
    <mergeCell ref="G3:G4"/>
    <mergeCell ref="H3:H4"/>
    <mergeCell ref="I3:L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4"/>
  <sheetViews>
    <sheetView workbookViewId="0" topLeftCell="A14">
      <selection activeCell="S33" sqref="S33"/>
    </sheetView>
  </sheetViews>
  <sheetFormatPr defaultColWidth="8.75390625" defaultRowHeight="12.75"/>
  <cols>
    <col min="1" max="1" width="10.125" style="43" customWidth="1"/>
    <col min="2" max="2" width="25.125" style="43" customWidth="1"/>
    <col min="3" max="3" width="28.875" style="21" customWidth="1"/>
    <col min="4" max="4" width="26.75390625" style="21" customWidth="1"/>
    <col min="5" max="5" width="10.625" style="21" bestFit="1" customWidth="1"/>
    <col min="6" max="6" width="10.625" style="21" customWidth="1"/>
    <col min="7" max="7" width="15.875" style="21" customWidth="1"/>
    <col min="8" max="8" width="32.375" style="21" customWidth="1"/>
    <col min="9" max="11" width="5.625" style="35" bestFit="1" customWidth="1"/>
    <col min="12" max="12" width="4.625" style="35" bestFit="1" customWidth="1"/>
    <col min="13" max="13" width="11.25390625" style="47" bestFit="1" customWidth="1"/>
    <col min="14" max="14" width="8.625" style="35" bestFit="1" customWidth="1"/>
    <col min="15" max="15" width="20.875" style="21" customWidth="1"/>
  </cols>
  <sheetData>
    <row r="1" spans="3:15" s="1" customFormat="1" ht="15" customHeight="1">
      <c r="C1" s="204" t="s">
        <v>719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6"/>
    </row>
    <row r="2" spans="3:15" s="1" customFormat="1" ht="89.25" customHeight="1" thickBot="1"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8"/>
    </row>
    <row r="3" spans="1:15" s="2" customFormat="1" ht="12.75" customHeight="1">
      <c r="A3" s="224" t="s">
        <v>563</v>
      </c>
      <c r="B3" s="222" t="s">
        <v>564</v>
      </c>
      <c r="C3" s="209" t="s">
        <v>0</v>
      </c>
      <c r="D3" s="211" t="s">
        <v>5</v>
      </c>
      <c r="E3" s="213" t="s">
        <v>6</v>
      </c>
      <c r="F3" s="215" t="s">
        <v>11</v>
      </c>
      <c r="G3" s="215" t="s">
        <v>3</v>
      </c>
      <c r="H3" s="215" t="s">
        <v>7</v>
      </c>
      <c r="I3" s="215" t="s">
        <v>571</v>
      </c>
      <c r="J3" s="215"/>
      <c r="K3" s="215"/>
      <c r="L3" s="215"/>
      <c r="M3" s="217" t="s">
        <v>9</v>
      </c>
      <c r="N3" s="215" t="s">
        <v>2</v>
      </c>
      <c r="O3" s="219" t="s">
        <v>1</v>
      </c>
    </row>
    <row r="4" spans="1:15" s="2" customFormat="1" ht="21" customHeight="1" thickBot="1">
      <c r="A4" s="225"/>
      <c r="B4" s="223"/>
      <c r="C4" s="210"/>
      <c r="D4" s="212"/>
      <c r="E4" s="214"/>
      <c r="F4" s="212"/>
      <c r="G4" s="212"/>
      <c r="H4" s="212"/>
      <c r="I4" s="5">
        <v>1</v>
      </c>
      <c r="J4" s="5">
        <v>2</v>
      </c>
      <c r="K4" s="5">
        <v>3</v>
      </c>
      <c r="L4" s="5" t="s">
        <v>4</v>
      </c>
      <c r="M4" s="218"/>
      <c r="N4" s="212"/>
      <c r="O4" s="220"/>
    </row>
    <row r="5" spans="1:14" ht="15.75">
      <c r="A5"/>
      <c r="B5"/>
      <c r="C5" s="221" t="s">
        <v>347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</row>
    <row r="6" spans="1:15" ht="12.75">
      <c r="A6" s="40" t="s">
        <v>560</v>
      </c>
      <c r="B6" s="40"/>
      <c r="C6" s="24" t="s">
        <v>348</v>
      </c>
      <c r="D6" s="24" t="s">
        <v>349</v>
      </c>
      <c r="E6" s="24" t="s">
        <v>350</v>
      </c>
      <c r="F6" s="24" t="str">
        <f>"1,2058"</f>
        <v>1,2058</v>
      </c>
      <c r="G6" s="24" t="s">
        <v>41</v>
      </c>
      <c r="H6" s="24" t="s">
        <v>30</v>
      </c>
      <c r="I6" s="110" t="s">
        <v>82</v>
      </c>
      <c r="J6" s="110" t="s">
        <v>102</v>
      </c>
      <c r="K6" s="112"/>
      <c r="L6" s="112"/>
      <c r="M6" s="44">
        <v>55</v>
      </c>
      <c r="N6" s="113" t="str">
        <f>"66,3190"</f>
        <v>66,3190</v>
      </c>
      <c r="O6" s="24" t="s">
        <v>351</v>
      </c>
    </row>
    <row r="7" spans="1:15" ht="12.75">
      <c r="A7" s="41" t="s">
        <v>561</v>
      </c>
      <c r="B7" s="41" t="s">
        <v>573</v>
      </c>
      <c r="C7" s="26" t="s">
        <v>777</v>
      </c>
      <c r="D7" s="26" t="s">
        <v>352</v>
      </c>
      <c r="E7" s="26" t="s">
        <v>353</v>
      </c>
      <c r="F7" s="26" t="str">
        <f>"1,2038"</f>
        <v>1,2038</v>
      </c>
      <c r="G7" s="26" t="s">
        <v>29</v>
      </c>
      <c r="H7" s="26" t="s">
        <v>30</v>
      </c>
      <c r="I7" s="118" t="s">
        <v>354</v>
      </c>
      <c r="J7" s="119" t="s">
        <v>108</v>
      </c>
      <c r="K7" s="119" t="s">
        <v>108</v>
      </c>
      <c r="L7" s="120"/>
      <c r="M7" s="45">
        <v>37.5</v>
      </c>
      <c r="N7" s="121" t="str">
        <f>"45,1425"</f>
        <v>45,1425</v>
      </c>
      <c r="O7" s="26" t="s">
        <v>77</v>
      </c>
    </row>
    <row r="9" spans="1:14" ht="15.75">
      <c r="A9"/>
      <c r="B9"/>
      <c r="C9" s="216" t="s">
        <v>66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</row>
    <row r="10" spans="1:15" ht="12.75">
      <c r="A10" s="42" t="s">
        <v>560</v>
      </c>
      <c r="B10" s="42" t="s">
        <v>568</v>
      </c>
      <c r="C10" s="22" t="s">
        <v>778</v>
      </c>
      <c r="D10" s="22" t="s">
        <v>355</v>
      </c>
      <c r="E10" s="22" t="s">
        <v>356</v>
      </c>
      <c r="F10" s="22" t="str">
        <f>"1,1212"</f>
        <v>1,1212</v>
      </c>
      <c r="G10" s="22" t="s">
        <v>131</v>
      </c>
      <c r="H10" s="22" t="s">
        <v>126</v>
      </c>
      <c r="I10" s="106" t="s">
        <v>109</v>
      </c>
      <c r="J10" s="107" t="s">
        <v>69</v>
      </c>
      <c r="K10" s="107" t="s">
        <v>69</v>
      </c>
      <c r="L10" s="108"/>
      <c r="M10" s="46">
        <v>47.5</v>
      </c>
      <c r="N10" s="109" t="str">
        <f>"53,2570"</f>
        <v>53,2570</v>
      </c>
      <c r="O10" s="22" t="s">
        <v>132</v>
      </c>
    </row>
    <row r="12" spans="1:14" ht="15.75">
      <c r="A12"/>
      <c r="B12"/>
      <c r="C12" s="216" t="s">
        <v>86</v>
      </c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</row>
    <row r="13" spans="1:15" ht="12.75">
      <c r="A13" s="40" t="s">
        <v>560</v>
      </c>
      <c r="B13" s="84" t="s">
        <v>582</v>
      </c>
      <c r="C13" s="24" t="s">
        <v>285</v>
      </c>
      <c r="D13" s="85" t="s">
        <v>286</v>
      </c>
      <c r="E13" s="24" t="s">
        <v>106</v>
      </c>
      <c r="F13" s="24" t="str">
        <f>"0,9916"</f>
        <v>0,9916</v>
      </c>
      <c r="G13" s="24" t="s">
        <v>90</v>
      </c>
      <c r="H13" s="24" t="s">
        <v>30</v>
      </c>
      <c r="I13" s="110" t="s">
        <v>76</v>
      </c>
      <c r="J13" s="110" t="s">
        <v>84</v>
      </c>
      <c r="K13" s="110" t="s">
        <v>154</v>
      </c>
      <c r="L13" s="112"/>
      <c r="M13" s="44">
        <v>110</v>
      </c>
      <c r="N13" s="113" t="str">
        <f>"109,0760"</f>
        <v>109,0760</v>
      </c>
      <c r="O13" s="24" t="s">
        <v>681</v>
      </c>
    </row>
    <row r="14" spans="1:15" ht="12.75">
      <c r="A14" s="52" t="s">
        <v>560</v>
      </c>
      <c r="B14" s="52" t="s">
        <v>582</v>
      </c>
      <c r="C14" s="25" t="s">
        <v>285</v>
      </c>
      <c r="D14" s="25" t="s">
        <v>290</v>
      </c>
      <c r="E14" s="25" t="s">
        <v>106</v>
      </c>
      <c r="F14" s="25" t="str">
        <f>"0,9916"</f>
        <v>0,9916</v>
      </c>
      <c r="G14" s="25" t="s">
        <v>90</v>
      </c>
      <c r="H14" s="25" t="s">
        <v>30</v>
      </c>
      <c r="I14" s="114" t="s">
        <v>76</v>
      </c>
      <c r="J14" s="114" t="s">
        <v>84</v>
      </c>
      <c r="K14" s="114" t="s">
        <v>154</v>
      </c>
      <c r="L14" s="116"/>
      <c r="M14" s="49">
        <v>110</v>
      </c>
      <c r="N14" s="117" t="str">
        <f>"109,0760"</f>
        <v>109,0760</v>
      </c>
      <c r="O14" s="25" t="s">
        <v>681</v>
      </c>
    </row>
    <row r="15" spans="1:15" ht="12.75">
      <c r="A15" s="52" t="s">
        <v>561</v>
      </c>
      <c r="B15" s="52" t="s">
        <v>573</v>
      </c>
      <c r="C15" s="25" t="s">
        <v>357</v>
      </c>
      <c r="D15" s="25" t="s">
        <v>358</v>
      </c>
      <c r="E15" s="25" t="s">
        <v>134</v>
      </c>
      <c r="F15" s="25" t="str">
        <f>"0,9876"</f>
        <v>0,9876</v>
      </c>
      <c r="G15" s="25" t="s">
        <v>29</v>
      </c>
      <c r="H15" s="25" t="s">
        <v>30</v>
      </c>
      <c r="I15" s="114" t="s">
        <v>91</v>
      </c>
      <c r="J15" s="114" t="s">
        <v>70</v>
      </c>
      <c r="K15" s="115" t="s">
        <v>92</v>
      </c>
      <c r="L15" s="116"/>
      <c r="M15" s="49">
        <v>60</v>
      </c>
      <c r="N15" s="117" t="str">
        <f>"59,2560"</f>
        <v>59,2560</v>
      </c>
      <c r="O15" s="25" t="s">
        <v>104</v>
      </c>
    </row>
    <row r="16" spans="1:15" ht="12.75">
      <c r="A16" s="41" t="s">
        <v>562</v>
      </c>
      <c r="B16" s="41" t="s">
        <v>583</v>
      </c>
      <c r="C16" s="26" t="s">
        <v>740</v>
      </c>
      <c r="D16" s="26" t="s">
        <v>96</v>
      </c>
      <c r="E16" s="26" t="s">
        <v>97</v>
      </c>
      <c r="F16" s="26" t="str">
        <f>"0,9969"</f>
        <v>0,9969</v>
      </c>
      <c r="G16" s="26" t="s">
        <v>15</v>
      </c>
      <c r="H16" s="26" t="s">
        <v>98</v>
      </c>
      <c r="I16" s="119" t="s">
        <v>102</v>
      </c>
      <c r="J16" s="118" t="s">
        <v>102</v>
      </c>
      <c r="K16" s="119" t="s">
        <v>70</v>
      </c>
      <c r="L16" s="120"/>
      <c r="M16" s="45">
        <v>55</v>
      </c>
      <c r="N16" s="121" t="str">
        <f>"54,8322"</f>
        <v>54,8322</v>
      </c>
      <c r="O16" s="26" t="s">
        <v>104</v>
      </c>
    </row>
    <row r="18" spans="1:14" ht="15.75">
      <c r="A18"/>
      <c r="B18"/>
      <c r="C18" s="216" t="s">
        <v>112</v>
      </c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5" ht="12.75">
      <c r="A19" s="42" t="s">
        <v>560</v>
      </c>
      <c r="B19" s="42" t="s">
        <v>568</v>
      </c>
      <c r="C19" s="22" t="s">
        <v>779</v>
      </c>
      <c r="D19" s="22" t="s">
        <v>359</v>
      </c>
      <c r="E19" s="22" t="s">
        <v>360</v>
      </c>
      <c r="F19" s="22" t="str">
        <f>"0,9733"</f>
        <v>0,9733</v>
      </c>
      <c r="G19" s="22" t="s">
        <v>131</v>
      </c>
      <c r="H19" s="22" t="s">
        <v>126</v>
      </c>
      <c r="I19" s="106" t="s">
        <v>70</v>
      </c>
      <c r="J19" s="107" t="s">
        <v>121</v>
      </c>
      <c r="K19" s="107" t="s">
        <v>121</v>
      </c>
      <c r="L19" s="108"/>
      <c r="M19" s="46">
        <v>60</v>
      </c>
      <c r="N19" s="109" t="str">
        <f>"58,4010"</f>
        <v>58,4010</v>
      </c>
      <c r="O19" s="22" t="s">
        <v>132</v>
      </c>
    </row>
    <row r="21" spans="1:14" ht="15.75">
      <c r="A21"/>
      <c r="B21"/>
      <c r="C21" s="216" t="s">
        <v>122</v>
      </c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</row>
    <row r="22" spans="1:15" ht="12.75">
      <c r="A22" s="42" t="s">
        <v>560</v>
      </c>
      <c r="B22" s="42" t="s">
        <v>568</v>
      </c>
      <c r="C22" s="22" t="s">
        <v>780</v>
      </c>
      <c r="D22" s="22" t="s">
        <v>361</v>
      </c>
      <c r="E22" s="22" t="s">
        <v>125</v>
      </c>
      <c r="F22" s="22" t="str">
        <f>"0,8461"</f>
        <v>0,8461</v>
      </c>
      <c r="G22" s="22" t="s">
        <v>15</v>
      </c>
      <c r="H22" s="22" t="s">
        <v>16</v>
      </c>
      <c r="I22" s="106" t="s">
        <v>121</v>
      </c>
      <c r="J22" s="106" t="s">
        <v>71</v>
      </c>
      <c r="K22" s="107" t="s">
        <v>362</v>
      </c>
      <c r="L22" s="108"/>
      <c r="M22" s="46">
        <v>70</v>
      </c>
      <c r="N22" s="109" t="str">
        <f>"59,2235"</f>
        <v>59,2235</v>
      </c>
      <c r="O22" s="22" t="s">
        <v>179</v>
      </c>
    </row>
    <row r="24" spans="1:14" ht="15.75">
      <c r="A24"/>
      <c r="B24"/>
      <c r="C24" s="216" t="s">
        <v>66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5" ht="12.75">
      <c r="A25" s="42" t="s">
        <v>560</v>
      </c>
      <c r="B25" s="42"/>
      <c r="C25" s="22" t="s">
        <v>363</v>
      </c>
      <c r="D25" s="22" t="s">
        <v>364</v>
      </c>
      <c r="E25" s="22" t="s">
        <v>365</v>
      </c>
      <c r="F25" s="22" t="str">
        <f>"1,0076"</f>
        <v>1,0076</v>
      </c>
      <c r="G25" s="22" t="s">
        <v>41</v>
      </c>
      <c r="H25" s="22" t="s">
        <v>161</v>
      </c>
      <c r="I25" s="106" t="s">
        <v>102</v>
      </c>
      <c r="J25" s="106" t="s">
        <v>70</v>
      </c>
      <c r="K25" s="106" t="s">
        <v>92</v>
      </c>
      <c r="L25" s="108"/>
      <c r="M25" s="46">
        <v>62.5</v>
      </c>
      <c r="N25" s="109" t="str">
        <f>"62,9750"</f>
        <v>62,9750</v>
      </c>
      <c r="O25" s="22" t="s">
        <v>366</v>
      </c>
    </row>
    <row r="27" spans="1:14" ht="15.75">
      <c r="A27"/>
      <c r="B27"/>
      <c r="C27" s="216" t="s">
        <v>86</v>
      </c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5" ht="12.75">
      <c r="A28" s="40" t="s">
        <v>560</v>
      </c>
      <c r="B28" s="40" t="s">
        <v>567</v>
      </c>
      <c r="C28" s="24" t="s">
        <v>781</v>
      </c>
      <c r="D28" s="24" t="s">
        <v>367</v>
      </c>
      <c r="E28" s="24" t="s">
        <v>368</v>
      </c>
      <c r="F28" s="24" t="str">
        <f>"0,8396"</f>
        <v>0,8396</v>
      </c>
      <c r="G28" s="24" t="s">
        <v>15</v>
      </c>
      <c r="H28" s="86" t="s">
        <v>16</v>
      </c>
      <c r="I28" s="167" t="s">
        <v>103</v>
      </c>
      <c r="J28" s="110" t="s">
        <v>85</v>
      </c>
      <c r="K28" s="176" t="s">
        <v>240</v>
      </c>
      <c r="L28" s="170"/>
      <c r="M28" s="44">
        <v>112.5</v>
      </c>
      <c r="N28" s="113" t="str">
        <f>"94,4606"</f>
        <v>94,4606</v>
      </c>
      <c r="O28" s="24" t="s">
        <v>26</v>
      </c>
    </row>
    <row r="29" spans="1:15" ht="12.75">
      <c r="A29" s="41" t="s">
        <v>560</v>
      </c>
      <c r="B29" s="41" t="s">
        <v>568</v>
      </c>
      <c r="C29" s="26" t="s">
        <v>744</v>
      </c>
      <c r="D29" s="26" t="s">
        <v>133</v>
      </c>
      <c r="E29" s="26" t="s">
        <v>134</v>
      </c>
      <c r="F29" s="26" t="str">
        <f>"0,8328"</f>
        <v>0,8328</v>
      </c>
      <c r="G29" s="26" t="s">
        <v>15</v>
      </c>
      <c r="H29" s="88" t="s">
        <v>16</v>
      </c>
      <c r="I29" s="172" t="s">
        <v>107</v>
      </c>
      <c r="J29" s="118" t="s">
        <v>75</v>
      </c>
      <c r="K29" s="177" t="s">
        <v>135</v>
      </c>
      <c r="L29" s="175"/>
      <c r="M29" s="45">
        <v>92.5</v>
      </c>
      <c r="N29" s="121" t="str">
        <f>"77,0386"</f>
        <v>77,0386</v>
      </c>
      <c r="O29" s="26" t="s">
        <v>104</v>
      </c>
    </row>
    <row r="31" spans="1:14" ht="15.75">
      <c r="A31"/>
      <c r="B31"/>
      <c r="C31" s="216" t="s">
        <v>112</v>
      </c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40" t="s">
        <v>560</v>
      </c>
      <c r="B32" s="40" t="s">
        <v>568</v>
      </c>
      <c r="C32" s="24" t="s">
        <v>782</v>
      </c>
      <c r="D32" s="24" t="s">
        <v>369</v>
      </c>
      <c r="E32" s="24" t="s">
        <v>370</v>
      </c>
      <c r="F32" s="24" t="str">
        <f>"0,7797"</f>
        <v>0,7797</v>
      </c>
      <c r="G32" s="24" t="s">
        <v>90</v>
      </c>
      <c r="H32" s="24" t="s">
        <v>30</v>
      </c>
      <c r="I32" s="110" t="s">
        <v>101</v>
      </c>
      <c r="J32" s="110" t="s">
        <v>103</v>
      </c>
      <c r="K32" s="110" t="s">
        <v>85</v>
      </c>
      <c r="L32" s="112"/>
      <c r="M32" s="44">
        <v>112.5</v>
      </c>
      <c r="N32" s="113" t="str">
        <f>"87,7162"</f>
        <v>87,7162</v>
      </c>
      <c r="O32" s="24" t="s">
        <v>256</v>
      </c>
    </row>
    <row r="33" spans="1:15" ht="12.75">
      <c r="A33" s="52"/>
      <c r="B33" s="52"/>
      <c r="C33" s="25" t="s">
        <v>371</v>
      </c>
      <c r="D33" s="25" t="s">
        <v>372</v>
      </c>
      <c r="E33" s="25" t="s">
        <v>373</v>
      </c>
      <c r="F33" s="25" t="str">
        <f>"0,7775"</f>
        <v>0,7775</v>
      </c>
      <c r="G33" s="25" t="s">
        <v>41</v>
      </c>
      <c r="H33" s="25" t="s">
        <v>30</v>
      </c>
      <c r="I33" s="115" t="s">
        <v>150</v>
      </c>
      <c r="J33" s="115" t="s">
        <v>150</v>
      </c>
      <c r="K33" s="115" t="s">
        <v>150</v>
      </c>
      <c r="L33" s="116"/>
      <c r="M33" s="49">
        <v>0</v>
      </c>
      <c r="N33" s="117" t="str">
        <f>"0,0000"</f>
        <v>0,0000</v>
      </c>
      <c r="O33" s="25" t="s">
        <v>688</v>
      </c>
    </row>
    <row r="34" spans="1:15" ht="12.75">
      <c r="A34" s="52" t="s">
        <v>560</v>
      </c>
      <c r="B34" s="52"/>
      <c r="C34" s="25" t="s">
        <v>783</v>
      </c>
      <c r="D34" s="25" t="s">
        <v>374</v>
      </c>
      <c r="E34" s="25" t="s">
        <v>375</v>
      </c>
      <c r="F34" s="25" t="str">
        <f>"0,7818"</f>
        <v>0,7818</v>
      </c>
      <c r="G34" s="25" t="s">
        <v>41</v>
      </c>
      <c r="H34" s="25" t="s">
        <v>569</v>
      </c>
      <c r="I34" s="115" t="s">
        <v>110</v>
      </c>
      <c r="J34" s="115" t="s">
        <v>120</v>
      </c>
      <c r="K34" s="114" t="s">
        <v>120</v>
      </c>
      <c r="L34" s="116"/>
      <c r="M34" s="49">
        <v>125</v>
      </c>
      <c r="N34" s="117" t="str">
        <f>"97,7312"</f>
        <v>97,7312</v>
      </c>
      <c r="O34" s="25" t="s">
        <v>104</v>
      </c>
    </row>
    <row r="35" spans="1:15" ht="12.75">
      <c r="A35" s="52" t="s">
        <v>561</v>
      </c>
      <c r="B35" s="52"/>
      <c r="C35" s="25" t="s">
        <v>784</v>
      </c>
      <c r="D35" s="25" t="s">
        <v>376</v>
      </c>
      <c r="E35" s="25" t="s">
        <v>377</v>
      </c>
      <c r="F35" s="25" t="str">
        <f>"0,7681"</f>
        <v>0,7681</v>
      </c>
      <c r="G35" s="25" t="s">
        <v>41</v>
      </c>
      <c r="H35" s="25" t="s">
        <v>296</v>
      </c>
      <c r="I35" s="114" t="s">
        <v>154</v>
      </c>
      <c r="J35" s="114" t="s">
        <v>110</v>
      </c>
      <c r="K35" s="115" t="s">
        <v>119</v>
      </c>
      <c r="L35" s="116"/>
      <c r="M35" s="49">
        <v>115</v>
      </c>
      <c r="N35" s="117" t="str">
        <f>"88,3258"</f>
        <v>88,3258</v>
      </c>
      <c r="O35" s="25" t="s">
        <v>104</v>
      </c>
    </row>
    <row r="36" spans="1:15" ht="12.75">
      <c r="A36" s="52" t="s">
        <v>560</v>
      </c>
      <c r="B36" s="52" t="s">
        <v>567</v>
      </c>
      <c r="C36" s="25" t="s">
        <v>785</v>
      </c>
      <c r="D36" s="25" t="s">
        <v>378</v>
      </c>
      <c r="E36" s="25" t="s">
        <v>373</v>
      </c>
      <c r="F36" s="25" t="str">
        <f>"0,7775"</f>
        <v>0,7775</v>
      </c>
      <c r="G36" s="25" t="s">
        <v>29</v>
      </c>
      <c r="H36" s="25" t="s">
        <v>126</v>
      </c>
      <c r="I36" s="115" t="s">
        <v>110</v>
      </c>
      <c r="J36" s="114" t="s">
        <v>110</v>
      </c>
      <c r="K36" s="114" t="s">
        <v>120</v>
      </c>
      <c r="L36" s="116"/>
      <c r="M36" s="49">
        <v>125</v>
      </c>
      <c r="N36" s="117" t="str">
        <f>"97,1875"</f>
        <v>97,1875</v>
      </c>
      <c r="O36" s="25" t="s">
        <v>379</v>
      </c>
    </row>
    <row r="37" spans="1:15" ht="12.75">
      <c r="A37" s="52" t="s">
        <v>561</v>
      </c>
      <c r="B37" s="52"/>
      <c r="C37" s="25" t="s">
        <v>786</v>
      </c>
      <c r="D37" s="25" t="s">
        <v>380</v>
      </c>
      <c r="E37" s="25" t="s">
        <v>377</v>
      </c>
      <c r="F37" s="25" t="str">
        <f>"0,7681"</f>
        <v>0,7681</v>
      </c>
      <c r="G37" s="25" t="s">
        <v>41</v>
      </c>
      <c r="H37" s="25" t="s">
        <v>168</v>
      </c>
      <c r="I37" s="114" t="s">
        <v>110</v>
      </c>
      <c r="J37" s="114" t="s">
        <v>120</v>
      </c>
      <c r="K37" s="115" t="s">
        <v>297</v>
      </c>
      <c r="L37" s="116"/>
      <c r="M37" s="49">
        <v>125</v>
      </c>
      <c r="N37" s="117" t="str">
        <f>"96,0063"</f>
        <v>96,0063</v>
      </c>
      <c r="O37" s="25" t="s">
        <v>104</v>
      </c>
    </row>
    <row r="38" spans="1:15" ht="12.75">
      <c r="A38" s="41" t="s">
        <v>560</v>
      </c>
      <c r="B38" s="41"/>
      <c r="C38" s="26" t="s">
        <v>787</v>
      </c>
      <c r="D38" s="26" t="s">
        <v>381</v>
      </c>
      <c r="E38" s="26" t="s">
        <v>382</v>
      </c>
      <c r="F38" s="26" t="str">
        <f>"0,7919"</f>
        <v>0,7919</v>
      </c>
      <c r="G38" s="26" t="s">
        <v>41</v>
      </c>
      <c r="H38" s="26" t="s">
        <v>30</v>
      </c>
      <c r="I38" s="118" t="s">
        <v>150</v>
      </c>
      <c r="J38" s="119" t="s">
        <v>103</v>
      </c>
      <c r="K38" s="118" t="s">
        <v>103</v>
      </c>
      <c r="L38" s="120"/>
      <c r="M38" s="45">
        <v>107.5</v>
      </c>
      <c r="N38" s="121" t="str">
        <f>"90,9238"</f>
        <v>90,9238</v>
      </c>
      <c r="O38" s="26" t="s">
        <v>104</v>
      </c>
    </row>
    <row r="40" spans="1:14" ht="15.75">
      <c r="A40"/>
      <c r="B40"/>
      <c r="C40" s="216" t="s">
        <v>122</v>
      </c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40" t="s">
        <v>560</v>
      </c>
      <c r="B41" s="40"/>
      <c r="C41" s="24" t="s">
        <v>788</v>
      </c>
      <c r="D41" s="24" t="s">
        <v>383</v>
      </c>
      <c r="E41" s="24" t="s">
        <v>384</v>
      </c>
      <c r="F41" s="24" t="str">
        <f>"0,7027"</f>
        <v>0,7027</v>
      </c>
      <c r="G41" s="24" t="s">
        <v>41</v>
      </c>
      <c r="H41" s="24" t="s">
        <v>30</v>
      </c>
      <c r="I41" s="110" t="s">
        <v>103</v>
      </c>
      <c r="J41" s="110" t="s">
        <v>240</v>
      </c>
      <c r="K41" s="110" t="s">
        <v>119</v>
      </c>
      <c r="L41" s="112"/>
      <c r="M41" s="44">
        <v>120</v>
      </c>
      <c r="N41" s="113" t="str">
        <f>"84,3180"</f>
        <v>84,3180</v>
      </c>
      <c r="O41" s="24" t="s">
        <v>269</v>
      </c>
    </row>
    <row r="42" spans="1:15" ht="12.75">
      <c r="A42" s="52" t="s">
        <v>560</v>
      </c>
      <c r="B42" s="52" t="s">
        <v>565</v>
      </c>
      <c r="C42" s="25" t="s">
        <v>385</v>
      </c>
      <c r="D42" s="25" t="s">
        <v>386</v>
      </c>
      <c r="E42" s="25" t="s">
        <v>387</v>
      </c>
      <c r="F42" s="25" t="str">
        <f>"0,6885"</f>
        <v>0,6885</v>
      </c>
      <c r="G42" s="25" t="s">
        <v>15</v>
      </c>
      <c r="H42" s="25" t="s">
        <v>16</v>
      </c>
      <c r="I42" s="114" t="s">
        <v>34</v>
      </c>
      <c r="J42" s="114" t="s">
        <v>22</v>
      </c>
      <c r="K42" s="114" t="s">
        <v>300</v>
      </c>
      <c r="L42" s="116"/>
      <c r="M42" s="49">
        <v>162.5</v>
      </c>
      <c r="N42" s="117" t="str">
        <f>"111,8894"</f>
        <v>111,8894</v>
      </c>
      <c r="O42" s="25" t="s">
        <v>104</v>
      </c>
    </row>
    <row r="43" spans="1:15" ht="12.75">
      <c r="A43" s="52" t="s">
        <v>561</v>
      </c>
      <c r="B43" s="52" t="s">
        <v>573</v>
      </c>
      <c r="C43" s="25" t="s">
        <v>789</v>
      </c>
      <c r="D43" s="25" t="s">
        <v>388</v>
      </c>
      <c r="E43" s="25" t="s">
        <v>389</v>
      </c>
      <c r="F43" s="25" t="str">
        <f>"0,6962"</f>
        <v>0,6962</v>
      </c>
      <c r="G43" s="25" t="s">
        <v>15</v>
      </c>
      <c r="H43" s="25" t="s">
        <v>16</v>
      </c>
      <c r="I43" s="114" t="s">
        <v>103</v>
      </c>
      <c r="J43" s="115" t="s">
        <v>240</v>
      </c>
      <c r="K43" s="115" t="s">
        <v>240</v>
      </c>
      <c r="L43" s="116"/>
      <c r="M43" s="49">
        <v>107.5</v>
      </c>
      <c r="N43" s="117" t="str">
        <f>"74,8361"</f>
        <v>74,8361</v>
      </c>
      <c r="O43" s="25" t="s">
        <v>26</v>
      </c>
    </row>
    <row r="44" spans="1:15" ht="12.75">
      <c r="A44" s="41" t="s">
        <v>562</v>
      </c>
      <c r="B44" s="41"/>
      <c r="C44" s="26" t="s">
        <v>790</v>
      </c>
      <c r="D44" s="26" t="s">
        <v>390</v>
      </c>
      <c r="E44" s="26" t="s">
        <v>391</v>
      </c>
      <c r="F44" s="26" t="str">
        <f>"0,7110"</f>
        <v>0,7110</v>
      </c>
      <c r="G44" s="26" t="s">
        <v>41</v>
      </c>
      <c r="H44" s="26" t="s">
        <v>30</v>
      </c>
      <c r="I44" s="119" t="s">
        <v>84</v>
      </c>
      <c r="J44" s="118" t="s">
        <v>84</v>
      </c>
      <c r="K44" s="119" t="s">
        <v>240</v>
      </c>
      <c r="L44" s="120"/>
      <c r="M44" s="45">
        <v>105</v>
      </c>
      <c r="N44" s="121" t="str">
        <f>"74,6498"</f>
        <v>74,6498</v>
      </c>
      <c r="O44" s="26" t="s">
        <v>392</v>
      </c>
    </row>
    <row r="46" spans="1:14" ht="15.75">
      <c r="A46"/>
      <c r="B46"/>
      <c r="C46" s="216" t="s">
        <v>163</v>
      </c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</row>
    <row r="47" spans="1:15" ht="12.75">
      <c r="A47" s="84"/>
      <c r="B47" s="84"/>
      <c r="C47" s="86" t="s">
        <v>393</v>
      </c>
      <c r="D47" s="86" t="s">
        <v>394</v>
      </c>
      <c r="E47" s="24" t="s">
        <v>395</v>
      </c>
      <c r="F47" s="257" t="str">
        <f>"0,6793"</f>
        <v>0,6793</v>
      </c>
      <c r="G47" s="24" t="s">
        <v>41</v>
      </c>
      <c r="H47" s="257" t="s">
        <v>685</v>
      </c>
      <c r="I47" s="259" t="s">
        <v>119</v>
      </c>
      <c r="J47" s="111" t="s">
        <v>119</v>
      </c>
      <c r="K47" s="260" t="s">
        <v>119</v>
      </c>
      <c r="L47" s="166"/>
      <c r="M47" s="264">
        <v>0</v>
      </c>
      <c r="N47" s="164" t="str">
        <f>"0,0000"</f>
        <v>0,0000</v>
      </c>
      <c r="O47" s="24" t="s">
        <v>396</v>
      </c>
    </row>
    <row r="48" spans="1:15" ht="12.75">
      <c r="A48" s="256" t="s">
        <v>560</v>
      </c>
      <c r="B48" s="256"/>
      <c r="C48" s="87" t="s">
        <v>791</v>
      </c>
      <c r="D48" s="87" t="s">
        <v>397</v>
      </c>
      <c r="E48" s="25" t="s">
        <v>398</v>
      </c>
      <c r="F48" s="33" t="str">
        <f>"0,6595"</f>
        <v>0,6595</v>
      </c>
      <c r="G48" s="25" t="s">
        <v>41</v>
      </c>
      <c r="H48" s="33" t="s">
        <v>399</v>
      </c>
      <c r="I48" s="178" t="s">
        <v>20</v>
      </c>
      <c r="J48" s="114" t="s">
        <v>208</v>
      </c>
      <c r="K48" s="255" t="s">
        <v>21</v>
      </c>
      <c r="L48" s="263"/>
      <c r="M48" s="265">
        <v>147.5</v>
      </c>
      <c r="N48" s="267" t="str">
        <f>"97,2763"</f>
        <v>97,2763</v>
      </c>
      <c r="O48" s="25" t="s">
        <v>104</v>
      </c>
    </row>
    <row r="49" spans="1:15" ht="12.75">
      <c r="A49" s="95" t="s">
        <v>561</v>
      </c>
      <c r="B49" s="95"/>
      <c r="C49" s="88" t="s">
        <v>184</v>
      </c>
      <c r="D49" s="88" t="s">
        <v>185</v>
      </c>
      <c r="E49" s="26" t="s">
        <v>186</v>
      </c>
      <c r="F49" s="258" t="str">
        <f>"0,6578"</f>
        <v>0,6578</v>
      </c>
      <c r="G49" s="26" t="s">
        <v>41</v>
      </c>
      <c r="H49" s="258" t="s">
        <v>187</v>
      </c>
      <c r="I49" s="261" t="s">
        <v>177</v>
      </c>
      <c r="J49" s="141" t="s">
        <v>144</v>
      </c>
      <c r="K49" s="262" t="s">
        <v>144</v>
      </c>
      <c r="L49" s="171"/>
      <c r="M49" s="266">
        <v>137.5</v>
      </c>
      <c r="N49" s="268" t="s">
        <v>883</v>
      </c>
      <c r="O49" s="26" t="s">
        <v>821</v>
      </c>
    </row>
    <row r="51" spans="1:14" ht="15.75">
      <c r="A51"/>
      <c r="B51"/>
      <c r="C51" s="216" t="s">
        <v>194</v>
      </c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5" ht="12.75">
      <c r="A52" s="40" t="s">
        <v>560</v>
      </c>
      <c r="B52" s="40"/>
      <c r="C52" s="24" t="s">
        <v>792</v>
      </c>
      <c r="D52" s="24" t="s">
        <v>400</v>
      </c>
      <c r="E52" s="24" t="s">
        <v>401</v>
      </c>
      <c r="F52" s="24" t="str">
        <f>"0,6211"</f>
        <v>0,6211</v>
      </c>
      <c r="G52" s="24" t="s">
        <v>41</v>
      </c>
      <c r="H52" s="24" t="s">
        <v>402</v>
      </c>
      <c r="I52" s="111" t="s">
        <v>111</v>
      </c>
      <c r="J52" s="111" t="s">
        <v>403</v>
      </c>
      <c r="K52" s="110" t="s">
        <v>403</v>
      </c>
      <c r="L52" s="112"/>
      <c r="M52" s="44">
        <v>132.5</v>
      </c>
      <c r="N52" s="113" t="str">
        <f>"82,2991"</f>
        <v>82,2991</v>
      </c>
      <c r="O52" s="24" t="s">
        <v>104</v>
      </c>
    </row>
    <row r="53" spans="1:15" ht="12.75">
      <c r="A53" s="52" t="s">
        <v>560</v>
      </c>
      <c r="B53" s="52" t="s">
        <v>567</v>
      </c>
      <c r="C53" s="25" t="s">
        <v>793</v>
      </c>
      <c r="D53" s="25" t="s">
        <v>404</v>
      </c>
      <c r="E53" s="25" t="s">
        <v>405</v>
      </c>
      <c r="F53" s="25" t="str">
        <f>"0,6119"</f>
        <v>0,6119</v>
      </c>
      <c r="G53" s="25" t="s">
        <v>15</v>
      </c>
      <c r="H53" s="25" t="s">
        <v>16</v>
      </c>
      <c r="I53" s="114" t="s">
        <v>22</v>
      </c>
      <c r="J53" s="114" t="s">
        <v>145</v>
      </c>
      <c r="K53" s="115" t="s">
        <v>136</v>
      </c>
      <c r="L53" s="116"/>
      <c r="M53" s="49">
        <v>160</v>
      </c>
      <c r="N53" s="117" t="str">
        <f>"97,8960"</f>
        <v>97,8960</v>
      </c>
      <c r="O53" s="25" t="s">
        <v>179</v>
      </c>
    </row>
    <row r="54" spans="1:15" ht="12.75">
      <c r="A54" s="52" t="s">
        <v>561</v>
      </c>
      <c r="B54" s="52" t="s">
        <v>566</v>
      </c>
      <c r="C54" s="25" t="s">
        <v>794</v>
      </c>
      <c r="D54" s="25" t="s">
        <v>406</v>
      </c>
      <c r="E54" s="25" t="s">
        <v>407</v>
      </c>
      <c r="F54" s="25" t="str">
        <f>"0,6162"</f>
        <v>0,6162</v>
      </c>
      <c r="G54" s="25" t="s">
        <v>167</v>
      </c>
      <c r="H54" s="25" t="s">
        <v>168</v>
      </c>
      <c r="I54" s="114" t="s">
        <v>33</v>
      </c>
      <c r="J54" s="114" t="s">
        <v>21</v>
      </c>
      <c r="K54" s="115" t="s">
        <v>145</v>
      </c>
      <c r="L54" s="116"/>
      <c r="M54" s="49">
        <v>152.5</v>
      </c>
      <c r="N54" s="117" t="str">
        <f>"93,9781"</f>
        <v>93,9781</v>
      </c>
      <c r="O54" s="25" t="s">
        <v>209</v>
      </c>
    </row>
    <row r="55" spans="1:15" ht="12.75">
      <c r="A55" s="52" t="s">
        <v>562</v>
      </c>
      <c r="B55" s="52"/>
      <c r="C55" s="25" t="s">
        <v>795</v>
      </c>
      <c r="D55" s="25" t="s">
        <v>408</v>
      </c>
      <c r="E55" s="25" t="s">
        <v>409</v>
      </c>
      <c r="F55" s="25" t="str">
        <f>"0,6173"</f>
        <v>0,6173</v>
      </c>
      <c r="G55" s="25" t="s">
        <v>41</v>
      </c>
      <c r="H55" s="25" t="s">
        <v>30</v>
      </c>
      <c r="I55" s="114" t="s">
        <v>154</v>
      </c>
      <c r="J55" s="115" t="s">
        <v>119</v>
      </c>
      <c r="K55" s="115" t="s">
        <v>119</v>
      </c>
      <c r="L55" s="116"/>
      <c r="M55" s="49">
        <v>110</v>
      </c>
      <c r="N55" s="117" t="str">
        <f>"67,9030"</f>
        <v>67,9030</v>
      </c>
      <c r="O55" s="25" t="s">
        <v>269</v>
      </c>
    </row>
    <row r="56" spans="1:15" ht="12.75">
      <c r="A56" s="52" t="s">
        <v>576</v>
      </c>
      <c r="B56" s="52"/>
      <c r="C56" s="25" t="s">
        <v>796</v>
      </c>
      <c r="D56" s="25" t="s">
        <v>410</v>
      </c>
      <c r="E56" s="25" t="s">
        <v>411</v>
      </c>
      <c r="F56" s="25" t="str">
        <f>"0,6137"</f>
        <v>0,6137</v>
      </c>
      <c r="G56" s="25" t="s">
        <v>41</v>
      </c>
      <c r="H56" s="25" t="s">
        <v>42</v>
      </c>
      <c r="I56" s="114" t="s">
        <v>150</v>
      </c>
      <c r="J56" s="114" t="s">
        <v>154</v>
      </c>
      <c r="K56" s="115" t="s">
        <v>119</v>
      </c>
      <c r="L56" s="116"/>
      <c r="M56" s="49">
        <v>110</v>
      </c>
      <c r="N56" s="117" t="str">
        <f>"67,5125"</f>
        <v>67,5125</v>
      </c>
      <c r="O56" s="25" t="s">
        <v>46</v>
      </c>
    </row>
    <row r="57" spans="1:15" ht="12.75">
      <c r="A57" s="52"/>
      <c r="B57" s="52"/>
      <c r="C57" s="25" t="s">
        <v>412</v>
      </c>
      <c r="D57" s="25" t="s">
        <v>413</v>
      </c>
      <c r="E57" s="25" t="s">
        <v>414</v>
      </c>
      <c r="F57" s="25" t="str">
        <f>"0,6184"</f>
        <v>0,6184</v>
      </c>
      <c r="G57" s="25" t="s">
        <v>305</v>
      </c>
      <c r="H57" s="25" t="s">
        <v>30</v>
      </c>
      <c r="I57" s="115" t="s">
        <v>20</v>
      </c>
      <c r="J57" s="115" t="s">
        <v>21</v>
      </c>
      <c r="K57" s="115" t="s">
        <v>21</v>
      </c>
      <c r="L57" s="116"/>
      <c r="M57" s="49">
        <v>0</v>
      </c>
      <c r="N57" s="117" t="str">
        <f>"0,0000"</f>
        <v>0,0000</v>
      </c>
      <c r="O57" s="25" t="s">
        <v>415</v>
      </c>
    </row>
    <row r="58" spans="1:15" ht="12.75">
      <c r="A58" s="41" t="s">
        <v>560</v>
      </c>
      <c r="B58" s="41"/>
      <c r="C58" s="26" t="s">
        <v>797</v>
      </c>
      <c r="D58" s="26" t="s">
        <v>416</v>
      </c>
      <c r="E58" s="26" t="s">
        <v>417</v>
      </c>
      <c r="F58" s="26" t="str">
        <f>"0,6331"</f>
        <v>0,6331</v>
      </c>
      <c r="G58" s="26" t="s">
        <v>41</v>
      </c>
      <c r="H58" s="26" t="s">
        <v>161</v>
      </c>
      <c r="I58" s="118" t="s">
        <v>101</v>
      </c>
      <c r="J58" s="118" t="s">
        <v>83</v>
      </c>
      <c r="K58" s="118" t="s">
        <v>76</v>
      </c>
      <c r="L58" s="120"/>
      <c r="M58" s="45">
        <v>100</v>
      </c>
      <c r="N58" s="121" t="str">
        <f>"66,7920"</f>
        <v>66,7920</v>
      </c>
      <c r="O58" s="26" t="s">
        <v>162</v>
      </c>
    </row>
    <row r="60" spans="1:14" ht="15.75">
      <c r="A60"/>
      <c r="B60"/>
      <c r="C60" s="216" t="s">
        <v>12</v>
      </c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</row>
    <row r="61" spans="1:15" ht="12.75">
      <c r="A61" s="40" t="s">
        <v>560</v>
      </c>
      <c r="B61" s="40" t="s">
        <v>567</v>
      </c>
      <c r="C61" s="24" t="s">
        <v>798</v>
      </c>
      <c r="D61" s="24" t="s">
        <v>418</v>
      </c>
      <c r="E61" s="24" t="s">
        <v>419</v>
      </c>
      <c r="F61" s="24" t="str">
        <f>"0,5870"</f>
        <v>0,5870</v>
      </c>
      <c r="G61" s="24" t="s">
        <v>15</v>
      </c>
      <c r="H61" s="24" t="s">
        <v>16</v>
      </c>
      <c r="I61" s="110" t="s">
        <v>52</v>
      </c>
      <c r="J61" s="110" t="s">
        <v>53</v>
      </c>
      <c r="K61" s="111" t="s">
        <v>175</v>
      </c>
      <c r="L61" s="112"/>
      <c r="M61" s="44">
        <v>180</v>
      </c>
      <c r="N61" s="113" t="str">
        <f>"105,6510"</f>
        <v>105,6510</v>
      </c>
      <c r="O61" s="24" t="s">
        <v>179</v>
      </c>
    </row>
    <row r="62" spans="1:15" ht="12.75">
      <c r="A62" s="52" t="s">
        <v>561</v>
      </c>
      <c r="B62" s="52" t="s">
        <v>566</v>
      </c>
      <c r="C62" s="25" t="s">
        <v>799</v>
      </c>
      <c r="D62" s="25" t="s">
        <v>420</v>
      </c>
      <c r="E62" s="25" t="s">
        <v>421</v>
      </c>
      <c r="F62" s="25" t="str">
        <f>"0,5850"</f>
        <v>0,5850</v>
      </c>
      <c r="G62" s="25" t="s">
        <v>29</v>
      </c>
      <c r="H62" s="25" t="s">
        <v>30</v>
      </c>
      <c r="I62" s="114" t="s">
        <v>22</v>
      </c>
      <c r="J62" s="114" t="s">
        <v>300</v>
      </c>
      <c r="K62" s="115" t="s">
        <v>137</v>
      </c>
      <c r="L62" s="116"/>
      <c r="M62" s="49">
        <v>162.5</v>
      </c>
      <c r="N62" s="117" t="str">
        <f>"95,0706"</f>
        <v>95,0706</v>
      </c>
      <c r="O62" s="25" t="s">
        <v>422</v>
      </c>
    </row>
    <row r="63" spans="1:15" ht="12.75">
      <c r="A63" s="52" t="s">
        <v>562</v>
      </c>
      <c r="B63" s="52" t="s">
        <v>583</v>
      </c>
      <c r="C63" s="25" t="s">
        <v>800</v>
      </c>
      <c r="D63" s="25" t="s">
        <v>423</v>
      </c>
      <c r="E63" s="25" t="s">
        <v>424</v>
      </c>
      <c r="F63" s="25" t="str">
        <f>"0,5924"</f>
        <v>0,5924</v>
      </c>
      <c r="G63" s="25" t="s">
        <v>131</v>
      </c>
      <c r="H63" s="25" t="s">
        <v>126</v>
      </c>
      <c r="I63" s="115" t="s">
        <v>21</v>
      </c>
      <c r="J63" s="114" t="s">
        <v>21</v>
      </c>
      <c r="K63" s="115" t="s">
        <v>300</v>
      </c>
      <c r="L63" s="116"/>
      <c r="M63" s="49">
        <v>152.5</v>
      </c>
      <c r="N63" s="117" t="str">
        <f>"90,3410"</f>
        <v>90,3410</v>
      </c>
      <c r="O63" s="25" t="s">
        <v>311</v>
      </c>
    </row>
    <row r="64" spans="1:15" ht="12.75">
      <c r="A64" s="52" t="s">
        <v>576</v>
      </c>
      <c r="B64" s="52"/>
      <c r="C64" s="25" t="s">
        <v>801</v>
      </c>
      <c r="D64" s="25" t="s">
        <v>425</v>
      </c>
      <c r="E64" s="25" t="s">
        <v>426</v>
      </c>
      <c r="F64" s="25" t="str">
        <f>"0,5980"</f>
        <v>0,5980</v>
      </c>
      <c r="G64" s="25" t="s">
        <v>41</v>
      </c>
      <c r="H64" s="25" t="s">
        <v>30</v>
      </c>
      <c r="I64" s="114" t="s">
        <v>111</v>
      </c>
      <c r="J64" s="114" t="s">
        <v>33</v>
      </c>
      <c r="K64" s="115" t="s">
        <v>20</v>
      </c>
      <c r="L64" s="116"/>
      <c r="M64" s="49">
        <v>140</v>
      </c>
      <c r="N64" s="117" t="str">
        <f>"83,7200"</f>
        <v>83,7200</v>
      </c>
      <c r="O64" s="25" t="s">
        <v>872</v>
      </c>
    </row>
    <row r="65" spans="1:15" ht="12.75">
      <c r="A65" s="52" t="s">
        <v>560</v>
      </c>
      <c r="B65" s="52" t="s">
        <v>567</v>
      </c>
      <c r="C65" s="25" t="s">
        <v>802</v>
      </c>
      <c r="D65" s="25" t="s">
        <v>427</v>
      </c>
      <c r="E65" s="25" t="s">
        <v>428</v>
      </c>
      <c r="F65" s="25" t="str">
        <f>"0,6082"</f>
        <v>0,6082</v>
      </c>
      <c r="G65" s="25" t="s">
        <v>15</v>
      </c>
      <c r="H65" s="25" t="s">
        <v>16</v>
      </c>
      <c r="I65" s="114" t="s">
        <v>22</v>
      </c>
      <c r="J65" s="114" t="s">
        <v>300</v>
      </c>
      <c r="K65" s="114" t="s">
        <v>136</v>
      </c>
      <c r="L65" s="116"/>
      <c r="M65" s="49">
        <v>165</v>
      </c>
      <c r="N65" s="117" t="str">
        <f>"103,4639"</f>
        <v>103,4639</v>
      </c>
      <c r="O65" s="25" t="s">
        <v>179</v>
      </c>
    </row>
    <row r="66" spans="1:15" ht="12.75">
      <c r="A66" s="41" t="s">
        <v>560</v>
      </c>
      <c r="B66" s="41"/>
      <c r="C66" s="26" t="s">
        <v>429</v>
      </c>
      <c r="D66" s="26" t="s">
        <v>430</v>
      </c>
      <c r="E66" s="26" t="s">
        <v>431</v>
      </c>
      <c r="F66" s="26" t="str">
        <f>"0,5900"</f>
        <v>0,5900</v>
      </c>
      <c r="G66" s="26" t="s">
        <v>41</v>
      </c>
      <c r="H66" s="26" t="s">
        <v>30</v>
      </c>
      <c r="I66" s="118" t="s">
        <v>20</v>
      </c>
      <c r="J66" s="118" t="s">
        <v>34</v>
      </c>
      <c r="K66" s="119" t="s">
        <v>432</v>
      </c>
      <c r="L66" s="120"/>
      <c r="M66" s="45">
        <v>150</v>
      </c>
      <c r="N66" s="121" t="str">
        <f>"108,4033"</f>
        <v>108,4033</v>
      </c>
      <c r="O66" s="26" t="s">
        <v>872</v>
      </c>
    </row>
    <row r="68" spans="1:14" ht="15.75">
      <c r="A68"/>
      <c r="B68"/>
      <c r="C68" s="216" t="s">
        <v>47</v>
      </c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</row>
    <row r="69" spans="1:15" ht="12.75">
      <c r="A69" s="40" t="s">
        <v>560</v>
      </c>
      <c r="B69" s="40"/>
      <c r="C69" s="24" t="s">
        <v>433</v>
      </c>
      <c r="D69" s="24" t="s">
        <v>434</v>
      </c>
      <c r="E69" s="24" t="s">
        <v>435</v>
      </c>
      <c r="F69" s="24" t="str">
        <f>"0,5651"</f>
        <v>0,5651</v>
      </c>
      <c r="G69" s="24" t="s">
        <v>41</v>
      </c>
      <c r="H69" s="24" t="s">
        <v>686</v>
      </c>
      <c r="I69" s="110" t="s">
        <v>207</v>
      </c>
      <c r="J69" s="110" t="s">
        <v>19</v>
      </c>
      <c r="K69" s="110" t="s">
        <v>178</v>
      </c>
      <c r="L69" s="112"/>
      <c r="M69" s="44">
        <v>227.5</v>
      </c>
      <c r="N69" s="113" t="str">
        <f>"128,5603"</f>
        <v>128,5603</v>
      </c>
      <c r="O69" s="24" t="s">
        <v>436</v>
      </c>
    </row>
    <row r="70" spans="1:15" ht="12.75">
      <c r="A70" s="52"/>
      <c r="B70" s="52"/>
      <c r="C70" s="25" t="s">
        <v>437</v>
      </c>
      <c r="D70" s="25" t="s">
        <v>438</v>
      </c>
      <c r="E70" s="25" t="s">
        <v>439</v>
      </c>
      <c r="F70" s="25" t="str">
        <f>"0,5647"</f>
        <v>0,5647</v>
      </c>
      <c r="G70" s="25" t="s">
        <v>41</v>
      </c>
      <c r="H70" s="25" t="s">
        <v>687</v>
      </c>
      <c r="I70" s="115" t="s">
        <v>440</v>
      </c>
      <c r="J70" s="115" t="s">
        <v>440</v>
      </c>
      <c r="K70" s="115" t="s">
        <v>440</v>
      </c>
      <c r="L70" s="116"/>
      <c r="M70" s="49">
        <v>0</v>
      </c>
      <c r="N70" s="117" t="str">
        <f>"0,0000"</f>
        <v>0,0000</v>
      </c>
      <c r="O70" s="25" t="s">
        <v>872</v>
      </c>
    </row>
    <row r="71" spans="1:15" ht="12.75">
      <c r="A71" s="52" t="s">
        <v>560</v>
      </c>
      <c r="B71" s="52"/>
      <c r="C71" s="25" t="s">
        <v>803</v>
      </c>
      <c r="D71" s="25" t="s">
        <v>441</v>
      </c>
      <c r="E71" s="25" t="s">
        <v>442</v>
      </c>
      <c r="F71" s="25" t="str">
        <f>"0,5648"</f>
        <v>0,5648</v>
      </c>
      <c r="G71" s="25" t="s">
        <v>41</v>
      </c>
      <c r="H71" s="25" t="s">
        <v>399</v>
      </c>
      <c r="I71" s="114" t="s">
        <v>145</v>
      </c>
      <c r="J71" s="115" t="s">
        <v>310</v>
      </c>
      <c r="K71" s="114" t="s">
        <v>310</v>
      </c>
      <c r="L71" s="116"/>
      <c r="M71" s="49">
        <v>167.5</v>
      </c>
      <c r="N71" s="117" t="str">
        <f>"95,5585"</f>
        <v>95,5585</v>
      </c>
      <c r="O71" s="25" t="s">
        <v>872</v>
      </c>
    </row>
    <row r="72" spans="1:15" ht="12.75">
      <c r="A72" s="52" t="s">
        <v>561</v>
      </c>
      <c r="B72" s="52"/>
      <c r="C72" s="25" t="s">
        <v>804</v>
      </c>
      <c r="D72" s="25" t="s">
        <v>443</v>
      </c>
      <c r="E72" s="25" t="s">
        <v>444</v>
      </c>
      <c r="F72" s="25" t="str">
        <f>"0,5645"</f>
        <v>0,5645</v>
      </c>
      <c r="G72" s="25" t="s">
        <v>41</v>
      </c>
      <c r="H72" s="25" t="s">
        <v>569</v>
      </c>
      <c r="I72" s="115" t="s">
        <v>34</v>
      </c>
      <c r="J72" s="114" t="s">
        <v>34</v>
      </c>
      <c r="K72" s="115" t="s">
        <v>22</v>
      </c>
      <c r="L72" s="116"/>
      <c r="M72" s="49">
        <v>150</v>
      </c>
      <c r="N72" s="117" t="str">
        <f>"86,3761"</f>
        <v>86,3761</v>
      </c>
      <c r="O72" s="25" t="s">
        <v>872</v>
      </c>
    </row>
    <row r="73" spans="1:15" ht="12.75">
      <c r="A73" s="52"/>
      <c r="B73" s="52"/>
      <c r="C73" s="25" t="s">
        <v>445</v>
      </c>
      <c r="D73" s="25" t="s">
        <v>446</v>
      </c>
      <c r="E73" s="25" t="s">
        <v>447</v>
      </c>
      <c r="F73" s="25" t="str">
        <f>"0,5652"</f>
        <v>0,5652</v>
      </c>
      <c r="G73" s="25" t="s">
        <v>167</v>
      </c>
      <c r="H73" s="25" t="s">
        <v>448</v>
      </c>
      <c r="I73" s="115" t="s">
        <v>120</v>
      </c>
      <c r="J73" s="115" t="s">
        <v>120</v>
      </c>
      <c r="K73" s="115" t="s">
        <v>120</v>
      </c>
      <c r="L73" s="116"/>
      <c r="M73" s="49">
        <v>0</v>
      </c>
      <c r="N73" s="117" t="str">
        <f>"0,0000"</f>
        <v>0,0000</v>
      </c>
      <c r="O73" s="25" t="s">
        <v>873</v>
      </c>
    </row>
    <row r="74" spans="1:15" ht="12.75">
      <c r="A74" s="52" t="s">
        <v>560</v>
      </c>
      <c r="B74" s="52" t="s">
        <v>568</v>
      </c>
      <c r="C74" s="25" t="s">
        <v>805</v>
      </c>
      <c r="D74" s="25" t="s">
        <v>449</v>
      </c>
      <c r="E74" s="25" t="s">
        <v>450</v>
      </c>
      <c r="F74" s="25" t="str">
        <f>"0,5734"</f>
        <v>0,5734</v>
      </c>
      <c r="G74" s="25" t="s">
        <v>305</v>
      </c>
      <c r="H74" s="25" t="s">
        <v>30</v>
      </c>
      <c r="I74" s="115" t="s">
        <v>208</v>
      </c>
      <c r="J74" s="114" t="s">
        <v>208</v>
      </c>
      <c r="K74" s="115" t="s">
        <v>21</v>
      </c>
      <c r="L74" s="116"/>
      <c r="M74" s="49">
        <v>147.5</v>
      </c>
      <c r="N74" s="117" t="str">
        <f>"101,8212"</f>
        <v>101,8212</v>
      </c>
      <c r="O74" s="25" t="s">
        <v>451</v>
      </c>
    </row>
    <row r="75" spans="1:15" ht="12.75">
      <c r="A75" s="41" t="s">
        <v>560</v>
      </c>
      <c r="B75" s="41" t="s">
        <v>568</v>
      </c>
      <c r="C75" s="26" t="s">
        <v>452</v>
      </c>
      <c r="D75" s="26" t="s">
        <v>453</v>
      </c>
      <c r="E75" s="26" t="s">
        <v>49</v>
      </c>
      <c r="F75" s="26" t="str">
        <f>"0,5635"</f>
        <v>0,5635</v>
      </c>
      <c r="G75" s="26" t="s">
        <v>305</v>
      </c>
      <c r="H75" s="26" t="s">
        <v>30</v>
      </c>
      <c r="I75" s="118" t="s">
        <v>34</v>
      </c>
      <c r="J75" s="118" t="s">
        <v>22</v>
      </c>
      <c r="K75" s="119" t="s">
        <v>145</v>
      </c>
      <c r="L75" s="120"/>
      <c r="M75" s="45">
        <v>155</v>
      </c>
      <c r="N75" s="121" t="str">
        <f>"124,1137"</f>
        <v>124,1137</v>
      </c>
      <c r="O75" s="26" t="s">
        <v>872</v>
      </c>
    </row>
    <row r="77" spans="1:14" ht="15.75">
      <c r="A77"/>
      <c r="B77"/>
      <c r="C77" s="216" t="s">
        <v>281</v>
      </c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</row>
    <row r="78" spans="1:15" ht="12.75">
      <c r="A78" s="40" t="s">
        <v>560</v>
      </c>
      <c r="B78" s="40"/>
      <c r="C78" s="24" t="s">
        <v>454</v>
      </c>
      <c r="D78" s="24" t="s">
        <v>455</v>
      </c>
      <c r="E78" s="24" t="s">
        <v>456</v>
      </c>
      <c r="F78" s="24" t="str">
        <f>"0,5623"</f>
        <v>0,5623</v>
      </c>
      <c r="G78" s="24" t="s">
        <v>41</v>
      </c>
      <c r="H78" s="24" t="s">
        <v>457</v>
      </c>
      <c r="I78" s="110" t="s">
        <v>17</v>
      </c>
      <c r="J78" s="111" t="s">
        <v>204</v>
      </c>
      <c r="K78" s="111" t="s">
        <v>204</v>
      </c>
      <c r="L78" s="112"/>
      <c r="M78" s="44">
        <v>205</v>
      </c>
      <c r="N78" s="113" t="str">
        <f>"115,2817"</f>
        <v>115,2817</v>
      </c>
      <c r="O78" s="24" t="s">
        <v>872</v>
      </c>
    </row>
    <row r="79" spans="1:15" ht="12.75">
      <c r="A79" s="52" t="s">
        <v>561</v>
      </c>
      <c r="B79" s="52"/>
      <c r="C79" s="25" t="s">
        <v>806</v>
      </c>
      <c r="D79" s="25" t="s">
        <v>458</v>
      </c>
      <c r="E79" s="25" t="s">
        <v>459</v>
      </c>
      <c r="F79" s="25" t="str">
        <f>"0,5576"</f>
        <v>0,5576</v>
      </c>
      <c r="G79" s="25" t="s">
        <v>41</v>
      </c>
      <c r="H79" s="25" t="s">
        <v>569</v>
      </c>
      <c r="I79" s="114" t="s">
        <v>137</v>
      </c>
      <c r="J79" s="114" t="s">
        <v>460</v>
      </c>
      <c r="K79" s="114" t="s">
        <v>53</v>
      </c>
      <c r="L79" s="116"/>
      <c r="M79" s="49">
        <v>180</v>
      </c>
      <c r="N79" s="117" t="str">
        <f>"100,3680"</f>
        <v>100,3680</v>
      </c>
      <c r="O79" s="25" t="s">
        <v>872</v>
      </c>
    </row>
    <row r="80" spans="1:15" ht="12.75">
      <c r="A80" s="41" t="s">
        <v>560</v>
      </c>
      <c r="B80" s="41"/>
      <c r="C80" s="26" t="s">
        <v>454</v>
      </c>
      <c r="D80" s="26" t="s">
        <v>461</v>
      </c>
      <c r="E80" s="26" t="s">
        <v>456</v>
      </c>
      <c r="F80" s="26" t="str">
        <f>"0,5623"</f>
        <v>0,5623</v>
      </c>
      <c r="G80" s="26" t="s">
        <v>41</v>
      </c>
      <c r="H80" s="26" t="s">
        <v>457</v>
      </c>
      <c r="I80" s="118" t="s">
        <v>17</v>
      </c>
      <c r="J80" s="119" t="s">
        <v>204</v>
      </c>
      <c r="K80" s="119" t="s">
        <v>204</v>
      </c>
      <c r="L80" s="120"/>
      <c r="M80" s="45">
        <v>205</v>
      </c>
      <c r="N80" s="121" t="str">
        <f>"115,2817"</f>
        <v>115,2817</v>
      </c>
      <c r="O80" s="26" t="s">
        <v>872</v>
      </c>
    </row>
    <row r="82" ht="12.75">
      <c r="B82" s="21"/>
    </row>
    <row r="83" spans="2:3" ht="18">
      <c r="B83" s="28" t="s">
        <v>59</v>
      </c>
      <c r="C83" s="28"/>
    </row>
    <row r="84" spans="2:3" ht="15.75">
      <c r="B84" s="29" t="s">
        <v>222</v>
      </c>
      <c r="C84" s="29"/>
    </row>
    <row r="85" spans="2:3" ht="13.5">
      <c r="B85" s="31"/>
      <c r="C85" s="32" t="s">
        <v>61</v>
      </c>
    </row>
    <row r="86" spans="1:6" ht="13.5">
      <c r="A86" s="34" t="s">
        <v>563</v>
      </c>
      <c r="B86" s="34" t="s">
        <v>62</v>
      </c>
      <c r="C86" s="34" t="s">
        <v>63</v>
      </c>
      <c r="D86" s="34" t="s">
        <v>64</v>
      </c>
      <c r="E86" s="34" t="s">
        <v>9</v>
      </c>
      <c r="F86" s="34" t="s">
        <v>65</v>
      </c>
    </row>
    <row r="87" spans="1:6" ht="12.75">
      <c r="A87" s="43" t="s">
        <v>560</v>
      </c>
      <c r="B87" s="30" t="s">
        <v>285</v>
      </c>
      <c r="C87" s="36" t="s">
        <v>61</v>
      </c>
      <c r="D87" s="43" t="s">
        <v>70</v>
      </c>
      <c r="E87" s="43" t="s">
        <v>154</v>
      </c>
      <c r="F87" s="43" t="s">
        <v>342</v>
      </c>
    </row>
    <row r="88" spans="1:6" ht="12.75">
      <c r="A88" s="43" t="s">
        <v>561</v>
      </c>
      <c r="B88" s="30" t="s">
        <v>348</v>
      </c>
      <c r="C88" s="36" t="s">
        <v>61</v>
      </c>
      <c r="D88" s="43" t="s">
        <v>871</v>
      </c>
      <c r="E88" s="43" t="s">
        <v>102</v>
      </c>
      <c r="F88" s="43" t="s">
        <v>462</v>
      </c>
    </row>
    <row r="89" spans="1:6" ht="12.75">
      <c r="A89" s="43" t="s">
        <v>562</v>
      </c>
      <c r="B89" s="30" t="s">
        <v>357</v>
      </c>
      <c r="C89" s="36" t="s">
        <v>61</v>
      </c>
      <c r="D89" s="43" t="s">
        <v>70</v>
      </c>
      <c r="E89" s="43" t="s">
        <v>70</v>
      </c>
      <c r="F89" s="43" t="s">
        <v>463</v>
      </c>
    </row>
    <row r="90" spans="2:6" ht="12.75">
      <c r="B90" s="21"/>
      <c r="C90" s="36"/>
      <c r="D90" s="43"/>
      <c r="E90" s="43"/>
      <c r="F90" s="43"/>
    </row>
    <row r="91" spans="2:6" ht="15.75">
      <c r="B91" s="29" t="s">
        <v>60</v>
      </c>
      <c r="C91" s="23"/>
      <c r="D91" s="43"/>
      <c r="E91" s="43"/>
      <c r="F91" s="43"/>
    </row>
    <row r="92" spans="2:6" ht="13.5">
      <c r="B92" s="31"/>
      <c r="C92" s="83" t="s">
        <v>61</v>
      </c>
      <c r="D92" s="43"/>
      <c r="E92" s="43"/>
      <c r="F92" s="43"/>
    </row>
    <row r="93" spans="1:6" ht="13.5">
      <c r="A93" s="34" t="s">
        <v>563</v>
      </c>
      <c r="B93" s="34" t="s">
        <v>62</v>
      </c>
      <c r="C93" s="34" t="s">
        <v>63</v>
      </c>
      <c r="D93" s="34" t="s">
        <v>64</v>
      </c>
      <c r="E93" s="34" t="s">
        <v>9</v>
      </c>
      <c r="F93" s="34" t="s">
        <v>65</v>
      </c>
    </row>
    <row r="94" spans="1:6" ht="12.75">
      <c r="A94" s="43" t="s">
        <v>560</v>
      </c>
      <c r="B94" s="30" t="s">
        <v>433</v>
      </c>
      <c r="C94" s="36" t="s">
        <v>61</v>
      </c>
      <c r="D94" s="43" t="s">
        <v>154</v>
      </c>
      <c r="E94" s="43" t="s">
        <v>178</v>
      </c>
      <c r="F94" s="43" t="s">
        <v>464</v>
      </c>
    </row>
    <row r="95" spans="1:6" ht="12.75">
      <c r="A95" s="43" t="s">
        <v>561</v>
      </c>
      <c r="B95" s="30" t="s">
        <v>454</v>
      </c>
      <c r="C95" s="36" t="s">
        <v>61</v>
      </c>
      <c r="D95" s="43" t="s">
        <v>120</v>
      </c>
      <c r="E95" s="43" t="s">
        <v>17</v>
      </c>
      <c r="F95" s="43" t="s">
        <v>465</v>
      </c>
    </row>
    <row r="96" spans="1:6" ht="12.75">
      <c r="A96" s="43" t="s">
        <v>562</v>
      </c>
      <c r="B96" s="30" t="s">
        <v>385</v>
      </c>
      <c r="C96" s="36" t="s">
        <v>61</v>
      </c>
      <c r="D96" s="43" t="s">
        <v>99</v>
      </c>
      <c r="E96" s="43" t="s">
        <v>300</v>
      </c>
      <c r="F96" s="43" t="s">
        <v>466</v>
      </c>
    </row>
    <row r="97" spans="2:6" ht="13.5">
      <c r="B97" s="31"/>
      <c r="C97" s="83" t="s">
        <v>230</v>
      </c>
      <c r="D97" s="43"/>
      <c r="E97" s="43"/>
      <c r="F97" s="43"/>
    </row>
    <row r="98" spans="1:6" ht="13.5">
      <c r="A98" s="34" t="s">
        <v>563</v>
      </c>
      <c r="B98" s="34" t="s">
        <v>62</v>
      </c>
      <c r="C98" s="34" t="s">
        <v>63</v>
      </c>
      <c r="D98" s="34" t="s">
        <v>64</v>
      </c>
      <c r="E98" s="34" t="s">
        <v>9</v>
      </c>
      <c r="F98" s="34" t="s">
        <v>65</v>
      </c>
    </row>
    <row r="99" spans="1:6" ht="12.75">
      <c r="A99" s="43" t="s">
        <v>560</v>
      </c>
      <c r="B99" s="30" t="s">
        <v>452</v>
      </c>
      <c r="C99" s="36" t="s">
        <v>231</v>
      </c>
      <c r="D99" s="43" t="s">
        <v>154</v>
      </c>
      <c r="E99" s="43" t="s">
        <v>22</v>
      </c>
      <c r="F99" s="43" t="s">
        <v>467</v>
      </c>
    </row>
    <row r="100" spans="1:6" ht="12.75">
      <c r="A100" s="43" t="s">
        <v>561</v>
      </c>
      <c r="B100" s="30" t="s">
        <v>454</v>
      </c>
      <c r="C100" s="36" t="s">
        <v>468</v>
      </c>
      <c r="D100" s="43" t="s">
        <v>120</v>
      </c>
      <c r="E100" s="43" t="s">
        <v>17</v>
      </c>
      <c r="F100" s="43" t="s">
        <v>465</v>
      </c>
    </row>
    <row r="101" spans="1:6" ht="12.75">
      <c r="A101" s="43" t="s">
        <v>562</v>
      </c>
      <c r="B101" s="30" t="s">
        <v>429</v>
      </c>
      <c r="C101" s="36" t="s">
        <v>346</v>
      </c>
      <c r="D101" s="43" t="s">
        <v>76</v>
      </c>
      <c r="E101" s="43" t="s">
        <v>34</v>
      </c>
      <c r="F101" s="43" t="s">
        <v>469</v>
      </c>
    </row>
    <row r="102" ht="12.75">
      <c r="B102" s="21"/>
    </row>
    <row r="103" ht="12.75">
      <c r="B103" s="21"/>
    </row>
    <row r="104" ht="12.75">
      <c r="B104" s="21"/>
    </row>
  </sheetData>
  <sheetProtection/>
  <mergeCells count="27">
    <mergeCell ref="A3:A4"/>
    <mergeCell ref="C46:N46"/>
    <mergeCell ref="C51:N51"/>
    <mergeCell ref="C60:N60"/>
    <mergeCell ref="C68:N68"/>
    <mergeCell ref="C77:N77"/>
    <mergeCell ref="B3:B4"/>
    <mergeCell ref="C18:N18"/>
    <mergeCell ref="C21:N21"/>
    <mergeCell ref="C24:N24"/>
    <mergeCell ref="C27:N27"/>
    <mergeCell ref="C31:N31"/>
    <mergeCell ref="C40:N40"/>
    <mergeCell ref="M3:M4"/>
    <mergeCell ref="N3:N4"/>
    <mergeCell ref="O3:O4"/>
    <mergeCell ref="C5:N5"/>
    <mergeCell ref="C9:N9"/>
    <mergeCell ref="C12:N12"/>
    <mergeCell ref="C1:O2"/>
    <mergeCell ref="C3:C4"/>
    <mergeCell ref="D3:D4"/>
    <mergeCell ref="E3:E4"/>
    <mergeCell ref="F3:F4"/>
    <mergeCell ref="G3:G4"/>
    <mergeCell ref="H3:H4"/>
    <mergeCell ref="I3:L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D1">
      <selection activeCell="O41" sqref="O41"/>
    </sheetView>
  </sheetViews>
  <sheetFormatPr defaultColWidth="8.75390625" defaultRowHeight="12.75"/>
  <cols>
    <col min="1" max="1" width="10.00390625" style="43" customWidth="1"/>
    <col min="2" max="2" width="18.375" style="43" customWidth="1"/>
    <col min="3" max="3" width="27.625" style="21" customWidth="1"/>
    <col min="4" max="4" width="26.875" style="21" bestFit="1" customWidth="1"/>
    <col min="5" max="5" width="10.625" style="21" bestFit="1" customWidth="1"/>
    <col min="6" max="6" width="12.125" style="21" customWidth="1"/>
    <col min="7" max="7" width="18.875" style="21" customWidth="1"/>
    <col min="8" max="8" width="32.875" style="21" customWidth="1"/>
    <col min="9" max="12" width="5.625" style="35" bestFit="1" customWidth="1"/>
    <col min="13" max="13" width="11.25390625" style="47" bestFit="1" customWidth="1"/>
    <col min="14" max="14" width="8.625" style="35" bestFit="1" customWidth="1"/>
    <col min="15" max="15" width="23.375" style="21" customWidth="1"/>
  </cols>
  <sheetData>
    <row r="1" spans="3:15" s="1" customFormat="1" ht="15" customHeight="1">
      <c r="C1" s="204" t="s">
        <v>720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6"/>
    </row>
    <row r="2" spans="3:15" s="1" customFormat="1" ht="83.25" customHeight="1" thickBot="1"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8"/>
    </row>
    <row r="3" spans="1:15" s="2" customFormat="1" ht="12.75" customHeight="1">
      <c r="A3" s="224" t="s">
        <v>563</v>
      </c>
      <c r="B3" s="222" t="s">
        <v>564</v>
      </c>
      <c r="C3" s="209" t="s">
        <v>0</v>
      </c>
      <c r="D3" s="211" t="s">
        <v>5</v>
      </c>
      <c r="E3" s="213" t="s">
        <v>6</v>
      </c>
      <c r="F3" s="215" t="s">
        <v>11</v>
      </c>
      <c r="G3" s="215" t="s">
        <v>3</v>
      </c>
      <c r="H3" s="215" t="s">
        <v>7</v>
      </c>
      <c r="I3" s="215" t="s">
        <v>571</v>
      </c>
      <c r="J3" s="215"/>
      <c r="K3" s="215"/>
      <c r="L3" s="215"/>
      <c r="M3" s="217" t="s">
        <v>9</v>
      </c>
      <c r="N3" s="215" t="s">
        <v>2</v>
      </c>
      <c r="O3" s="219" t="s">
        <v>1</v>
      </c>
    </row>
    <row r="4" spans="1:15" s="2" customFormat="1" ht="21" customHeight="1" thickBot="1">
      <c r="A4" s="225"/>
      <c r="B4" s="223"/>
      <c r="C4" s="210"/>
      <c r="D4" s="212"/>
      <c r="E4" s="214"/>
      <c r="F4" s="212"/>
      <c r="G4" s="212"/>
      <c r="H4" s="212"/>
      <c r="I4" s="5">
        <v>1</v>
      </c>
      <c r="J4" s="5">
        <v>2</v>
      </c>
      <c r="K4" s="5">
        <v>3</v>
      </c>
      <c r="L4" s="5" t="s">
        <v>4</v>
      </c>
      <c r="M4" s="218"/>
      <c r="N4" s="212"/>
      <c r="O4" s="220"/>
    </row>
    <row r="5" spans="1:14" ht="15.75">
      <c r="A5"/>
      <c r="B5"/>
      <c r="C5" s="221" t="s">
        <v>86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</row>
    <row r="6" spans="1:15" ht="12.75">
      <c r="A6" s="40" t="s">
        <v>560</v>
      </c>
      <c r="B6" s="40" t="s">
        <v>582</v>
      </c>
      <c r="C6" s="24" t="s">
        <v>285</v>
      </c>
      <c r="D6" s="24" t="s">
        <v>286</v>
      </c>
      <c r="E6" s="24" t="s">
        <v>106</v>
      </c>
      <c r="F6" s="24" t="str">
        <f>"0,9916"</f>
        <v>0,9916</v>
      </c>
      <c r="G6" s="24" t="s">
        <v>90</v>
      </c>
      <c r="H6" s="86" t="s">
        <v>30</v>
      </c>
      <c r="I6" s="167" t="s">
        <v>76</v>
      </c>
      <c r="J6" s="110" t="s">
        <v>84</v>
      </c>
      <c r="K6" s="169" t="s">
        <v>154</v>
      </c>
      <c r="L6" s="170"/>
      <c r="M6" s="44">
        <v>110</v>
      </c>
      <c r="N6" s="113" t="str">
        <f>"109,0760"</f>
        <v>109,0760</v>
      </c>
      <c r="O6" s="24" t="s">
        <v>689</v>
      </c>
    </row>
    <row r="7" spans="1:15" ht="12.75">
      <c r="A7" s="52" t="s">
        <v>560</v>
      </c>
      <c r="B7" s="52"/>
      <c r="C7" s="25" t="s">
        <v>287</v>
      </c>
      <c r="D7" s="25" t="s">
        <v>288</v>
      </c>
      <c r="E7" s="25" t="s">
        <v>289</v>
      </c>
      <c r="F7" s="25" t="str">
        <f>"1,0234"</f>
        <v>1,0234</v>
      </c>
      <c r="G7" s="25" t="s">
        <v>41</v>
      </c>
      <c r="H7" s="87" t="s">
        <v>126</v>
      </c>
      <c r="I7" s="178" t="s">
        <v>73</v>
      </c>
      <c r="J7" s="115" t="s">
        <v>108</v>
      </c>
      <c r="K7" s="179"/>
      <c r="L7" s="179"/>
      <c r="M7" s="49">
        <v>40</v>
      </c>
      <c r="N7" s="117" t="str">
        <f>"40,9360"</f>
        <v>40,9360</v>
      </c>
      <c r="O7" s="25" t="s">
        <v>872</v>
      </c>
    </row>
    <row r="8" spans="1:15" ht="12.75">
      <c r="A8" s="41" t="s">
        <v>560</v>
      </c>
      <c r="B8" s="41" t="s">
        <v>582</v>
      </c>
      <c r="C8" s="26" t="s">
        <v>807</v>
      </c>
      <c r="D8" s="26" t="s">
        <v>290</v>
      </c>
      <c r="E8" s="26" t="s">
        <v>106</v>
      </c>
      <c r="F8" s="26" t="str">
        <f>"0,9916"</f>
        <v>0,9916</v>
      </c>
      <c r="G8" s="26" t="s">
        <v>90</v>
      </c>
      <c r="H8" s="88" t="s">
        <v>30</v>
      </c>
      <c r="I8" s="172" t="s">
        <v>76</v>
      </c>
      <c r="J8" s="118" t="s">
        <v>84</v>
      </c>
      <c r="K8" s="177" t="s">
        <v>154</v>
      </c>
      <c r="L8" s="175"/>
      <c r="M8" s="45">
        <v>110</v>
      </c>
      <c r="N8" s="121" t="str">
        <f>"109,0760"</f>
        <v>109,0760</v>
      </c>
      <c r="O8" s="26" t="s">
        <v>681</v>
      </c>
    </row>
    <row r="10" spans="1:14" ht="15.75">
      <c r="A10"/>
      <c r="B10"/>
      <c r="C10" s="216" t="s">
        <v>112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</row>
    <row r="11" spans="1:15" ht="12.75">
      <c r="A11" s="42" t="s">
        <v>560</v>
      </c>
      <c r="B11" s="42" t="s">
        <v>568</v>
      </c>
      <c r="C11" s="22" t="s">
        <v>808</v>
      </c>
      <c r="D11" s="22" t="s">
        <v>291</v>
      </c>
      <c r="E11" s="22" t="s">
        <v>292</v>
      </c>
      <c r="F11" s="22" t="str">
        <f>"0,7743"</f>
        <v>0,7743</v>
      </c>
      <c r="G11" s="22" t="s">
        <v>29</v>
      </c>
      <c r="H11" s="22" t="s">
        <v>293</v>
      </c>
      <c r="I11" s="106" t="s">
        <v>140</v>
      </c>
      <c r="J11" s="107" t="s">
        <v>144</v>
      </c>
      <c r="K11" s="106" t="s">
        <v>144</v>
      </c>
      <c r="L11" s="108"/>
      <c r="M11" s="46">
        <v>142.5</v>
      </c>
      <c r="N11" s="109" t="str">
        <f>"110,3377"</f>
        <v>110,3377</v>
      </c>
      <c r="O11" s="22" t="s">
        <v>294</v>
      </c>
    </row>
    <row r="13" spans="1:14" ht="15.75">
      <c r="A13"/>
      <c r="B13"/>
      <c r="C13" s="216" t="s">
        <v>163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</row>
    <row r="14" spans="1:15" ht="12.75">
      <c r="A14" s="42" t="s">
        <v>560</v>
      </c>
      <c r="B14" s="42"/>
      <c r="C14" s="22" t="s">
        <v>809</v>
      </c>
      <c r="D14" s="22" t="s">
        <v>295</v>
      </c>
      <c r="E14" s="22" t="s">
        <v>278</v>
      </c>
      <c r="F14" s="22" t="str">
        <f>"0,6471"</f>
        <v>0,6471</v>
      </c>
      <c r="G14" s="22" t="s">
        <v>41</v>
      </c>
      <c r="H14" s="22" t="s">
        <v>296</v>
      </c>
      <c r="I14" s="106" t="s">
        <v>115</v>
      </c>
      <c r="J14" s="107" t="s">
        <v>297</v>
      </c>
      <c r="K14" s="107" t="s">
        <v>297</v>
      </c>
      <c r="L14" s="108"/>
      <c r="M14" s="46">
        <v>122.5</v>
      </c>
      <c r="N14" s="109" t="str">
        <f>"79,2759"</f>
        <v>79,2759</v>
      </c>
      <c r="O14" s="22" t="s">
        <v>872</v>
      </c>
    </row>
    <row r="16" spans="1:14" ht="15.75">
      <c r="A16"/>
      <c r="B16"/>
      <c r="C16" s="216" t="s">
        <v>194</v>
      </c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40" t="s">
        <v>560</v>
      </c>
      <c r="B17" s="40"/>
      <c r="C17" s="24" t="s">
        <v>810</v>
      </c>
      <c r="D17" s="24" t="s">
        <v>298</v>
      </c>
      <c r="E17" s="24" t="s">
        <v>299</v>
      </c>
      <c r="F17" s="24" t="str">
        <f>"0,6205"</f>
        <v>0,6205</v>
      </c>
      <c r="G17" s="24" t="s">
        <v>41</v>
      </c>
      <c r="H17" s="86" t="s">
        <v>30</v>
      </c>
      <c r="I17" s="167" t="s">
        <v>21</v>
      </c>
      <c r="J17" s="110" t="s">
        <v>300</v>
      </c>
      <c r="K17" s="170"/>
      <c r="L17" s="170"/>
      <c r="M17" s="44">
        <v>162.5</v>
      </c>
      <c r="N17" s="113" t="str">
        <f>"100,8313"</f>
        <v>100,8313</v>
      </c>
      <c r="O17" s="24" t="s">
        <v>301</v>
      </c>
    </row>
    <row r="18" spans="1:15" ht="12.75">
      <c r="A18" s="52" t="s">
        <v>560</v>
      </c>
      <c r="B18" s="52" t="s">
        <v>567</v>
      </c>
      <c r="C18" s="25" t="s">
        <v>302</v>
      </c>
      <c r="D18" s="25" t="s">
        <v>303</v>
      </c>
      <c r="E18" s="25" t="s">
        <v>304</v>
      </c>
      <c r="F18" s="25" t="str">
        <f>"0,6126"</f>
        <v>0,6126</v>
      </c>
      <c r="G18" s="25" t="s">
        <v>305</v>
      </c>
      <c r="H18" s="87" t="s">
        <v>30</v>
      </c>
      <c r="I18" s="178" t="s">
        <v>52</v>
      </c>
      <c r="J18" s="114" t="s">
        <v>175</v>
      </c>
      <c r="K18" s="180" t="s">
        <v>155</v>
      </c>
      <c r="L18" s="179"/>
      <c r="M18" s="49">
        <v>195</v>
      </c>
      <c r="N18" s="117" t="str">
        <f>"119,4570"</f>
        <v>119,4570</v>
      </c>
      <c r="O18" s="25" t="s">
        <v>872</v>
      </c>
    </row>
    <row r="19" spans="1:15" ht="12.75">
      <c r="A19" s="52" t="s">
        <v>561</v>
      </c>
      <c r="B19" s="52" t="s">
        <v>573</v>
      </c>
      <c r="C19" s="25" t="s">
        <v>763</v>
      </c>
      <c r="D19" s="25" t="s">
        <v>249</v>
      </c>
      <c r="E19" s="25" t="s">
        <v>250</v>
      </c>
      <c r="F19" s="25" t="str">
        <f>"0,6165"</f>
        <v>0,6165</v>
      </c>
      <c r="G19" s="25" t="s">
        <v>29</v>
      </c>
      <c r="H19" s="87" t="s">
        <v>251</v>
      </c>
      <c r="I19" s="178" t="s">
        <v>22</v>
      </c>
      <c r="J19" s="114" t="s">
        <v>145</v>
      </c>
      <c r="K19" s="181" t="s">
        <v>136</v>
      </c>
      <c r="L19" s="179"/>
      <c r="M19" s="49">
        <v>160</v>
      </c>
      <c r="N19" s="117" t="str">
        <f>"98,6320"</f>
        <v>98,6320</v>
      </c>
      <c r="O19" s="25" t="s">
        <v>872</v>
      </c>
    </row>
    <row r="20" spans="1:15" ht="12.75">
      <c r="A20" s="52" t="s">
        <v>560</v>
      </c>
      <c r="B20" s="52" t="s">
        <v>568</v>
      </c>
      <c r="C20" s="25" t="s">
        <v>811</v>
      </c>
      <c r="D20" s="25" t="s">
        <v>306</v>
      </c>
      <c r="E20" s="25" t="s">
        <v>307</v>
      </c>
      <c r="F20" s="25" t="str">
        <f>"0,6392"</f>
        <v>0,6392</v>
      </c>
      <c r="G20" s="25" t="s">
        <v>167</v>
      </c>
      <c r="H20" s="87" t="s">
        <v>168</v>
      </c>
      <c r="I20" s="178" t="s">
        <v>119</v>
      </c>
      <c r="J20" s="114" t="s">
        <v>120</v>
      </c>
      <c r="K20" s="180" t="s">
        <v>111</v>
      </c>
      <c r="L20" s="179"/>
      <c r="M20" s="49">
        <v>130</v>
      </c>
      <c r="N20" s="117" t="str">
        <f>"105,3657"</f>
        <v>105,3657</v>
      </c>
      <c r="O20" s="25" t="s">
        <v>580</v>
      </c>
    </row>
    <row r="21" spans="1:15" ht="12.75">
      <c r="A21" s="41" t="s">
        <v>560</v>
      </c>
      <c r="B21" s="41" t="s">
        <v>568</v>
      </c>
      <c r="C21" s="26" t="s">
        <v>812</v>
      </c>
      <c r="D21" s="26" t="s">
        <v>308</v>
      </c>
      <c r="E21" s="26" t="s">
        <v>309</v>
      </c>
      <c r="F21" s="26" t="str">
        <f>"0,6192"</f>
        <v>0,6192</v>
      </c>
      <c r="G21" s="26" t="s">
        <v>131</v>
      </c>
      <c r="H21" s="88" t="s">
        <v>126</v>
      </c>
      <c r="I21" s="172" t="s">
        <v>145</v>
      </c>
      <c r="J21" s="118" t="s">
        <v>310</v>
      </c>
      <c r="K21" s="177" t="s">
        <v>137</v>
      </c>
      <c r="L21" s="174" t="s">
        <v>146</v>
      </c>
      <c r="M21" s="45">
        <v>170</v>
      </c>
      <c r="N21" s="121" t="str">
        <f>"146,6446"</f>
        <v>146,6446</v>
      </c>
      <c r="O21" s="26" t="s">
        <v>311</v>
      </c>
    </row>
    <row r="23" spans="1:14" ht="15.75">
      <c r="A23"/>
      <c r="B23"/>
      <c r="C23" s="216" t="s">
        <v>12</v>
      </c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</row>
    <row r="24" spans="1:15" ht="12.75">
      <c r="A24" s="40" t="s">
        <v>560</v>
      </c>
      <c r="B24" s="40"/>
      <c r="C24" s="24" t="s">
        <v>773</v>
      </c>
      <c r="D24" s="24" t="s">
        <v>312</v>
      </c>
      <c r="E24" s="24" t="s">
        <v>313</v>
      </c>
      <c r="F24" s="24" t="str">
        <f>"0,5865"</f>
        <v>0,5865</v>
      </c>
      <c r="G24" s="24" t="s">
        <v>41</v>
      </c>
      <c r="H24" s="24" t="s">
        <v>153</v>
      </c>
      <c r="I24" s="110" t="s">
        <v>145</v>
      </c>
      <c r="J24" s="110" t="s">
        <v>137</v>
      </c>
      <c r="K24" s="111" t="s">
        <v>53</v>
      </c>
      <c r="L24" s="112"/>
      <c r="M24" s="44">
        <v>170</v>
      </c>
      <c r="N24" s="113" t="str">
        <f>"99,7050"</f>
        <v>99,7050</v>
      </c>
      <c r="O24" s="24" t="s">
        <v>872</v>
      </c>
    </row>
    <row r="25" spans="1:15" ht="12.75">
      <c r="A25" s="52" t="s">
        <v>560</v>
      </c>
      <c r="B25" s="52" t="s">
        <v>567</v>
      </c>
      <c r="C25" s="25" t="s">
        <v>813</v>
      </c>
      <c r="D25" s="25" t="s">
        <v>314</v>
      </c>
      <c r="E25" s="25" t="s">
        <v>315</v>
      </c>
      <c r="F25" s="25" t="str">
        <f>"0,5821"</f>
        <v>0,5821</v>
      </c>
      <c r="G25" s="25" t="s">
        <v>15</v>
      </c>
      <c r="H25" s="25" t="s">
        <v>16</v>
      </c>
      <c r="I25" s="114" t="s">
        <v>236</v>
      </c>
      <c r="J25" s="114" t="s">
        <v>155</v>
      </c>
      <c r="K25" s="114" t="s">
        <v>17</v>
      </c>
      <c r="L25" s="116"/>
      <c r="M25" s="49">
        <v>205</v>
      </c>
      <c r="N25" s="117" t="str">
        <f>"119,3203"</f>
        <v>119,3203</v>
      </c>
      <c r="O25" s="25" t="s">
        <v>26</v>
      </c>
    </row>
    <row r="26" spans="1:15" ht="12.75">
      <c r="A26" s="52" t="s">
        <v>561</v>
      </c>
      <c r="B26" s="52" t="s">
        <v>573</v>
      </c>
      <c r="C26" s="25" t="s">
        <v>256</v>
      </c>
      <c r="D26" s="25" t="s">
        <v>257</v>
      </c>
      <c r="E26" s="25" t="s">
        <v>258</v>
      </c>
      <c r="F26" s="25" t="str">
        <f>"0,5968"</f>
        <v>0,5968</v>
      </c>
      <c r="G26" s="25" t="s">
        <v>90</v>
      </c>
      <c r="H26" s="25" t="s">
        <v>30</v>
      </c>
      <c r="I26" s="114" t="s">
        <v>137</v>
      </c>
      <c r="J26" s="114" t="s">
        <v>53</v>
      </c>
      <c r="K26" s="116"/>
      <c r="L26" s="116"/>
      <c r="M26" s="49">
        <v>180</v>
      </c>
      <c r="N26" s="117" t="str">
        <f>"107,4150"</f>
        <v>107,4150</v>
      </c>
      <c r="O26" s="25" t="s">
        <v>681</v>
      </c>
    </row>
    <row r="27" spans="1:15" ht="12.75">
      <c r="A27" s="41"/>
      <c r="B27" s="41"/>
      <c r="C27" s="26" t="s">
        <v>316</v>
      </c>
      <c r="D27" s="26" t="s">
        <v>317</v>
      </c>
      <c r="E27" s="26" t="s">
        <v>318</v>
      </c>
      <c r="F27" s="26" t="str">
        <f>"0,5818"</f>
        <v>0,5818</v>
      </c>
      <c r="G27" s="26" t="s">
        <v>29</v>
      </c>
      <c r="H27" s="26" t="s">
        <v>30</v>
      </c>
      <c r="I27" s="119" t="s">
        <v>53</v>
      </c>
      <c r="J27" s="119" t="s">
        <v>31</v>
      </c>
      <c r="K27" s="120"/>
      <c r="L27" s="120"/>
      <c r="M27" s="45">
        <v>0</v>
      </c>
      <c r="N27" s="121" t="str">
        <f>"0,0000"</f>
        <v>0,0000</v>
      </c>
      <c r="O27" s="26" t="s">
        <v>872</v>
      </c>
    </row>
    <row r="29" spans="1:14" ht="15.75">
      <c r="A29"/>
      <c r="B29"/>
      <c r="C29" s="216" t="s">
        <v>47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</row>
    <row r="30" spans="1:15" ht="12.75">
      <c r="A30" s="40" t="s">
        <v>560</v>
      </c>
      <c r="B30" s="40"/>
      <c r="C30" s="24" t="s">
        <v>319</v>
      </c>
      <c r="D30" s="24" t="s">
        <v>320</v>
      </c>
      <c r="E30" s="24" t="s">
        <v>321</v>
      </c>
      <c r="F30" s="24" t="str">
        <f>"0,5637"</f>
        <v>0,5637</v>
      </c>
      <c r="G30" s="24" t="s">
        <v>41</v>
      </c>
      <c r="H30" s="24" t="s">
        <v>30</v>
      </c>
      <c r="I30" s="110" t="s">
        <v>169</v>
      </c>
      <c r="J30" s="110" t="s">
        <v>170</v>
      </c>
      <c r="K30" s="110" t="s">
        <v>35</v>
      </c>
      <c r="L30" s="112"/>
      <c r="M30" s="44">
        <v>240</v>
      </c>
      <c r="N30" s="113" t="str">
        <f>"135,2760"</f>
        <v>135,2760</v>
      </c>
      <c r="O30" s="24" t="s">
        <v>872</v>
      </c>
    </row>
    <row r="31" spans="1:15" ht="12.75">
      <c r="A31" s="52" t="s">
        <v>561</v>
      </c>
      <c r="B31" s="52" t="s">
        <v>566</v>
      </c>
      <c r="C31" s="25" t="s">
        <v>814</v>
      </c>
      <c r="D31" s="25" t="s">
        <v>322</v>
      </c>
      <c r="E31" s="25" t="s">
        <v>323</v>
      </c>
      <c r="F31" s="25" t="str">
        <f>"0,5664"</f>
        <v>0,5664</v>
      </c>
      <c r="G31" s="25" t="s">
        <v>29</v>
      </c>
      <c r="H31" s="25" t="s">
        <v>30</v>
      </c>
      <c r="I31" s="114" t="s">
        <v>32</v>
      </c>
      <c r="J31" s="115" t="s">
        <v>204</v>
      </c>
      <c r="K31" s="115" t="s">
        <v>19</v>
      </c>
      <c r="L31" s="116"/>
      <c r="M31" s="49">
        <v>200</v>
      </c>
      <c r="N31" s="117" t="str">
        <f>"113,2750"</f>
        <v>113,2750</v>
      </c>
      <c r="O31" s="25" t="s">
        <v>872</v>
      </c>
    </row>
    <row r="32" spans="1:15" ht="12.75">
      <c r="A32" s="52" t="s">
        <v>562</v>
      </c>
      <c r="B32" s="52"/>
      <c r="C32" s="25" t="s">
        <v>815</v>
      </c>
      <c r="D32" s="25" t="s">
        <v>324</v>
      </c>
      <c r="E32" s="25" t="s">
        <v>325</v>
      </c>
      <c r="F32" s="25" t="str">
        <f>"0,5680"</f>
        <v>0,5680</v>
      </c>
      <c r="G32" s="25" t="s">
        <v>41</v>
      </c>
      <c r="H32" s="25" t="s">
        <v>42</v>
      </c>
      <c r="I32" s="114" t="s">
        <v>52</v>
      </c>
      <c r="J32" s="115" t="s">
        <v>175</v>
      </c>
      <c r="K32" s="115" t="s">
        <v>175</v>
      </c>
      <c r="L32" s="116"/>
      <c r="M32" s="49">
        <v>175</v>
      </c>
      <c r="N32" s="117" t="str">
        <f>"99,3913"</f>
        <v>99,3913</v>
      </c>
      <c r="O32" s="25" t="s">
        <v>46</v>
      </c>
    </row>
    <row r="33" spans="1:15" ht="12.75">
      <c r="A33" s="52" t="s">
        <v>576</v>
      </c>
      <c r="B33" s="52" t="s">
        <v>579</v>
      </c>
      <c r="C33" s="25" t="s">
        <v>816</v>
      </c>
      <c r="D33" s="25" t="s">
        <v>326</v>
      </c>
      <c r="E33" s="25" t="s">
        <v>327</v>
      </c>
      <c r="F33" s="25" t="str">
        <f>"0,5799"</f>
        <v>0,5799</v>
      </c>
      <c r="G33" s="25" t="s">
        <v>131</v>
      </c>
      <c r="H33" s="25" t="s">
        <v>126</v>
      </c>
      <c r="I33" s="114" t="s">
        <v>145</v>
      </c>
      <c r="J33" s="114" t="s">
        <v>137</v>
      </c>
      <c r="K33" s="116"/>
      <c r="L33" s="116"/>
      <c r="M33" s="49">
        <v>170</v>
      </c>
      <c r="N33" s="117" t="str">
        <f>"98,5745"</f>
        <v>98,5745</v>
      </c>
      <c r="O33" s="25" t="s">
        <v>132</v>
      </c>
    </row>
    <row r="34" spans="1:15" ht="12.75">
      <c r="A34" s="41"/>
      <c r="B34" s="41"/>
      <c r="C34" s="26" t="s">
        <v>328</v>
      </c>
      <c r="D34" s="26" t="s">
        <v>329</v>
      </c>
      <c r="E34" s="26" t="s">
        <v>330</v>
      </c>
      <c r="F34" s="26" t="str">
        <f>"0,5655"</f>
        <v>0,5655</v>
      </c>
      <c r="G34" s="26" t="s">
        <v>41</v>
      </c>
      <c r="H34" s="26" t="s">
        <v>187</v>
      </c>
      <c r="I34" s="119" t="s">
        <v>22</v>
      </c>
      <c r="J34" s="119" t="s">
        <v>310</v>
      </c>
      <c r="K34" s="119" t="s">
        <v>310</v>
      </c>
      <c r="L34" s="120"/>
      <c r="M34" s="45">
        <v>0</v>
      </c>
      <c r="N34" s="121" t="str">
        <f>"0,0000"</f>
        <v>0,0000</v>
      </c>
      <c r="O34" s="26" t="s">
        <v>157</v>
      </c>
    </row>
    <row r="36" spans="1:14" ht="15.75">
      <c r="A36"/>
      <c r="B36"/>
      <c r="C36" s="216" t="s">
        <v>281</v>
      </c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5" ht="12.75">
      <c r="A37" s="40" t="s">
        <v>560</v>
      </c>
      <c r="B37" s="40" t="s">
        <v>567</v>
      </c>
      <c r="C37" s="24" t="s">
        <v>331</v>
      </c>
      <c r="D37" s="24" t="s">
        <v>332</v>
      </c>
      <c r="E37" s="24" t="s">
        <v>333</v>
      </c>
      <c r="F37" s="24" t="str">
        <f>"0,5587"</f>
        <v>0,5587</v>
      </c>
      <c r="G37" s="24" t="s">
        <v>15</v>
      </c>
      <c r="H37" s="24" t="s">
        <v>16</v>
      </c>
      <c r="I37" s="110" t="s">
        <v>18</v>
      </c>
      <c r="J37" s="111" t="s">
        <v>244</v>
      </c>
      <c r="K37" s="110" t="s">
        <v>244</v>
      </c>
      <c r="L37" s="112"/>
      <c r="M37" s="44">
        <v>225</v>
      </c>
      <c r="N37" s="113" t="str">
        <f>"125,6963"</f>
        <v>125,6963</v>
      </c>
      <c r="O37" s="24" t="s">
        <v>26</v>
      </c>
    </row>
    <row r="38" spans="1:15" ht="12.75">
      <c r="A38" s="41" t="s">
        <v>561</v>
      </c>
      <c r="B38" s="41"/>
      <c r="C38" s="26" t="s">
        <v>817</v>
      </c>
      <c r="D38" s="26" t="s">
        <v>334</v>
      </c>
      <c r="E38" s="26" t="s">
        <v>335</v>
      </c>
      <c r="F38" s="26" t="str">
        <f>"0,5537"</f>
        <v>0,5537</v>
      </c>
      <c r="G38" s="26" t="s">
        <v>41</v>
      </c>
      <c r="H38" s="26" t="s">
        <v>126</v>
      </c>
      <c r="I38" s="119" t="s">
        <v>175</v>
      </c>
      <c r="J38" s="118" t="s">
        <v>155</v>
      </c>
      <c r="K38" s="119" t="s">
        <v>176</v>
      </c>
      <c r="L38" s="120"/>
      <c r="M38" s="45">
        <v>195</v>
      </c>
      <c r="N38" s="121" t="str">
        <f>"107,9715"</f>
        <v>107,9715</v>
      </c>
      <c r="O38" s="26" t="s">
        <v>336</v>
      </c>
    </row>
    <row r="40" spans="1:14" ht="15.75">
      <c r="A40"/>
      <c r="B40"/>
      <c r="C40" s="216" t="s">
        <v>337</v>
      </c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42"/>
      <c r="B41" s="42"/>
      <c r="C41" s="22" t="s">
        <v>338</v>
      </c>
      <c r="D41" s="22" t="s">
        <v>339</v>
      </c>
      <c r="E41" s="22" t="s">
        <v>340</v>
      </c>
      <c r="F41" s="22" t="str">
        <f>"0,5344"</f>
        <v>0,5344</v>
      </c>
      <c r="G41" s="22" t="s">
        <v>29</v>
      </c>
      <c r="H41" s="22" t="s">
        <v>341</v>
      </c>
      <c r="I41" s="107" t="s">
        <v>170</v>
      </c>
      <c r="J41" s="107" t="s">
        <v>170</v>
      </c>
      <c r="K41" s="107" t="s">
        <v>170</v>
      </c>
      <c r="L41" s="108"/>
      <c r="M41" s="46">
        <v>0</v>
      </c>
      <c r="N41" s="109" t="str">
        <f>"0,0000"</f>
        <v>0,0000</v>
      </c>
      <c r="O41" s="22" t="s">
        <v>872</v>
      </c>
    </row>
    <row r="44" spans="2:3" ht="18">
      <c r="B44" s="28" t="s">
        <v>59</v>
      </c>
      <c r="C44" s="28"/>
    </row>
    <row r="45" spans="2:3" ht="15.75">
      <c r="B45" s="29" t="s">
        <v>60</v>
      </c>
      <c r="C45" s="29"/>
    </row>
    <row r="46" spans="2:3" ht="13.5">
      <c r="B46" s="31"/>
      <c r="C46" s="32" t="s">
        <v>61</v>
      </c>
    </row>
    <row r="47" spans="1:6" ht="13.5">
      <c r="A47" s="34" t="s">
        <v>563</v>
      </c>
      <c r="B47" s="34" t="s">
        <v>62</v>
      </c>
      <c r="C47" s="34" t="s">
        <v>63</v>
      </c>
      <c r="D47" s="34" t="s">
        <v>64</v>
      </c>
      <c r="E47" s="34" t="s">
        <v>9</v>
      </c>
      <c r="F47" s="34" t="s">
        <v>65</v>
      </c>
    </row>
    <row r="48" spans="1:6" ht="12.75">
      <c r="A48" s="43" t="s">
        <v>560</v>
      </c>
      <c r="B48" s="30" t="s">
        <v>319</v>
      </c>
      <c r="C48" s="36" t="s">
        <v>61</v>
      </c>
      <c r="D48" s="43" t="s">
        <v>154</v>
      </c>
      <c r="E48" s="43" t="s">
        <v>35</v>
      </c>
      <c r="F48" s="43" t="s">
        <v>343</v>
      </c>
    </row>
    <row r="49" spans="1:6" ht="12.75">
      <c r="A49" s="43" t="s">
        <v>561</v>
      </c>
      <c r="B49" s="30" t="s">
        <v>331</v>
      </c>
      <c r="C49" s="36" t="s">
        <v>61</v>
      </c>
      <c r="D49" s="43" t="s">
        <v>120</v>
      </c>
      <c r="E49" s="43" t="s">
        <v>244</v>
      </c>
      <c r="F49" s="43" t="s">
        <v>344</v>
      </c>
    </row>
    <row r="50" spans="1:6" ht="12.75">
      <c r="A50" s="43" t="s">
        <v>562</v>
      </c>
      <c r="B50" s="30" t="s">
        <v>302</v>
      </c>
      <c r="C50" s="36" t="s">
        <v>61</v>
      </c>
      <c r="D50" s="43" t="s">
        <v>75</v>
      </c>
      <c r="E50" s="43" t="s">
        <v>155</v>
      </c>
      <c r="F50" s="43" t="s">
        <v>345</v>
      </c>
    </row>
    <row r="51" spans="2:6" ht="12.75">
      <c r="B51" s="21"/>
      <c r="C51" s="36"/>
      <c r="D51" s="36"/>
      <c r="E51" s="36"/>
      <c r="F51" s="36"/>
    </row>
    <row r="52" ht="12.75">
      <c r="B52" s="21"/>
    </row>
  </sheetData>
  <sheetProtection/>
  <mergeCells count="21">
    <mergeCell ref="C40:N40"/>
    <mergeCell ref="B3:B4"/>
    <mergeCell ref="M3:M4"/>
    <mergeCell ref="N3:N4"/>
    <mergeCell ref="H3:H4"/>
    <mergeCell ref="G3:G4"/>
    <mergeCell ref="A3:A4"/>
    <mergeCell ref="C16:N16"/>
    <mergeCell ref="C23:N23"/>
    <mergeCell ref="C29:N29"/>
    <mergeCell ref="C36:N36"/>
    <mergeCell ref="I3:L3"/>
    <mergeCell ref="O3:O4"/>
    <mergeCell ref="C5:N5"/>
    <mergeCell ref="C10:N10"/>
    <mergeCell ref="C13:N13"/>
    <mergeCell ref="C1:O2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"/>
  <sheetViews>
    <sheetView workbookViewId="0" topLeftCell="D1">
      <selection activeCell="O6" sqref="O6"/>
    </sheetView>
  </sheetViews>
  <sheetFormatPr defaultColWidth="8.75390625" defaultRowHeight="12.75"/>
  <cols>
    <col min="1" max="1" width="11.25390625" style="43" bestFit="1" customWidth="1"/>
    <col min="2" max="2" width="16.25390625" style="43" customWidth="1"/>
    <col min="3" max="3" width="26.00390625" style="21" bestFit="1" customWidth="1"/>
    <col min="4" max="4" width="27.625" style="21" customWidth="1"/>
    <col min="5" max="5" width="10.625" style="21" bestFit="1" customWidth="1"/>
    <col min="6" max="6" width="8.375" style="21" bestFit="1" customWidth="1"/>
    <col min="7" max="7" width="22.75390625" style="21" bestFit="1" customWidth="1"/>
    <col min="8" max="8" width="28.625" style="21" bestFit="1" customWidth="1"/>
    <col min="9" max="12" width="6.125" style="105" customWidth="1"/>
    <col min="13" max="13" width="11.25390625" style="105" bestFit="1" customWidth="1"/>
    <col min="14" max="14" width="11.125" style="105" customWidth="1"/>
    <col min="15" max="15" width="17.625" style="21" customWidth="1"/>
  </cols>
  <sheetData>
    <row r="1" spans="3:15" s="1" customFormat="1" ht="15" customHeight="1">
      <c r="C1" s="204" t="s">
        <v>721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6"/>
    </row>
    <row r="2" spans="3:15" s="1" customFormat="1" ht="82.5" customHeight="1" thickBot="1"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8"/>
    </row>
    <row r="3" spans="1:15" s="2" customFormat="1" ht="12.75" customHeight="1">
      <c r="A3" s="224" t="s">
        <v>563</v>
      </c>
      <c r="B3" s="222" t="s">
        <v>564</v>
      </c>
      <c r="C3" s="209" t="s">
        <v>0</v>
      </c>
      <c r="D3" s="211" t="s">
        <v>5</v>
      </c>
      <c r="E3" s="213" t="s">
        <v>6</v>
      </c>
      <c r="F3" s="215" t="s">
        <v>11</v>
      </c>
      <c r="G3" s="215" t="s">
        <v>3</v>
      </c>
      <c r="H3" s="215" t="s">
        <v>7</v>
      </c>
      <c r="I3" s="215" t="s">
        <v>571</v>
      </c>
      <c r="J3" s="215"/>
      <c r="K3" s="215"/>
      <c r="L3" s="215"/>
      <c r="M3" s="215" t="s">
        <v>9</v>
      </c>
      <c r="N3" s="215" t="s">
        <v>2</v>
      </c>
      <c r="O3" s="219" t="s">
        <v>1</v>
      </c>
    </row>
    <row r="4" spans="1:15" s="2" customFormat="1" ht="21" customHeight="1" thickBot="1">
      <c r="A4" s="225"/>
      <c r="B4" s="223"/>
      <c r="C4" s="210"/>
      <c r="D4" s="212"/>
      <c r="E4" s="214"/>
      <c r="F4" s="212"/>
      <c r="G4" s="212"/>
      <c r="H4" s="212"/>
      <c r="I4" s="5">
        <v>1</v>
      </c>
      <c r="J4" s="5">
        <v>2</v>
      </c>
      <c r="K4" s="5">
        <v>3</v>
      </c>
      <c r="L4" s="5" t="s">
        <v>4</v>
      </c>
      <c r="M4" s="212"/>
      <c r="N4" s="212"/>
      <c r="O4" s="220"/>
    </row>
    <row r="5" spans="1:14" ht="15.75">
      <c r="A5"/>
      <c r="B5"/>
      <c r="C5" s="221" t="s">
        <v>86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</row>
    <row r="6" spans="1:15" ht="12.75">
      <c r="A6" s="42" t="s">
        <v>560</v>
      </c>
      <c r="B6" s="42"/>
      <c r="C6" s="22" t="s">
        <v>818</v>
      </c>
      <c r="D6" s="22" t="s">
        <v>473</v>
      </c>
      <c r="E6" s="22" t="s">
        <v>474</v>
      </c>
      <c r="F6" s="22" t="str">
        <f>"0,9903"</f>
        <v>0,9903</v>
      </c>
      <c r="G6" s="22" t="s">
        <v>41</v>
      </c>
      <c r="H6" s="22" t="s">
        <v>475</v>
      </c>
      <c r="I6" s="128" t="s">
        <v>100</v>
      </c>
      <c r="J6" s="128" t="s">
        <v>107</v>
      </c>
      <c r="K6" s="128" t="s">
        <v>75</v>
      </c>
      <c r="L6" s="130"/>
      <c r="M6" s="131" t="s">
        <v>75</v>
      </c>
      <c r="N6" s="131" t="str">
        <f>"89,1270"</f>
        <v>89,1270</v>
      </c>
      <c r="O6" s="22" t="s">
        <v>872</v>
      </c>
    </row>
  </sheetData>
  <sheetProtection/>
  <mergeCells count="14">
    <mergeCell ref="B3:B4"/>
    <mergeCell ref="A3:A4"/>
    <mergeCell ref="C1:O2"/>
    <mergeCell ref="C3:C4"/>
    <mergeCell ref="D3:D4"/>
    <mergeCell ref="E3:E4"/>
    <mergeCell ref="F3:F4"/>
    <mergeCell ref="G3:G4"/>
    <mergeCell ref="H3:H4"/>
    <mergeCell ref="I3:L3"/>
    <mergeCell ref="M3:M4"/>
    <mergeCell ref="N3:N4"/>
    <mergeCell ref="O3:O4"/>
    <mergeCell ref="C5:N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F19" sqref="F19"/>
    </sheetView>
  </sheetViews>
  <sheetFormatPr defaultColWidth="8.75390625" defaultRowHeight="12.75"/>
  <cols>
    <col min="1" max="1" width="11.25390625" style="43" bestFit="1" customWidth="1"/>
    <col min="2" max="2" width="15.75390625" style="43" customWidth="1"/>
    <col min="3" max="3" width="24.875" style="21" customWidth="1"/>
    <col min="4" max="4" width="26.625" style="21" customWidth="1"/>
    <col min="5" max="5" width="10.625" style="21" bestFit="1" customWidth="1"/>
    <col min="6" max="6" width="8.375" style="21" bestFit="1" customWidth="1"/>
    <col min="7" max="7" width="22.75390625" style="21" bestFit="1" customWidth="1"/>
    <col min="8" max="8" width="29.875" style="21" bestFit="1" customWidth="1"/>
    <col min="9" max="11" width="5.625" style="105" bestFit="1" customWidth="1"/>
    <col min="12" max="12" width="4.625" style="105" bestFit="1" customWidth="1"/>
    <col min="13" max="13" width="11.25390625" style="105" bestFit="1" customWidth="1"/>
    <col min="14" max="14" width="8.625" style="105" bestFit="1" customWidth="1"/>
    <col min="15" max="15" width="16.625" style="21" customWidth="1"/>
  </cols>
  <sheetData>
    <row r="1" spans="3:15" s="1" customFormat="1" ht="15" customHeight="1">
      <c r="C1" s="204" t="s">
        <v>878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6"/>
    </row>
    <row r="2" spans="3:15" s="1" customFormat="1" ht="81" customHeight="1" thickBot="1"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8"/>
    </row>
    <row r="3" spans="1:15" s="2" customFormat="1" ht="12.75" customHeight="1">
      <c r="A3" s="224" t="s">
        <v>563</v>
      </c>
      <c r="B3" s="222" t="s">
        <v>564</v>
      </c>
      <c r="C3" s="209" t="s">
        <v>0</v>
      </c>
      <c r="D3" s="211" t="s">
        <v>5</v>
      </c>
      <c r="E3" s="213" t="s">
        <v>6</v>
      </c>
      <c r="F3" s="215" t="s">
        <v>11</v>
      </c>
      <c r="G3" s="215" t="s">
        <v>3</v>
      </c>
      <c r="H3" s="215" t="s">
        <v>7</v>
      </c>
      <c r="I3" s="215" t="s">
        <v>571</v>
      </c>
      <c r="J3" s="215"/>
      <c r="K3" s="215"/>
      <c r="L3" s="215"/>
      <c r="M3" s="215" t="s">
        <v>9</v>
      </c>
      <c r="N3" s="215" t="s">
        <v>2</v>
      </c>
      <c r="O3" s="219" t="s">
        <v>1</v>
      </c>
    </row>
    <row r="4" spans="1:15" s="2" customFormat="1" ht="21" customHeight="1" thickBot="1">
      <c r="A4" s="225"/>
      <c r="B4" s="223"/>
      <c r="C4" s="210"/>
      <c r="D4" s="212"/>
      <c r="E4" s="214"/>
      <c r="F4" s="212"/>
      <c r="G4" s="212"/>
      <c r="H4" s="212"/>
      <c r="I4" s="5">
        <v>1</v>
      </c>
      <c r="J4" s="5">
        <v>2</v>
      </c>
      <c r="K4" s="5">
        <v>3</v>
      </c>
      <c r="L4" s="5" t="s">
        <v>4</v>
      </c>
      <c r="M4" s="212"/>
      <c r="N4" s="212"/>
      <c r="O4" s="220"/>
    </row>
    <row r="5" spans="1:14" ht="15.75">
      <c r="A5"/>
      <c r="B5"/>
      <c r="C5" s="221" t="s">
        <v>281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</row>
    <row r="6" spans="1:15" ht="12.75">
      <c r="A6" s="42" t="s">
        <v>560</v>
      </c>
      <c r="B6" s="42"/>
      <c r="C6" s="22" t="s">
        <v>819</v>
      </c>
      <c r="D6" s="22" t="s">
        <v>470</v>
      </c>
      <c r="E6" s="22" t="s">
        <v>471</v>
      </c>
      <c r="F6" s="22" t="str">
        <f>"0,5533"</f>
        <v>0,5533</v>
      </c>
      <c r="G6" s="22" t="s">
        <v>41</v>
      </c>
      <c r="H6" s="22" t="s">
        <v>42</v>
      </c>
      <c r="I6" s="129" t="s">
        <v>272</v>
      </c>
      <c r="J6" s="129" t="s">
        <v>23</v>
      </c>
      <c r="K6" s="128" t="s">
        <v>23</v>
      </c>
      <c r="L6" s="130"/>
      <c r="M6" s="131" t="s">
        <v>23</v>
      </c>
      <c r="N6" s="131" t="str">
        <f>"141,0915"</f>
        <v>141,0915</v>
      </c>
      <c r="O6" s="22" t="s">
        <v>472</v>
      </c>
    </row>
    <row r="8" ht="15.75">
      <c r="G8" s="27"/>
    </row>
  </sheetData>
  <sheetProtection/>
  <mergeCells count="14">
    <mergeCell ref="A3:A4"/>
    <mergeCell ref="B3:B4"/>
    <mergeCell ref="C1:O2"/>
    <mergeCell ref="C3:C4"/>
    <mergeCell ref="D3:D4"/>
    <mergeCell ref="E3:E4"/>
    <mergeCell ref="F3:F4"/>
    <mergeCell ref="G3:G4"/>
    <mergeCell ref="H3:H4"/>
    <mergeCell ref="I3:L3"/>
    <mergeCell ref="M3:M4"/>
    <mergeCell ref="N3:N4"/>
    <mergeCell ref="O3:O4"/>
    <mergeCell ref="C5:N5"/>
  </mergeCells>
  <printOptions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C1">
      <selection activeCell="H24" sqref="H24"/>
    </sheetView>
  </sheetViews>
  <sheetFormatPr defaultColWidth="8.75390625" defaultRowHeight="12.75"/>
  <cols>
    <col min="1" max="1" width="11.25390625" style="43" bestFit="1" customWidth="1"/>
    <col min="2" max="2" width="14.00390625" style="43" customWidth="1"/>
    <col min="3" max="3" width="26.00390625" style="21" bestFit="1" customWidth="1"/>
    <col min="4" max="4" width="26.875" style="21" bestFit="1" customWidth="1"/>
    <col min="5" max="5" width="10.625" style="21" bestFit="1" customWidth="1"/>
    <col min="6" max="6" width="8.375" style="21" bestFit="1" customWidth="1"/>
    <col min="7" max="7" width="22.75390625" style="21" bestFit="1" customWidth="1"/>
    <col min="8" max="8" width="33.375" style="21" customWidth="1"/>
    <col min="9" max="11" width="5.625" style="105" bestFit="1" customWidth="1"/>
    <col min="12" max="12" width="4.625" style="105" bestFit="1" customWidth="1"/>
    <col min="13" max="13" width="11.25390625" style="127" bestFit="1" customWidth="1"/>
    <col min="14" max="14" width="7.625" style="105" bestFit="1" customWidth="1"/>
    <col min="15" max="15" width="17.625" style="21" bestFit="1" customWidth="1"/>
  </cols>
  <sheetData>
    <row r="1" spans="3:15" s="1" customFormat="1" ht="15" customHeight="1">
      <c r="C1" s="204" t="s">
        <v>879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6"/>
    </row>
    <row r="2" spans="3:15" s="1" customFormat="1" ht="89.25" customHeight="1" thickBot="1"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8"/>
    </row>
    <row r="3" spans="1:15" s="2" customFormat="1" ht="12.75" customHeight="1">
      <c r="A3" s="232" t="s">
        <v>563</v>
      </c>
      <c r="B3" s="213" t="s">
        <v>564</v>
      </c>
      <c r="C3" s="230" t="s">
        <v>0</v>
      </c>
      <c r="D3" s="211" t="s">
        <v>5</v>
      </c>
      <c r="E3" s="213" t="s">
        <v>6</v>
      </c>
      <c r="F3" s="215" t="s">
        <v>11</v>
      </c>
      <c r="G3" s="215" t="s">
        <v>3</v>
      </c>
      <c r="H3" s="215" t="s">
        <v>7</v>
      </c>
      <c r="I3" s="215" t="s">
        <v>571</v>
      </c>
      <c r="J3" s="215"/>
      <c r="K3" s="215"/>
      <c r="L3" s="215"/>
      <c r="M3" s="217" t="s">
        <v>9</v>
      </c>
      <c r="N3" s="215" t="s">
        <v>2</v>
      </c>
      <c r="O3" s="219" t="s">
        <v>1</v>
      </c>
    </row>
    <row r="4" spans="1:15" s="2" customFormat="1" ht="21" customHeight="1" thickBot="1">
      <c r="A4" s="233"/>
      <c r="B4" s="214"/>
      <c r="C4" s="231"/>
      <c r="D4" s="212"/>
      <c r="E4" s="214"/>
      <c r="F4" s="212"/>
      <c r="G4" s="212"/>
      <c r="H4" s="212"/>
      <c r="I4" s="5">
        <v>1</v>
      </c>
      <c r="J4" s="5">
        <v>2</v>
      </c>
      <c r="K4" s="5">
        <v>3</v>
      </c>
      <c r="L4" s="5" t="s">
        <v>4</v>
      </c>
      <c r="M4" s="218"/>
      <c r="N4" s="212"/>
      <c r="O4" s="220"/>
    </row>
    <row r="5" spans="1:14" ht="15.75">
      <c r="A5"/>
      <c r="B5"/>
      <c r="C5" s="221" t="s">
        <v>112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</row>
    <row r="6" spans="1:15" ht="12.75">
      <c r="A6" s="42" t="s">
        <v>560</v>
      </c>
      <c r="B6" s="42"/>
      <c r="C6" s="22" t="s">
        <v>820</v>
      </c>
      <c r="D6" s="22" t="s">
        <v>585</v>
      </c>
      <c r="E6" s="22" t="s">
        <v>586</v>
      </c>
      <c r="F6" s="22" t="str">
        <f>"0,9102"</f>
        <v>0,9102</v>
      </c>
      <c r="G6" s="22" t="s">
        <v>41</v>
      </c>
      <c r="H6" s="22" t="s">
        <v>187</v>
      </c>
      <c r="I6" s="128" t="s">
        <v>74</v>
      </c>
      <c r="J6" s="129" t="s">
        <v>100</v>
      </c>
      <c r="K6" s="129" t="s">
        <v>100</v>
      </c>
      <c r="L6" s="130"/>
      <c r="M6" s="122">
        <v>80</v>
      </c>
      <c r="N6" s="131" t="str">
        <f>"75,9471"</f>
        <v>75,9471</v>
      </c>
      <c r="O6" s="22" t="s">
        <v>189</v>
      </c>
    </row>
    <row r="8" spans="1:14" ht="15.75">
      <c r="A8"/>
      <c r="B8"/>
      <c r="C8" s="216" t="s">
        <v>163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</row>
    <row r="9" spans="1:15" ht="12.75">
      <c r="A9" s="42" t="s">
        <v>560</v>
      </c>
      <c r="B9" s="42" t="s">
        <v>568</v>
      </c>
      <c r="C9" s="22" t="s">
        <v>587</v>
      </c>
      <c r="D9" s="22" t="s">
        <v>588</v>
      </c>
      <c r="E9" s="22" t="s">
        <v>589</v>
      </c>
      <c r="F9" s="22" t="str">
        <f>"0,6564"</f>
        <v>0,6564</v>
      </c>
      <c r="G9" s="22" t="s">
        <v>29</v>
      </c>
      <c r="H9" s="22" t="s">
        <v>126</v>
      </c>
      <c r="I9" s="128" t="s">
        <v>111</v>
      </c>
      <c r="J9" s="128" t="s">
        <v>144</v>
      </c>
      <c r="K9" s="129" t="s">
        <v>34</v>
      </c>
      <c r="L9" s="130"/>
      <c r="M9" s="122">
        <v>142.5</v>
      </c>
      <c r="N9" s="131" t="str">
        <f>"93,5406"</f>
        <v>93,5406</v>
      </c>
      <c r="O9" s="22" t="s">
        <v>872</v>
      </c>
    </row>
    <row r="11" spans="1:14" ht="15.75">
      <c r="A11"/>
      <c r="B11"/>
      <c r="C11" s="216" t="s">
        <v>194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</row>
    <row r="12" spans="1:15" ht="12.75">
      <c r="A12" s="42"/>
      <c r="B12" s="42"/>
      <c r="C12" s="22" t="s">
        <v>590</v>
      </c>
      <c r="D12" s="22" t="s">
        <v>591</v>
      </c>
      <c r="E12" s="22" t="s">
        <v>592</v>
      </c>
      <c r="F12" s="22" t="str">
        <f>"0,6155"</f>
        <v>0,6155</v>
      </c>
      <c r="G12" s="22" t="s">
        <v>41</v>
      </c>
      <c r="H12" s="22" t="s">
        <v>187</v>
      </c>
      <c r="I12" s="129" t="s">
        <v>145</v>
      </c>
      <c r="J12" s="129" t="s">
        <v>145</v>
      </c>
      <c r="K12" s="129" t="s">
        <v>145</v>
      </c>
      <c r="L12" s="130"/>
      <c r="M12" s="122">
        <v>0</v>
      </c>
      <c r="N12" s="131" t="str">
        <f>"0,0000"</f>
        <v>0,0000</v>
      </c>
      <c r="O12" s="22" t="s">
        <v>189</v>
      </c>
    </row>
    <row r="14" spans="1:14" ht="15.75">
      <c r="A14"/>
      <c r="B14"/>
      <c r="C14" s="216" t="s">
        <v>12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</row>
    <row r="15" spans="1:15" ht="12.75">
      <c r="A15" s="42"/>
      <c r="B15" s="42"/>
      <c r="C15" s="22" t="s">
        <v>593</v>
      </c>
      <c r="D15" s="22" t="s">
        <v>594</v>
      </c>
      <c r="E15" s="22" t="s">
        <v>419</v>
      </c>
      <c r="F15" s="22" t="str">
        <f>"0,5870"</f>
        <v>0,5870</v>
      </c>
      <c r="G15" s="22" t="s">
        <v>41</v>
      </c>
      <c r="H15" s="22" t="s">
        <v>187</v>
      </c>
      <c r="I15" s="129" t="s">
        <v>310</v>
      </c>
      <c r="J15" s="129" t="s">
        <v>310</v>
      </c>
      <c r="K15" s="129" t="s">
        <v>310</v>
      </c>
      <c r="L15" s="130"/>
      <c r="M15" s="122">
        <v>0</v>
      </c>
      <c r="N15" s="131" t="str">
        <f>"0,0000"</f>
        <v>0,0000</v>
      </c>
      <c r="O15" s="22" t="s">
        <v>189</v>
      </c>
    </row>
  </sheetData>
  <sheetProtection/>
  <mergeCells count="17">
    <mergeCell ref="A3:A4"/>
    <mergeCell ref="O3:O4"/>
    <mergeCell ref="C5:N5"/>
    <mergeCell ref="C8:N8"/>
    <mergeCell ref="C11:N11"/>
    <mergeCell ref="C14:N14"/>
    <mergeCell ref="B3:B4"/>
    <mergeCell ref="C1:O2"/>
    <mergeCell ref="C3:C4"/>
    <mergeCell ref="D3:D4"/>
    <mergeCell ref="E3:E4"/>
    <mergeCell ref="F3:F4"/>
    <mergeCell ref="G3:G4"/>
    <mergeCell ref="H3:H4"/>
    <mergeCell ref="I3:L3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D1">
      <selection activeCell="O6" sqref="O6"/>
    </sheetView>
  </sheetViews>
  <sheetFormatPr defaultColWidth="11.375" defaultRowHeight="12.75"/>
  <cols>
    <col min="1" max="1" width="11.25390625" style="50" bestFit="1" customWidth="1"/>
    <col min="2" max="2" width="14.00390625" style="50" customWidth="1"/>
    <col min="3" max="3" width="24.00390625" style="3" customWidth="1"/>
    <col min="4" max="4" width="27.00390625" style="1" customWidth="1"/>
    <col min="5" max="5" width="10.625" style="1" bestFit="1" customWidth="1"/>
    <col min="6" max="6" width="8.375" style="1" bestFit="1" customWidth="1"/>
    <col min="7" max="7" width="21.875" style="4" customWidth="1"/>
    <col min="8" max="8" width="32.875" style="4" customWidth="1"/>
    <col min="9" max="11" width="5.625" style="162" bestFit="1" customWidth="1"/>
    <col min="12" max="12" width="4.625" style="162" bestFit="1" customWidth="1"/>
    <col min="13" max="13" width="11.25390625" style="162" bestFit="1" customWidth="1"/>
    <col min="14" max="14" width="8.625" style="162" bestFit="1" customWidth="1"/>
    <col min="15" max="15" width="15.75390625" style="4" bestFit="1" customWidth="1"/>
    <col min="16" max="16384" width="11.375" style="1" customWidth="1"/>
  </cols>
  <sheetData>
    <row r="1" spans="1:15" ht="15" customHeight="1">
      <c r="A1" s="1"/>
      <c r="B1" s="1"/>
      <c r="C1" s="204" t="s">
        <v>722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6"/>
    </row>
    <row r="2" spans="1:15" ht="84" customHeight="1" thickBot="1">
      <c r="A2" s="1"/>
      <c r="B2" s="1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8"/>
    </row>
    <row r="3" spans="1:15" s="2" customFormat="1" ht="12.75" customHeight="1">
      <c r="A3" s="232" t="s">
        <v>563</v>
      </c>
      <c r="B3" s="213" t="s">
        <v>564</v>
      </c>
      <c r="C3" s="230" t="s">
        <v>0</v>
      </c>
      <c r="D3" s="211" t="s">
        <v>5</v>
      </c>
      <c r="E3" s="213" t="s">
        <v>6</v>
      </c>
      <c r="F3" s="215" t="s">
        <v>11</v>
      </c>
      <c r="G3" s="215" t="s">
        <v>3</v>
      </c>
      <c r="H3" s="215" t="s">
        <v>7</v>
      </c>
      <c r="I3" s="215" t="s">
        <v>571</v>
      </c>
      <c r="J3" s="215"/>
      <c r="K3" s="215"/>
      <c r="L3" s="215"/>
      <c r="M3" s="215" t="s">
        <v>9</v>
      </c>
      <c r="N3" s="215" t="s">
        <v>2</v>
      </c>
      <c r="O3" s="219" t="s">
        <v>1</v>
      </c>
    </row>
    <row r="4" spans="1:15" s="2" customFormat="1" ht="21" customHeight="1" thickBot="1">
      <c r="A4" s="233"/>
      <c r="B4" s="214"/>
      <c r="C4" s="231"/>
      <c r="D4" s="212"/>
      <c r="E4" s="214"/>
      <c r="F4" s="212"/>
      <c r="G4" s="212"/>
      <c r="H4" s="212"/>
      <c r="I4" s="5">
        <v>1</v>
      </c>
      <c r="J4" s="5">
        <v>2</v>
      </c>
      <c r="K4" s="5">
        <v>3</v>
      </c>
      <c r="L4" s="5" t="s">
        <v>4</v>
      </c>
      <c r="M4" s="212"/>
      <c r="N4" s="212"/>
      <c r="O4" s="220"/>
    </row>
    <row r="5" spans="1:14" ht="15.75">
      <c r="A5" s="1"/>
      <c r="B5" s="1"/>
      <c r="C5" s="226" t="s">
        <v>194</v>
      </c>
      <c r="D5" s="227"/>
      <c r="E5" s="227"/>
      <c r="F5" s="227"/>
      <c r="G5" s="227"/>
      <c r="H5" s="227"/>
      <c r="I5" s="227"/>
      <c r="J5" s="227"/>
      <c r="K5" s="227"/>
      <c r="L5" s="227"/>
      <c r="M5" s="226"/>
      <c r="N5" s="227"/>
    </row>
    <row r="6" spans="1:15" ht="12.75">
      <c r="A6" s="60" t="s">
        <v>560</v>
      </c>
      <c r="B6" s="60"/>
      <c r="C6" s="56" t="s">
        <v>821</v>
      </c>
      <c r="D6" s="14" t="s">
        <v>595</v>
      </c>
      <c r="E6" s="202" t="s">
        <v>596</v>
      </c>
      <c r="F6" s="202" t="str">
        <f>"0,6141"</f>
        <v>0,6141</v>
      </c>
      <c r="G6" s="14" t="s">
        <v>41</v>
      </c>
      <c r="H6" s="14" t="s">
        <v>187</v>
      </c>
      <c r="I6" s="128" t="s">
        <v>18</v>
      </c>
      <c r="J6" s="128" t="s">
        <v>169</v>
      </c>
      <c r="K6" s="159" t="s">
        <v>244</v>
      </c>
      <c r="L6" s="158"/>
      <c r="M6" s="161" t="s">
        <v>597</v>
      </c>
      <c r="N6" s="161" t="str">
        <f>"150,3808"</f>
        <v>150,3808</v>
      </c>
      <c r="O6" s="14" t="s">
        <v>872</v>
      </c>
    </row>
    <row r="8" spans="1:14" ht="15.75">
      <c r="A8" s="1"/>
      <c r="B8" s="1"/>
      <c r="C8" s="228" t="s">
        <v>47</v>
      </c>
      <c r="D8" s="229"/>
      <c r="E8" s="229"/>
      <c r="F8" s="229"/>
      <c r="G8" s="229"/>
      <c r="H8" s="229"/>
      <c r="I8" s="229"/>
      <c r="J8" s="229"/>
      <c r="K8" s="229"/>
      <c r="L8" s="229"/>
      <c r="M8" s="228"/>
      <c r="N8" s="229"/>
    </row>
    <row r="9" spans="1:15" ht="12.75">
      <c r="A9" s="60" t="s">
        <v>560</v>
      </c>
      <c r="B9" s="60" t="s">
        <v>568</v>
      </c>
      <c r="C9" s="56" t="s">
        <v>816</v>
      </c>
      <c r="D9" s="89" t="s">
        <v>326</v>
      </c>
      <c r="E9" s="202" t="s">
        <v>327</v>
      </c>
      <c r="F9" s="202" t="str">
        <f>"0,5799"</f>
        <v>0,5799</v>
      </c>
      <c r="G9" s="14" t="s">
        <v>131</v>
      </c>
      <c r="H9" s="14" t="s">
        <v>126</v>
      </c>
      <c r="I9" s="128" t="s">
        <v>18</v>
      </c>
      <c r="J9" s="128" t="s">
        <v>244</v>
      </c>
      <c r="K9" s="159" t="s">
        <v>486</v>
      </c>
      <c r="L9" s="158"/>
      <c r="M9" s="161" t="s">
        <v>598</v>
      </c>
      <c r="N9" s="161" t="str">
        <f>"130,4663"</f>
        <v>130,4663</v>
      </c>
      <c r="O9" s="14" t="s">
        <v>132</v>
      </c>
    </row>
  </sheetData>
  <sheetProtection/>
  <mergeCells count="15">
    <mergeCell ref="C8:N8"/>
    <mergeCell ref="B3:B4"/>
    <mergeCell ref="A3:A4"/>
    <mergeCell ref="C1:O2"/>
    <mergeCell ref="C3:C4"/>
    <mergeCell ref="D3:D4"/>
    <mergeCell ref="E3:E4"/>
    <mergeCell ref="F3:F4"/>
    <mergeCell ref="G3:G4"/>
    <mergeCell ref="H3:H4"/>
    <mergeCell ref="I3:L3"/>
    <mergeCell ref="M3:M4"/>
    <mergeCell ref="N3:N4"/>
    <mergeCell ref="O3:O4"/>
    <mergeCell ref="C5:N5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C1">
      <selection activeCell="G30" sqref="G30"/>
    </sheetView>
  </sheetViews>
  <sheetFormatPr defaultColWidth="8.75390625" defaultRowHeight="12.75"/>
  <cols>
    <col min="1" max="1" width="11.25390625" style="43" bestFit="1" customWidth="1"/>
    <col min="2" max="3" width="26.00390625" style="21" bestFit="1" customWidth="1"/>
    <col min="4" max="4" width="10.625" style="21" bestFit="1" customWidth="1"/>
    <col min="5" max="5" width="8.375" style="21" bestFit="1" customWidth="1"/>
    <col min="6" max="6" width="21.75390625" style="21" customWidth="1"/>
    <col min="7" max="7" width="28.125" style="21" bestFit="1" customWidth="1"/>
    <col min="8" max="10" width="5.625" style="105" bestFit="1" customWidth="1"/>
    <col min="11" max="11" width="4.625" style="105" bestFit="1" customWidth="1"/>
    <col min="12" max="12" width="11.25390625" style="105" bestFit="1" customWidth="1"/>
    <col min="13" max="13" width="7.625" style="105" bestFit="1" customWidth="1"/>
    <col min="14" max="14" width="17.375" style="21" bestFit="1" customWidth="1"/>
  </cols>
  <sheetData>
    <row r="1" spans="1:14" s="1" customFormat="1" ht="15" customHeight="1">
      <c r="A1" s="81"/>
      <c r="B1" s="239" t="s">
        <v>723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</row>
    <row r="2" spans="1:14" s="1" customFormat="1" ht="91.5" customHeight="1" thickBot="1">
      <c r="A2" s="82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42"/>
    </row>
    <row r="3" spans="1:14" s="2" customFormat="1" ht="12.75" customHeight="1">
      <c r="A3" s="237" t="s">
        <v>563</v>
      </c>
      <c r="B3" s="215" t="s">
        <v>0</v>
      </c>
      <c r="C3" s="243" t="s">
        <v>5</v>
      </c>
      <c r="D3" s="213" t="s">
        <v>6</v>
      </c>
      <c r="E3" s="215" t="s">
        <v>11</v>
      </c>
      <c r="F3" s="215" t="s">
        <v>3</v>
      </c>
      <c r="G3" s="215" t="s">
        <v>7</v>
      </c>
      <c r="H3" s="215" t="s">
        <v>571</v>
      </c>
      <c r="I3" s="215"/>
      <c r="J3" s="215"/>
      <c r="K3" s="215"/>
      <c r="L3" s="215" t="s">
        <v>9</v>
      </c>
      <c r="M3" s="215" t="s">
        <v>2</v>
      </c>
      <c r="N3" s="219" t="s">
        <v>1</v>
      </c>
    </row>
    <row r="4" spans="1:14" s="2" customFormat="1" ht="21" customHeight="1" thickBot="1">
      <c r="A4" s="238"/>
      <c r="B4" s="212"/>
      <c r="C4" s="231"/>
      <c r="D4" s="214"/>
      <c r="E4" s="212"/>
      <c r="F4" s="212"/>
      <c r="G4" s="212"/>
      <c r="H4" s="5">
        <v>1</v>
      </c>
      <c r="I4" s="5">
        <v>2</v>
      </c>
      <c r="J4" s="5">
        <v>3</v>
      </c>
      <c r="K4" s="5" t="s">
        <v>4</v>
      </c>
      <c r="L4" s="212"/>
      <c r="M4" s="212"/>
      <c r="N4" s="220"/>
    </row>
    <row r="5" spans="1:13" ht="15.75">
      <c r="A5"/>
      <c r="B5" s="234" t="s">
        <v>122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</row>
    <row r="6" spans="1:14" ht="12.75">
      <c r="A6" s="42" t="s">
        <v>560</v>
      </c>
      <c r="B6" s="22" t="s">
        <v>822</v>
      </c>
      <c r="C6" s="22" t="s">
        <v>476</v>
      </c>
      <c r="D6" s="22" t="s">
        <v>477</v>
      </c>
      <c r="E6" s="22" t="str">
        <f>"0,7438"</f>
        <v>0,7438</v>
      </c>
      <c r="F6" s="22" t="s">
        <v>41</v>
      </c>
      <c r="G6" s="22" t="s">
        <v>161</v>
      </c>
      <c r="H6" s="129" t="s">
        <v>101</v>
      </c>
      <c r="I6" s="128" t="s">
        <v>101</v>
      </c>
      <c r="J6" s="129" t="s">
        <v>76</v>
      </c>
      <c r="K6" s="130"/>
      <c r="L6" s="131" t="s">
        <v>101</v>
      </c>
      <c r="M6" s="131" t="str">
        <f>"70,6610"</f>
        <v>70,6610</v>
      </c>
      <c r="N6" s="22" t="s">
        <v>366</v>
      </c>
    </row>
    <row r="8" spans="1:13" ht="15.75">
      <c r="A8"/>
      <c r="B8" s="216" t="s">
        <v>194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</row>
    <row r="9" spans="1:14" ht="12.75">
      <c r="A9" s="42" t="s">
        <v>560</v>
      </c>
      <c r="B9" s="22" t="s">
        <v>823</v>
      </c>
      <c r="C9" s="22" t="s">
        <v>478</v>
      </c>
      <c r="D9" s="22" t="s">
        <v>479</v>
      </c>
      <c r="E9" s="22" t="str">
        <f>"0,6416"</f>
        <v>0,6416</v>
      </c>
      <c r="F9" s="22" t="s">
        <v>41</v>
      </c>
      <c r="G9" s="22" t="s">
        <v>30</v>
      </c>
      <c r="H9" s="128" t="s">
        <v>110</v>
      </c>
      <c r="I9" s="128" t="s">
        <v>119</v>
      </c>
      <c r="J9" s="128" t="s">
        <v>297</v>
      </c>
      <c r="K9" s="130"/>
      <c r="L9" s="131">
        <v>127.5</v>
      </c>
      <c r="M9" s="131" t="str">
        <f>"81,8040"</f>
        <v>81,8040</v>
      </c>
      <c r="N9" s="22" t="s">
        <v>480</v>
      </c>
    </row>
  </sheetData>
  <sheetProtection/>
  <mergeCells count="14">
    <mergeCell ref="B8:M8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</mergeCells>
  <printOptions/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M29" sqref="M29"/>
    </sheetView>
  </sheetViews>
  <sheetFormatPr defaultColWidth="8.75390625" defaultRowHeight="12.75"/>
  <cols>
    <col min="1" max="1" width="11.25390625" style="43" bestFit="1" customWidth="1"/>
    <col min="2" max="2" width="21.375" style="43" customWidth="1"/>
    <col min="3" max="3" width="27.00390625" style="21" customWidth="1"/>
    <col min="4" max="4" width="26.875" style="21" bestFit="1" customWidth="1"/>
    <col min="5" max="5" width="10.625" style="21" bestFit="1" customWidth="1"/>
    <col min="6" max="6" width="10.625" style="21" customWidth="1"/>
    <col min="7" max="7" width="17.125" style="21" customWidth="1"/>
    <col min="8" max="8" width="32.75390625" style="21" customWidth="1"/>
    <col min="9" max="9" width="12.625" style="105" customWidth="1"/>
    <col min="10" max="10" width="13.625" style="105" customWidth="1"/>
    <col min="11" max="11" width="11.25390625" style="127" bestFit="1" customWidth="1"/>
    <col min="12" max="12" width="9.625" style="105" bestFit="1" customWidth="1"/>
    <col min="13" max="13" width="22.875" style="21" customWidth="1"/>
  </cols>
  <sheetData>
    <row r="1" spans="3:13" s="1" customFormat="1" ht="15" customHeight="1">
      <c r="C1" s="204" t="s">
        <v>724</v>
      </c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3:13" s="1" customFormat="1" ht="80.25" customHeight="1" thickBot="1"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8"/>
    </row>
    <row r="3" spans="1:13" s="2" customFormat="1" ht="12.75" customHeight="1">
      <c r="A3" s="224" t="s">
        <v>563</v>
      </c>
      <c r="B3" s="222" t="s">
        <v>564</v>
      </c>
      <c r="C3" s="209" t="s">
        <v>0</v>
      </c>
      <c r="D3" s="211" t="s">
        <v>5</v>
      </c>
      <c r="E3" s="213" t="s">
        <v>6</v>
      </c>
      <c r="F3" s="215" t="s">
        <v>11</v>
      </c>
      <c r="G3" s="215" t="s">
        <v>3</v>
      </c>
      <c r="H3" s="215" t="s">
        <v>7</v>
      </c>
      <c r="I3" s="215" t="s">
        <v>648</v>
      </c>
      <c r="J3" s="215"/>
      <c r="K3" s="217" t="s">
        <v>649</v>
      </c>
      <c r="L3" s="215" t="s">
        <v>2</v>
      </c>
      <c r="M3" s="219" t="s">
        <v>1</v>
      </c>
    </row>
    <row r="4" spans="1:13" s="2" customFormat="1" ht="21" customHeight="1" thickBot="1">
      <c r="A4" s="225"/>
      <c r="B4" s="223"/>
      <c r="C4" s="210"/>
      <c r="D4" s="212"/>
      <c r="E4" s="214"/>
      <c r="F4" s="212"/>
      <c r="G4" s="212"/>
      <c r="H4" s="212"/>
      <c r="I4" s="5" t="s">
        <v>647</v>
      </c>
      <c r="J4" s="5" t="s">
        <v>664</v>
      </c>
      <c r="K4" s="218"/>
      <c r="L4" s="212"/>
      <c r="M4" s="220"/>
    </row>
    <row r="5" spans="1:12" ht="15.75">
      <c r="A5"/>
      <c r="B5"/>
      <c r="C5" s="221" t="s">
        <v>86</v>
      </c>
      <c r="D5" s="221"/>
      <c r="E5" s="221"/>
      <c r="F5" s="221"/>
      <c r="G5" s="221"/>
      <c r="H5" s="221"/>
      <c r="I5" s="221"/>
      <c r="J5" s="221"/>
      <c r="K5" s="221"/>
      <c r="L5" s="221"/>
    </row>
    <row r="6" spans="1:13" ht="12.75">
      <c r="A6" s="40" t="s">
        <v>560</v>
      </c>
      <c r="B6" s="40" t="s">
        <v>582</v>
      </c>
      <c r="C6" s="24" t="s">
        <v>285</v>
      </c>
      <c r="D6" s="24" t="s">
        <v>599</v>
      </c>
      <c r="E6" s="24" t="s">
        <v>106</v>
      </c>
      <c r="F6" s="24" t="str">
        <f>"0,9916"</f>
        <v>0,9916</v>
      </c>
      <c r="G6" s="24" t="s">
        <v>90</v>
      </c>
      <c r="H6" s="24" t="s">
        <v>30</v>
      </c>
      <c r="I6" s="135" t="s">
        <v>70</v>
      </c>
      <c r="J6" s="135" t="s">
        <v>828</v>
      </c>
      <c r="K6" s="123">
        <v>1500</v>
      </c>
      <c r="L6" s="135" t="str">
        <f>"1487,4000"</f>
        <v>1487,4000</v>
      </c>
      <c r="M6" s="24" t="s">
        <v>681</v>
      </c>
    </row>
    <row r="7" spans="1:13" ht="12.75">
      <c r="A7" s="41" t="s">
        <v>560</v>
      </c>
      <c r="B7" s="41" t="s">
        <v>582</v>
      </c>
      <c r="C7" s="26" t="s">
        <v>285</v>
      </c>
      <c r="D7" s="26" t="s">
        <v>290</v>
      </c>
      <c r="E7" s="26" t="s">
        <v>106</v>
      </c>
      <c r="F7" s="26" t="str">
        <f>"0,9916"</f>
        <v>0,9916</v>
      </c>
      <c r="G7" s="26" t="s">
        <v>90</v>
      </c>
      <c r="H7" s="26" t="s">
        <v>30</v>
      </c>
      <c r="I7" s="143" t="s">
        <v>70</v>
      </c>
      <c r="J7" s="143" t="s">
        <v>828</v>
      </c>
      <c r="K7" s="125">
        <v>1500</v>
      </c>
      <c r="L7" s="143" t="str">
        <f>"1487,4000"</f>
        <v>1487,4000</v>
      </c>
      <c r="M7" s="26" t="s">
        <v>681</v>
      </c>
    </row>
    <row r="9" spans="1:12" ht="15.75">
      <c r="A9"/>
      <c r="B9"/>
      <c r="C9" s="216" t="s">
        <v>112</v>
      </c>
      <c r="D9" s="216"/>
      <c r="E9" s="216"/>
      <c r="F9" s="216"/>
      <c r="G9" s="216"/>
      <c r="H9" s="216"/>
      <c r="I9" s="216"/>
      <c r="J9" s="216"/>
      <c r="K9" s="216"/>
      <c r="L9" s="216"/>
    </row>
    <row r="10" spans="1:13" ht="12.75">
      <c r="A10" s="40" t="s">
        <v>560</v>
      </c>
      <c r="B10" s="40"/>
      <c r="C10" s="24" t="s">
        <v>787</v>
      </c>
      <c r="D10" s="24" t="s">
        <v>600</v>
      </c>
      <c r="E10" s="24" t="s">
        <v>382</v>
      </c>
      <c r="F10" s="24" t="str">
        <f>"0,7919"</f>
        <v>0,7919</v>
      </c>
      <c r="G10" s="24" t="s">
        <v>41</v>
      </c>
      <c r="H10" s="24" t="s">
        <v>30</v>
      </c>
      <c r="I10" s="135" t="s">
        <v>121</v>
      </c>
      <c r="J10" s="135" t="s">
        <v>829</v>
      </c>
      <c r="K10" s="123">
        <v>1755</v>
      </c>
      <c r="L10" s="135" t="str">
        <f>"1484,3835"</f>
        <v>1484,3835</v>
      </c>
      <c r="M10" s="24" t="s">
        <v>872</v>
      </c>
    </row>
    <row r="11" spans="1:13" ht="12.75">
      <c r="A11" s="52" t="s">
        <v>561</v>
      </c>
      <c r="B11" s="52" t="s">
        <v>573</v>
      </c>
      <c r="C11" s="25" t="s">
        <v>824</v>
      </c>
      <c r="D11" s="25" t="s">
        <v>601</v>
      </c>
      <c r="E11" s="25" t="s">
        <v>602</v>
      </c>
      <c r="F11" s="25" t="str">
        <f>"0,7886"</f>
        <v>0,7886</v>
      </c>
      <c r="G11" s="25" t="s">
        <v>305</v>
      </c>
      <c r="H11" s="25" t="s">
        <v>30</v>
      </c>
      <c r="I11" s="139" t="s">
        <v>121</v>
      </c>
      <c r="J11" s="139" t="s">
        <v>830</v>
      </c>
      <c r="K11" s="124">
        <v>1170</v>
      </c>
      <c r="L11" s="139" t="str">
        <f>"922,6035"</f>
        <v>922,6035</v>
      </c>
      <c r="M11" s="25" t="s">
        <v>451</v>
      </c>
    </row>
    <row r="12" spans="1:13" ht="12.75">
      <c r="A12" s="41" t="s">
        <v>560</v>
      </c>
      <c r="B12" s="41" t="s">
        <v>568</v>
      </c>
      <c r="C12" s="26" t="s">
        <v>825</v>
      </c>
      <c r="D12" s="26" t="s">
        <v>603</v>
      </c>
      <c r="E12" s="26" t="s">
        <v>604</v>
      </c>
      <c r="F12" s="26" t="str">
        <f>"0,7786"</f>
        <v>0,7786</v>
      </c>
      <c r="G12" s="26" t="s">
        <v>305</v>
      </c>
      <c r="H12" s="26" t="s">
        <v>30</v>
      </c>
      <c r="I12" s="143" t="s">
        <v>121</v>
      </c>
      <c r="J12" s="143" t="s">
        <v>565</v>
      </c>
      <c r="K12" s="125">
        <v>1950</v>
      </c>
      <c r="L12" s="143" t="str">
        <f>"2073,9568"</f>
        <v>2073,9568</v>
      </c>
      <c r="M12" s="26" t="s">
        <v>605</v>
      </c>
    </row>
    <row r="14" spans="1:12" ht="15.75">
      <c r="A14"/>
      <c r="B14"/>
      <c r="C14" s="216" t="s">
        <v>122</v>
      </c>
      <c r="D14" s="216"/>
      <c r="E14" s="216"/>
      <c r="F14" s="216"/>
      <c r="G14" s="216"/>
      <c r="H14" s="216"/>
      <c r="I14" s="216"/>
      <c r="J14" s="216"/>
      <c r="K14" s="216"/>
      <c r="L14" s="216"/>
    </row>
    <row r="15" spans="1:13" ht="12.75">
      <c r="A15" s="40" t="s">
        <v>560</v>
      </c>
      <c r="B15" s="40"/>
      <c r="C15" s="24" t="s">
        <v>622</v>
      </c>
      <c r="D15" s="24" t="s">
        <v>606</v>
      </c>
      <c r="E15" s="24" t="s">
        <v>607</v>
      </c>
      <c r="F15" s="24" t="str">
        <f>"0,6906"</f>
        <v>0,6906</v>
      </c>
      <c r="G15" s="24" t="s">
        <v>41</v>
      </c>
      <c r="H15" s="24" t="s">
        <v>126</v>
      </c>
      <c r="I15" s="135" t="s">
        <v>99</v>
      </c>
      <c r="J15" s="135" t="s">
        <v>831</v>
      </c>
      <c r="K15" s="123">
        <v>2175</v>
      </c>
      <c r="L15" s="135" t="str">
        <f>"1502,0550"</f>
        <v>1502,0550</v>
      </c>
      <c r="M15" s="24" t="s">
        <v>872</v>
      </c>
    </row>
    <row r="16" spans="1:13" ht="12.75">
      <c r="A16" s="41" t="s">
        <v>561</v>
      </c>
      <c r="B16" s="41"/>
      <c r="C16" s="26" t="s">
        <v>826</v>
      </c>
      <c r="D16" s="26" t="s">
        <v>608</v>
      </c>
      <c r="E16" s="26" t="s">
        <v>609</v>
      </c>
      <c r="F16" s="26" t="str">
        <f>"0,7279"</f>
        <v>0,7279</v>
      </c>
      <c r="G16" s="26" t="s">
        <v>41</v>
      </c>
      <c r="H16" s="26" t="s">
        <v>30</v>
      </c>
      <c r="I16" s="143" t="s">
        <v>71</v>
      </c>
      <c r="J16" s="143" t="s">
        <v>567</v>
      </c>
      <c r="K16" s="125">
        <v>1680</v>
      </c>
      <c r="L16" s="143" t="str">
        <f>"1222,8720"</f>
        <v>1222,8720</v>
      </c>
      <c r="M16" s="26" t="s">
        <v>872</v>
      </c>
    </row>
    <row r="18" spans="1:12" ht="15.75">
      <c r="A18"/>
      <c r="B18"/>
      <c r="C18" s="216" t="s">
        <v>163</v>
      </c>
      <c r="D18" s="216"/>
      <c r="E18" s="216"/>
      <c r="F18" s="216"/>
      <c r="G18" s="216"/>
      <c r="H18" s="216"/>
      <c r="I18" s="216"/>
      <c r="J18" s="216"/>
      <c r="K18" s="216"/>
      <c r="L18" s="216"/>
    </row>
    <row r="19" spans="1:13" ht="12.75">
      <c r="A19" s="40" t="s">
        <v>560</v>
      </c>
      <c r="B19" s="40" t="s">
        <v>568</v>
      </c>
      <c r="C19" s="24" t="s">
        <v>827</v>
      </c>
      <c r="D19" s="24" t="s">
        <v>610</v>
      </c>
      <c r="E19" s="24" t="s">
        <v>611</v>
      </c>
      <c r="F19" s="24" t="str">
        <f>"0,6712"</f>
        <v>0,6712</v>
      </c>
      <c r="G19" s="24" t="s">
        <v>15</v>
      </c>
      <c r="H19" s="24" t="s">
        <v>30</v>
      </c>
      <c r="I19" s="135" t="s">
        <v>74</v>
      </c>
      <c r="J19" s="135" t="s">
        <v>578</v>
      </c>
      <c r="K19" s="123">
        <v>1600</v>
      </c>
      <c r="L19" s="135" t="str">
        <f>"1073,9200"</f>
        <v>1073,9200</v>
      </c>
      <c r="M19" s="24" t="s">
        <v>872</v>
      </c>
    </row>
    <row r="20" spans="1:13" ht="12.75">
      <c r="A20" s="41" t="s">
        <v>560</v>
      </c>
      <c r="B20" s="41" t="s">
        <v>568</v>
      </c>
      <c r="C20" s="26" t="s">
        <v>827</v>
      </c>
      <c r="D20" s="26" t="s">
        <v>612</v>
      </c>
      <c r="E20" s="26" t="s">
        <v>611</v>
      </c>
      <c r="F20" s="26" t="str">
        <f>"0,6712"</f>
        <v>0,6712</v>
      </c>
      <c r="G20" s="26" t="s">
        <v>15</v>
      </c>
      <c r="H20" s="26" t="s">
        <v>30</v>
      </c>
      <c r="I20" s="143" t="s">
        <v>74</v>
      </c>
      <c r="J20" s="143" t="s">
        <v>578</v>
      </c>
      <c r="K20" s="125">
        <v>1600</v>
      </c>
      <c r="L20" s="143" t="str">
        <f>"1084,6592"</f>
        <v>1084,6592</v>
      </c>
      <c r="M20" s="26" t="s">
        <v>872</v>
      </c>
    </row>
    <row r="22" spans="1:12" ht="15.75">
      <c r="A22"/>
      <c r="B22"/>
      <c r="C22" s="216" t="s">
        <v>194</v>
      </c>
      <c r="D22" s="216"/>
      <c r="E22" s="216"/>
      <c r="F22" s="216"/>
      <c r="G22" s="216"/>
      <c r="H22" s="216"/>
      <c r="I22" s="216"/>
      <c r="J22" s="216"/>
      <c r="K22" s="216"/>
      <c r="L22" s="216"/>
    </row>
    <row r="23" spans="1:13" ht="12.75">
      <c r="A23" s="40" t="s">
        <v>560</v>
      </c>
      <c r="B23" s="40"/>
      <c r="C23" s="24" t="s">
        <v>617</v>
      </c>
      <c r="D23" s="24" t="s">
        <v>613</v>
      </c>
      <c r="E23" s="24" t="s">
        <v>196</v>
      </c>
      <c r="F23" s="24" t="str">
        <f>"0,6242"</f>
        <v>0,6242</v>
      </c>
      <c r="G23" s="24" t="s">
        <v>41</v>
      </c>
      <c r="H23" s="24" t="s">
        <v>187</v>
      </c>
      <c r="I23" s="135" t="s">
        <v>107</v>
      </c>
      <c r="J23" s="135" t="s">
        <v>832</v>
      </c>
      <c r="K23" s="123">
        <v>3237.5</v>
      </c>
      <c r="L23" s="135" t="str">
        <f>"2021,0094"</f>
        <v>2021,0094</v>
      </c>
      <c r="M23" s="24" t="s">
        <v>872</v>
      </c>
    </row>
    <row r="24" spans="1:13" ht="12.75">
      <c r="A24" s="52" t="s">
        <v>561</v>
      </c>
      <c r="B24" s="52" t="s">
        <v>573</v>
      </c>
      <c r="C24" s="25" t="s">
        <v>793</v>
      </c>
      <c r="D24" s="25" t="s">
        <v>404</v>
      </c>
      <c r="E24" s="25" t="s">
        <v>405</v>
      </c>
      <c r="F24" s="25" t="str">
        <f>"0,6119"</f>
        <v>0,6119</v>
      </c>
      <c r="G24" s="25" t="s">
        <v>15</v>
      </c>
      <c r="H24" s="25" t="s">
        <v>16</v>
      </c>
      <c r="I24" s="139" t="s">
        <v>75</v>
      </c>
      <c r="J24" s="139" t="s">
        <v>829</v>
      </c>
      <c r="K24" s="124">
        <v>2430</v>
      </c>
      <c r="L24" s="139" t="str">
        <f>"1486,7956"</f>
        <v>1486,7956</v>
      </c>
      <c r="M24" s="25" t="s">
        <v>179</v>
      </c>
    </row>
    <row r="25" spans="1:13" ht="12.75">
      <c r="A25" s="41" t="s">
        <v>562</v>
      </c>
      <c r="B25" s="41" t="s">
        <v>583</v>
      </c>
      <c r="C25" s="26" t="s">
        <v>412</v>
      </c>
      <c r="D25" s="26" t="s">
        <v>413</v>
      </c>
      <c r="E25" s="26" t="s">
        <v>414</v>
      </c>
      <c r="F25" s="26" t="str">
        <f>"0,6184"</f>
        <v>0,6184</v>
      </c>
      <c r="G25" s="26" t="s">
        <v>305</v>
      </c>
      <c r="H25" s="26" t="s">
        <v>30</v>
      </c>
      <c r="I25" s="143" t="s">
        <v>75</v>
      </c>
      <c r="J25" s="143" t="s">
        <v>833</v>
      </c>
      <c r="K25" s="125">
        <v>1980</v>
      </c>
      <c r="L25" s="143" t="str">
        <f>"1224,5310"</f>
        <v>1224,5310</v>
      </c>
      <c r="M25" s="26" t="s">
        <v>415</v>
      </c>
    </row>
    <row r="27" spans="1:12" ht="15.75">
      <c r="A27"/>
      <c r="B27"/>
      <c r="C27" s="216" t="s">
        <v>47</v>
      </c>
      <c r="D27" s="216"/>
      <c r="E27" s="216"/>
      <c r="F27" s="216"/>
      <c r="G27" s="216"/>
      <c r="H27" s="216"/>
      <c r="I27" s="216"/>
      <c r="J27" s="216"/>
      <c r="K27" s="216"/>
      <c r="L27" s="216"/>
    </row>
    <row r="28" spans="1:13" ht="12.75">
      <c r="A28" s="40"/>
      <c r="B28" s="40"/>
      <c r="C28" s="24" t="s">
        <v>445</v>
      </c>
      <c r="D28" s="24" t="s">
        <v>614</v>
      </c>
      <c r="E28" s="24" t="s">
        <v>447</v>
      </c>
      <c r="F28" s="24" t="str">
        <f>"0,5652"</f>
        <v>0,5652</v>
      </c>
      <c r="G28" s="24" t="s">
        <v>167</v>
      </c>
      <c r="H28" s="24" t="s">
        <v>448</v>
      </c>
      <c r="I28" s="135" t="s">
        <v>154</v>
      </c>
      <c r="J28" s="135" t="s">
        <v>576</v>
      </c>
      <c r="K28" s="123">
        <v>0</v>
      </c>
      <c r="L28" s="135" t="str">
        <f>"0,0000"</f>
        <v>0,0000</v>
      </c>
      <c r="M28" s="24" t="s">
        <v>873</v>
      </c>
    </row>
    <row r="29" spans="1:13" ht="12.75">
      <c r="A29" s="41" t="s">
        <v>560</v>
      </c>
      <c r="B29" s="41" t="s">
        <v>568</v>
      </c>
      <c r="C29" s="26" t="s">
        <v>452</v>
      </c>
      <c r="D29" s="26" t="s">
        <v>615</v>
      </c>
      <c r="E29" s="26" t="s">
        <v>49</v>
      </c>
      <c r="F29" s="26" t="str">
        <f>"0,5635"</f>
        <v>0,5635</v>
      </c>
      <c r="G29" s="26" t="s">
        <v>305</v>
      </c>
      <c r="H29" s="26" t="s">
        <v>30</v>
      </c>
      <c r="I29" s="143" t="s">
        <v>154</v>
      </c>
      <c r="J29" s="143" t="s">
        <v>834</v>
      </c>
      <c r="K29" s="125">
        <v>1210</v>
      </c>
      <c r="L29" s="143" t="str">
        <f>"968,8875"</f>
        <v>968,8875</v>
      </c>
      <c r="M29" s="26" t="s">
        <v>873</v>
      </c>
    </row>
    <row r="31" spans="1:12" ht="15.75">
      <c r="A31"/>
      <c r="B31"/>
      <c r="C31" s="216" t="s">
        <v>281</v>
      </c>
      <c r="D31" s="216"/>
      <c r="E31" s="216"/>
      <c r="F31" s="216"/>
      <c r="G31" s="216"/>
      <c r="H31" s="216"/>
      <c r="I31" s="216"/>
      <c r="J31" s="216"/>
      <c r="K31" s="216"/>
      <c r="L31" s="216"/>
    </row>
    <row r="32" spans="1:13" ht="12.75">
      <c r="A32" s="42" t="s">
        <v>560</v>
      </c>
      <c r="B32" s="42"/>
      <c r="C32" s="22" t="s">
        <v>454</v>
      </c>
      <c r="D32" s="22" t="s">
        <v>455</v>
      </c>
      <c r="E32" s="22" t="s">
        <v>456</v>
      </c>
      <c r="F32" s="22" t="str">
        <f>"0,5623"</f>
        <v>0,5623</v>
      </c>
      <c r="G32" s="22" t="s">
        <v>41</v>
      </c>
      <c r="H32" s="22" t="s">
        <v>457</v>
      </c>
      <c r="I32" s="131" t="s">
        <v>85</v>
      </c>
      <c r="J32" s="131" t="s">
        <v>835</v>
      </c>
      <c r="K32" s="122">
        <v>2925</v>
      </c>
      <c r="L32" s="131" t="str">
        <f>"1644,8737"</f>
        <v>1644,8737</v>
      </c>
      <c r="M32" s="22" t="s">
        <v>616</v>
      </c>
    </row>
    <row r="34" spans="2:3" ht="18">
      <c r="B34" s="28" t="s">
        <v>59</v>
      </c>
      <c r="C34" s="28"/>
    </row>
    <row r="35" spans="2:3" ht="15.75">
      <c r="B35" s="29" t="s">
        <v>60</v>
      </c>
      <c r="C35" s="29"/>
    </row>
    <row r="36" spans="2:3" ht="13.5">
      <c r="B36" s="31"/>
      <c r="C36" s="32" t="s">
        <v>61</v>
      </c>
    </row>
    <row r="37" spans="1:6" ht="13.5">
      <c r="A37" s="34" t="s">
        <v>563</v>
      </c>
      <c r="B37" s="34" t="s">
        <v>62</v>
      </c>
      <c r="C37" s="34" t="s">
        <v>63</v>
      </c>
      <c r="D37" s="34" t="s">
        <v>64</v>
      </c>
      <c r="E37" s="34" t="s">
        <v>649</v>
      </c>
      <c r="F37" s="34" t="s">
        <v>65</v>
      </c>
    </row>
    <row r="38" spans="1:6" ht="12.75">
      <c r="A38" s="43" t="s">
        <v>560</v>
      </c>
      <c r="B38" s="30" t="s">
        <v>617</v>
      </c>
      <c r="C38" s="36" t="s">
        <v>61</v>
      </c>
      <c r="D38" s="43" t="s">
        <v>75</v>
      </c>
      <c r="E38" s="43" t="s">
        <v>618</v>
      </c>
      <c r="F38" s="43" t="s">
        <v>619</v>
      </c>
    </row>
    <row r="39" spans="1:6" ht="12.75">
      <c r="A39" s="43" t="s">
        <v>561</v>
      </c>
      <c r="B39" s="30" t="s">
        <v>454</v>
      </c>
      <c r="C39" s="36" t="s">
        <v>61</v>
      </c>
      <c r="D39" s="43" t="s">
        <v>120</v>
      </c>
      <c r="E39" s="43" t="s">
        <v>620</v>
      </c>
      <c r="F39" s="43" t="s">
        <v>621</v>
      </c>
    </row>
    <row r="40" spans="1:6" ht="12.75">
      <c r="A40" s="43" t="s">
        <v>562</v>
      </c>
      <c r="B40" s="30" t="s">
        <v>622</v>
      </c>
      <c r="C40" s="36" t="s">
        <v>61</v>
      </c>
      <c r="D40" s="43" t="s">
        <v>99</v>
      </c>
      <c r="E40" s="43" t="s">
        <v>623</v>
      </c>
      <c r="F40" s="43" t="s">
        <v>624</v>
      </c>
    </row>
    <row r="41" spans="2:6" ht="12.75">
      <c r="B41" s="21"/>
      <c r="C41" s="36"/>
      <c r="D41" s="36"/>
      <c r="E41" s="36"/>
      <c r="F41" s="36"/>
    </row>
    <row r="42" spans="2:6" ht="12.75">
      <c r="B42" s="21"/>
      <c r="C42" s="36"/>
      <c r="D42" s="36"/>
      <c r="E42" s="36"/>
      <c r="F42" s="36"/>
    </row>
    <row r="43" ht="12.75">
      <c r="B43" s="21"/>
    </row>
  </sheetData>
  <sheetProtection/>
  <mergeCells count="20">
    <mergeCell ref="C27:L27"/>
    <mergeCell ref="C31:L31"/>
    <mergeCell ref="B3:B4"/>
    <mergeCell ref="A3:A4"/>
    <mergeCell ref="M3:M4"/>
    <mergeCell ref="C5:L5"/>
    <mergeCell ref="C9:L9"/>
    <mergeCell ref="C14:L14"/>
    <mergeCell ref="C18:L18"/>
    <mergeCell ref="C22:L22"/>
    <mergeCell ref="C1:M2"/>
    <mergeCell ref="C3:C4"/>
    <mergeCell ref="D3:D4"/>
    <mergeCell ref="E3:E4"/>
    <mergeCell ref="F3:F4"/>
    <mergeCell ref="G3:G4"/>
    <mergeCell ref="H3:H4"/>
    <mergeCell ref="I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workbookViewId="0" topLeftCell="F1">
      <selection activeCell="E11" sqref="E11:F11"/>
    </sheetView>
  </sheetViews>
  <sheetFormatPr defaultColWidth="11.375" defaultRowHeight="12.75"/>
  <cols>
    <col min="1" max="1" width="11.25390625" style="50" bestFit="1" customWidth="1"/>
    <col min="2" max="2" width="15.00390625" style="50" customWidth="1"/>
    <col min="3" max="3" width="23.375" style="3" customWidth="1"/>
    <col min="4" max="4" width="25.375" style="1" customWidth="1"/>
    <col min="5" max="5" width="10.625" style="1" bestFit="1" customWidth="1"/>
    <col min="6" max="6" width="8.375" style="1" bestFit="1" customWidth="1"/>
    <col min="7" max="7" width="20.75390625" style="4" customWidth="1"/>
    <col min="8" max="8" width="34.00390625" style="4" bestFit="1" customWidth="1"/>
    <col min="9" max="11" width="5.625" style="162" bestFit="1" customWidth="1"/>
    <col min="12" max="12" width="6.625" style="162" customWidth="1"/>
    <col min="13" max="15" width="5.625" style="162" bestFit="1" customWidth="1"/>
    <col min="16" max="16" width="4.625" style="162" bestFit="1" customWidth="1"/>
    <col min="17" max="19" width="5.625" style="162" bestFit="1" customWidth="1"/>
    <col min="20" max="20" width="5.625" style="162" customWidth="1"/>
    <col min="21" max="21" width="11.25390625" style="163" bestFit="1" customWidth="1"/>
    <col min="22" max="22" width="8.625" style="162" bestFit="1" customWidth="1"/>
    <col min="23" max="23" width="20.00390625" style="4" bestFit="1" customWidth="1"/>
    <col min="24" max="16384" width="11.375" style="1" customWidth="1"/>
  </cols>
  <sheetData>
    <row r="1" spans="1:23" ht="15" customHeight="1">
      <c r="A1" s="1"/>
      <c r="B1" s="1"/>
      <c r="C1" s="204" t="s">
        <v>712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6"/>
    </row>
    <row r="2" spans="1:23" ht="80.25" customHeight="1" thickBot="1">
      <c r="A2" s="1"/>
      <c r="B2" s="1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8"/>
    </row>
    <row r="3" spans="1:23" s="2" customFormat="1" ht="12.75" customHeight="1">
      <c r="A3" s="224" t="s">
        <v>563</v>
      </c>
      <c r="B3" s="222" t="s">
        <v>564</v>
      </c>
      <c r="C3" s="209" t="s">
        <v>0</v>
      </c>
      <c r="D3" s="211" t="s">
        <v>5</v>
      </c>
      <c r="E3" s="213" t="s">
        <v>6</v>
      </c>
      <c r="F3" s="215" t="s">
        <v>11</v>
      </c>
      <c r="G3" s="215" t="s">
        <v>3</v>
      </c>
      <c r="H3" s="215" t="s">
        <v>7</v>
      </c>
      <c r="I3" s="215" t="s">
        <v>559</v>
      </c>
      <c r="J3" s="215"/>
      <c r="K3" s="215"/>
      <c r="L3" s="215"/>
      <c r="M3" s="215" t="s">
        <v>571</v>
      </c>
      <c r="N3" s="215"/>
      <c r="O3" s="215"/>
      <c r="P3" s="215"/>
      <c r="Q3" s="215" t="s">
        <v>572</v>
      </c>
      <c r="R3" s="215"/>
      <c r="S3" s="215"/>
      <c r="T3" s="215"/>
      <c r="U3" s="217" t="s">
        <v>737</v>
      </c>
      <c r="V3" s="215" t="s">
        <v>2</v>
      </c>
      <c r="W3" s="219" t="s">
        <v>1</v>
      </c>
    </row>
    <row r="4" spans="1:23" s="2" customFormat="1" ht="21" customHeight="1" thickBot="1">
      <c r="A4" s="225"/>
      <c r="B4" s="223"/>
      <c r="C4" s="210"/>
      <c r="D4" s="212"/>
      <c r="E4" s="214"/>
      <c r="F4" s="212"/>
      <c r="G4" s="212"/>
      <c r="H4" s="212"/>
      <c r="I4" s="5">
        <v>1</v>
      </c>
      <c r="J4" s="5">
        <v>2</v>
      </c>
      <c r="K4" s="5">
        <v>3</v>
      </c>
      <c r="L4" s="5" t="s">
        <v>4</v>
      </c>
      <c r="M4" s="5">
        <v>1</v>
      </c>
      <c r="N4" s="5">
        <v>2</v>
      </c>
      <c r="O4" s="5">
        <v>3</v>
      </c>
      <c r="P4" s="5" t="s">
        <v>4</v>
      </c>
      <c r="Q4" s="5">
        <v>1</v>
      </c>
      <c r="R4" s="5">
        <v>2</v>
      </c>
      <c r="S4" s="5">
        <v>3</v>
      </c>
      <c r="T4" s="5" t="s">
        <v>4</v>
      </c>
      <c r="U4" s="218"/>
      <c r="V4" s="212"/>
      <c r="W4" s="220"/>
    </row>
    <row r="5" spans="1:22" ht="15.75">
      <c r="A5" s="1"/>
      <c r="B5" s="1"/>
      <c r="C5" s="226" t="s">
        <v>12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6"/>
      <c r="V5" s="227"/>
    </row>
    <row r="6" spans="1:23" ht="12.75">
      <c r="A6" s="57" t="s">
        <v>560</v>
      </c>
      <c r="B6" s="57" t="s">
        <v>568</v>
      </c>
      <c r="C6" s="53" t="s">
        <v>755</v>
      </c>
      <c r="D6" s="6" t="s">
        <v>13</v>
      </c>
      <c r="E6" s="199" t="s">
        <v>14</v>
      </c>
      <c r="F6" s="199" t="str">
        <f>"0,5848"</f>
        <v>0,5848</v>
      </c>
      <c r="G6" s="7" t="s">
        <v>15</v>
      </c>
      <c r="H6" s="7" t="s">
        <v>16</v>
      </c>
      <c r="I6" s="132" t="s">
        <v>17</v>
      </c>
      <c r="J6" s="132" t="s">
        <v>18</v>
      </c>
      <c r="K6" s="146" t="s">
        <v>19</v>
      </c>
      <c r="L6" s="147"/>
      <c r="M6" s="132" t="s">
        <v>20</v>
      </c>
      <c r="N6" s="132" t="s">
        <v>21</v>
      </c>
      <c r="O6" s="146" t="s">
        <v>22</v>
      </c>
      <c r="P6" s="147"/>
      <c r="Q6" s="132" t="s">
        <v>23</v>
      </c>
      <c r="R6" s="132" t="s">
        <v>24</v>
      </c>
      <c r="S6" s="147"/>
      <c r="T6" s="147"/>
      <c r="U6" s="148" t="s">
        <v>25</v>
      </c>
      <c r="V6" s="149" t="str">
        <f>"369,8860"</f>
        <v>369,8860</v>
      </c>
      <c r="W6" s="7" t="s">
        <v>26</v>
      </c>
    </row>
    <row r="7" spans="1:23" ht="12.75">
      <c r="A7" s="58" t="s">
        <v>561</v>
      </c>
      <c r="B7" s="58" t="s">
        <v>573</v>
      </c>
      <c r="C7" s="54" t="s">
        <v>756</v>
      </c>
      <c r="D7" s="8" t="s">
        <v>27</v>
      </c>
      <c r="E7" s="200" t="s">
        <v>28</v>
      </c>
      <c r="F7" s="200" t="str">
        <f>"0,5911"</f>
        <v>0,5911</v>
      </c>
      <c r="G7" s="9" t="s">
        <v>29</v>
      </c>
      <c r="H7" s="9" t="s">
        <v>30</v>
      </c>
      <c r="I7" s="136" t="s">
        <v>31</v>
      </c>
      <c r="J7" s="136" t="s">
        <v>32</v>
      </c>
      <c r="K7" s="150" t="s">
        <v>17</v>
      </c>
      <c r="L7" s="151"/>
      <c r="M7" s="136" t="s">
        <v>33</v>
      </c>
      <c r="N7" s="136" t="s">
        <v>34</v>
      </c>
      <c r="O7" s="150" t="s">
        <v>22</v>
      </c>
      <c r="P7" s="151"/>
      <c r="Q7" s="150" t="s">
        <v>35</v>
      </c>
      <c r="R7" s="136" t="s">
        <v>36</v>
      </c>
      <c r="S7" s="150" t="s">
        <v>23</v>
      </c>
      <c r="T7" s="151"/>
      <c r="U7" s="152" t="s">
        <v>37</v>
      </c>
      <c r="V7" s="153" t="str">
        <f>"354,6600"</f>
        <v>354,6600</v>
      </c>
      <c r="W7" s="9" t="s">
        <v>695</v>
      </c>
    </row>
    <row r="8" spans="1:23" ht="12.75">
      <c r="A8" s="59"/>
      <c r="B8" s="59"/>
      <c r="C8" s="55" t="s">
        <v>38</v>
      </c>
      <c r="D8" s="10" t="s">
        <v>39</v>
      </c>
      <c r="E8" s="201" t="s">
        <v>40</v>
      </c>
      <c r="F8" s="201" t="str">
        <f>"0,5816"</f>
        <v>0,5816</v>
      </c>
      <c r="G8" s="11" t="s">
        <v>41</v>
      </c>
      <c r="H8" s="11" t="s">
        <v>42</v>
      </c>
      <c r="I8" s="154" t="s">
        <v>43</v>
      </c>
      <c r="J8" s="154" t="s">
        <v>43</v>
      </c>
      <c r="K8" s="154" t="s">
        <v>43</v>
      </c>
      <c r="L8" s="155"/>
      <c r="M8" s="154"/>
      <c r="N8" s="155"/>
      <c r="O8" s="155"/>
      <c r="P8" s="155"/>
      <c r="Q8" s="154"/>
      <c r="R8" s="155"/>
      <c r="S8" s="155"/>
      <c r="T8" s="155"/>
      <c r="U8" s="156" t="s">
        <v>45</v>
      </c>
      <c r="V8" s="157" t="str">
        <f>"0,0000"</f>
        <v>0,0000</v>
      </c>
      <c r="W8" s="11" t="s">
        <v>46</v>
      </c>
    </row>
    <row r="10" spans="1:22" ht="15.75">
      <c r="A10" s="1"/>
      <c r="B10" s="1"/>
      <c r="C10" s="228" t="s">
        <v>47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8"/>
      <c r="V10" s="229"/>
    </row>
    <row r="11" spans="1:23" ht="12.75">
      <c r="A11" s="60" t="s">
        <v>560</v>
      </c>
      <c r="B11" s="60"/>
      <c r="C11" s="56" t="s">
        <v>757</v>
      </c>
      <c r="D11" s="13" t="s">
        <v>48</v>
      </c>
      <c r="E11" s="202" t="s">
        <v>49</v>
      </c>
      <c r="F11" s="202" t="str">
        <f>"0,5635"</f>
        <v>0,5635</v>
      </c>
      <c r="G11" s="14" t="s">
        <v>41</v>
      </c>
      <c r="H11" s="14" t="s">
        <v>50</v>
      </c>
      <c r="I11" s="128" t="s">
        <v>35</v>
      </c>
      <c r="J11" s="128" t="s">
        <v>51</v>
      </c>
      <c r="K11" s="128" t="s">
        <v>36</v>
      </c>
      <c r="L11" s="158"/>
      <c r="M11" s="128" t="s">
        <v>52</v>
      </c>
      <c r="N11" s="128" t="s">
        <v>53</v>
      </c>
      <c r="O11" s="159" t="s">
        <v>54</v>
      </c>
      <c r="P11" s="158"/>
      <c r="Q11" s="128" t="s">
        <v>24</v>
      </c>
      <c r="R11" s="128" t="s">
        <v>55</v>
      </c>
      <c r="S11" s="128" t="s">
        <v>56</v>
      </c>
      <c r="T11" s="158"/>
      <c r="U11" s="160" t="s">
        <v>57</v>
      </c>
      <c r="V11" s="161" t="str">
        <f>"397,2675"</f>
        <v>397,2675</v>
      </c>
      <c r="W11" s="14" t="s">
        <v>58</v>
      </c>
    </row>
  </sheetData>
  <sheetProtection/>
  <mergeCells count="17">
    <mergeCell ref="A3:A4"/>
    <mergeCell ref="F3:F4"/>
    <mergeCell ref="U3:U4"/>
    <mergeCell ref="V3:V4"/>
    <mergeCell ref="C5:V5"/>
    <mergeCell ref="C10:V10"/>
    <mergeCell ref="B3:B4"/>
    <mergeCell ref="C1:W2"/>
    <mergeCell ref="I3:L3"/>
    <mergeCell ref="M3:P3"/>
    <mergeCell ref="Q3:T3"/>
    <mergeCell ref="C3:C4"/>
    <mergeCell ref="D3:D4"/>
    <mergeCell ref="E3:E4"/>
    <mergeCell ref="W3:W4"/>
    <mergeCell ref="H3:H4"/>
    <mergeCell ref="G3:G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D1">
      <selection activeCell="M23" sqref="M23"/>
    </sheetView>
  </sheetViews>
  <sheetFormatPr defaultColWidth="11.375" defaultRowHeight="12.75"/>
  <cols>
    <col min="1" max="1" width="11.25390625" style="70" bestFit="1" customWidth="1"/>
    <col min="2" max="2" width="19.00390625" style="70" customWidth="1"/>
    <col min="3" max="3" width="26.625" style="3" customWidth="1"/>
    <col min="4" max="4" width="26.875" style="1" bestFit="1" customWidth="1"/>
    <col min="5" max="5" width="10.625" style="1" bestFit="1" customWidth="1"/>
    <col min="6" max="6" width="11.125" style="1" customWidth="1"/>
    <col min="7" max="7" width="22.75390625" style="4" bestFit="1" customWidth="1"/>
    <col min="8" max="8" width="27.625" style="4" customWidth="1"/>
    <col min="9" max="9" width="13.00390625" style="50" customWidth="1"/>
    <col min="10" max="10" width="12.00390625" style="50" customWidth="1"/>
    <col min="11" max="11" width="11.25390625" style="64" bestFit="1" customWidth="1"/>
    <col min="12" max="12" width="9.625" style="50" bestFit="1" customWidth="1"/>
    <col min="13" max="13" width="23.75390625" style="4" customWidth="1"/>
    <col min="14" max="16384" width="11.375" style="1" customWidth="1"/>
  </cols>
  <sheetData>
    <row r="1" spans="1:13" ht="15" customHeight="1">
      <c r="A1" s="67"/>
      <c r="B1" s="67"/>
      <c r="C1" s="204" t="s">
        <v>725</v>
      </c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13" ht="89.25" customHeight="1" thickBot="1">
      <c r="A2" s="67"/>
      <c r="B2" s="6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8"/>
    </row>
    <row r="3" spans="1:13" s="2" customFormat="1" ht="12.75" customHeight="1">
      <c r="A3" s="224" t="s">
        <v>563</v>
      </c>
      <c r="B3" s="222" t="s">
        <v>564</v>
      </c>
      <c r="C3" s="209" t="s">
        <v>0</v>
      </c>
      <c r="D3" s="211" t="s">
        <v>5</v>
      </c>
      <c r="E3" s="213" t="s">
        <v>6</v>
      </c>
      <c r="F3" s="215" t="s">
        <v>11</v>
      </c>
      <c r="G3" s="215" t="s">
        <v>3</v>
      </c>
      <c r="H3" s="215" t="s">
        <v>7</v>
      </c>
      <c r="I3" s="215" t="s">
        <v>648</v>
      </c>
      <c r="J3" s="215"/>
      <c r="K3" s="217" t="s">
        <v>649</v>
      </c>
      <c r="L3" s="215" t="s">
        <v>2</v>
      </c>
      <c r="M3" s="219" t="s">
        <v>1</v>
      </c>
    </row>
    <row r="4" spans="1:13" s="2" customFormat="1" ht="21" customHeight="1" thickBot="1">
      <c r="A4" s="225"/>
      <c r="B4" s="223"/>
      <c r="C4" s="210"/>
      <c r="D4" s="212"/>
      <c r="E4" s="214"/>
      <c r="F4" s="212"/>
      <c r="G4" s="212"/>
      <c r="H4" s="212"/>
      <c r="I4" s="5" t="s">
        <v>647</v>
      </c>
      <c r="J4" s="5" t="s">
        <v>664</v>
      </c>
      <c r="K4" s="218"/>
      <c r="L4" s="212"/>
      <c r="M4" s="220"/>
    </row>
    <row r="5" spans="1:12" ht="15.75">
      <c r="A5" s="67"/>
      <c r="B5" s="67"/>
      <c r="C5" s="226" t="s">
        <v>86</v>
      </c>
      <c r="D5" s="227"/>
      <c r="E5" s="227"/>
      <c r="F5" s="227"/>
      <c r="G5" s="227"/>
      <c r="H5" s="227"/>
      <c r="I5" s="227"/>
      <c r="J5" s="227"/>
      <c r="K5" s="226"/>
      <c r="L5" s="227"/>
    </row>
    <row r="6" spans="1:13" ht="12.75">
      <c r="A6" s="68">
        <v>1</v>
      </c>
      <c r="B6" s="68">
        <v>36</v>
      </c>
      <c r="C6" s="53" t="s">
        <v>285</v>
      </c>
      <c r="D6" s="6" t="s">
        <v>599</v>
      </c>
      <c r="E6" s="199" t="s">
        <v>106</v>
      </c>
      <c r="F6" s="199" t="str">
        <f>"0,9916"</f>
        <v>0,9916</v>
      </c>
      <c r="G6" s="7" t="s">
        <v>90</v>
      </c>
      <c r="H6" s="7" t="s">
        <v>30</v>
      </c>
      <c r="I6" s="57" t="s">
        <v>70</v>
      </c>
      <c r="J6" s="57" t="s">
        <v>828</v>
      </c>
      <c r="K6" s="61" t="s">
        <v>625</v>
      </c>
      <c r="L6" s="57" t="str">
        <f>"1487,4000"</f>
        <v>1487,4000</v>
      </c>
      <c r="M6" s="7" t="s">
        <v>681</v>
      </c>
    </row>
    <row r="7" spans="1:13" ht="12.75">
      <c r="A7" s="69">
        <v>1</v>
      </c>
      <c r="B7" s="69">
        <v>36</v>
      </c>
      <c r="C7" s="11" t="s">
        <v>285</v>
      </c>
      <c r="D7" s="10" t="s">
        <v>290</v>
      </c>
      <c r="E7" s="201" t="s">
        <v>106</v>
      </c>
      <c r="F7" s="201" t="str">
        <f>"0,9916"</f>
        <v>0,9916</v>
      </c>
      <c r="G7" s="11" t="s">
        <v>90</v>
      </c>
      <c r="H7" s="11" t="s">
        <v>30</v>
      </c>
      <c r="I7" s="59" t="s">
        <v>70</v>
      </c>
      <c r="J7" s="59" t="s">
        <v>828</v>
      </c>
      <c r="K7" s="63" t="s">
        <v>625</v>
      </c>
      <c r="L7" s="59" t="str">
        <f>"1487,4000"</f>
        <v>1487,4000</v>
      </c>
      <c r="M7" s="11" t="s">
        <v>681</v>
      </c>
    </row>
    <row r="9" spans="1:12" ht="15.75">
      <c r="A9" s="67"/>
      <c r="B9" s="67"/>
      <c r="C9" s="228" t="s">
        <v>122</v>
      </c>
      <c r="D9" s="229"/>
      <c r="E9" s="229"/>
      <c r="F9" s="229"/>
      <c r="G9" s="229"/>
      <c r="H9" s="229"/>
      <c r="I9" s="229"/>
      <c r="J9" s="229"/>
      <c r="K9" s="228"/>
      <c r="L9" s="229"/>
    </row>
    <row r="10" spans="1:13" ht="12.75">
      <c r="A10" s="71">
        <v>1</v>
      </c>
      <c r="B10" s="71"/>
      <c r="C10" s="56" t="s">
        <v>839</v>
      </c>
      <c r="D10" s="13" t="s">
        <v>626</v>
      </c>
      <c r="E10" s="202" t="s">
        <v>627</v>
      </c>
      <c r="F10" s="202" t="str">
        <f>"0,7304"</f>
        <v>0,7304</v>
      </c>
      <c r="G10" s="14" t="s">
        <v>41</v>
      </c>
      <c r="H10" s="14" t="s">
        <v>30</v>
      </c>
      <c r="I10" s="60" t="s">
        <v>71</v>
      </c>
      <c r="J10" s="60" t="s">
        <v>565</v>
      </c>
      <c r="K10" s="65" t="s">
        <v>628</v>
      </c>
      <c r="L10" s="60" t="str">
        <f>"1533,9449"</f>
        <v>1533,9449</v>
      </c>
      <c r="M10" s="14" t="s">
        <v>872</v>
      </c>
    </row>
    <row r="12" spans="1:12" ht="15.75">
      <c r="A12" s="67"/>
      <c r="B12" s="67"/>
      <c r="C12" s="228" t="s">
        <v>194</v>
      </c>
      <c r="D12" s="229"/>
      <c r="E12" s="229"/>
      <c r="F12" s="229"/>
      <c r="G12" s="229"/>
      <c r="H12" s="229"/>
      <c r="I12" s="229"/>
      <c r="J12" s="229"/>
      <c r="K12" s="228"/>
      <c r="L12" s="229"/>
    </row>
    <row r="13" spans="1:13" ht="12.75">
      <c r="A13" s="68">
        <v>1</v>
      </c>
      <c r="B13" s="68"/>
      <c r="C13" s="53" t="s">
        <v>302</v>
      </c>
      <c r="D13" s="6" t="s">
        <v>303</v>
      </c>
      <c r="E13" s="199" t="s">
        <v>405</v>
      </c>
      <c r="F13" s="199" t="str">
        <f>"0,6119"</f>
        <v>0,6119</v>
      </c>
      <c r="G13" s="7" t="s">
        <v>41</v>
      </c>
      <c r="H13" s="7" t="s">
        <v>30</v>
      </c>
      <c r="I13" s="57" t="s">
        <v>75</v>
      </c>
      <c r="J13" s="57" t="s">
        <v>836</v>
      </c>
      <c r="K13" s="61" t="s">
        <v>629</v>
      </c>
      <c r="L13" s="57" t="str">
        <f>"2422,9261"</f>
        <v>2422,9261</v>
      </c>
      <c r="M13" s="7" t="s">
        <v>872</v>
      </c>
    </row>
    <row r="14" spans="1:13" ht="12.75">
      <c r="A14" s="69">
        <v>2</v>
      </c>
      <c r="B14" s="69"/>
      <c r="C14" s="55" t="s">
        <v>840</v>
      </c>
      <c r="D14" s="10" t="s">
        <v>630</v>
      </c>
      <c r="E14" s="201" t="s">
        <v>631</v>
      </c>
      <c r="F14" s="201" t="str">
        <f>"0,6326"</f>
        <v>0,6326</v>
      </c>
      <c r="G14" s="11" t="s">
        <v>41</v>
      </c>
      <c r="H14" s="11" t="s">
        <v>30</v>
      </c>
      <c r="I14" s="59" t="s">
        <v>100</v>
      </c>
      <c r="J14" s="59" t="s">
        <v>837</v>
      </c>
      <c r="K14" s="63" t="s">
        <v>632</v>
      </c>
      <c r="L14" s="59" t="str">
        <f>"2097,0690"</f>
        <v>2097,0690</v>
      </c>
      <c r="M14" s="11" t="s">
        <v>872</v>
      </c>
    </row>
    <row r="16" spans="1:12" ht="15.75">
      <c r="A16" s="67"/>
      <c r="B16" s="67"/>
      <c r="C16" s="228" t="s">
        <v>12</v>
      </c>
      <c r="D16" s="229"/>
      <c r="E16" s="229"/>
      <c r="F16" s="229"/>
      <c r="G16" s="229"/>
      <c r="H16" s="229"/>
      <c r="I16" s="229"/>
      <c r="J16" s="229"/>
      <c r="K16" s="228"/>
      <c r="L16" s="229"/>
    </row>
    <row r="17" spans="1:13" ht="12.75">
      <c r="A17" s="68">
        <v>1</v>
      </c>
      <c r="B17" s="68">
        <v>30</v>
      </c>
      <c r="C17" s="53" t="s">
        <v>644</v>
      </c>
      <c r="D17" s="6" t="s">
        <v>633</v>
      </c>
      <c r="E17" s="199" t="s">
        <v>634</v>
      </c>
      <c r="F17" s="199" t="str">
        <f>"0,5840"</f>
        <v>0,5840</v>
      </c>
      <c r="G17" s="7" t="s">
        <v>29</v>
      </c>
      <c r="H17" s="7" t="s">
        <v>30</v>
      </c>
      <c r="I17" s="57" t="s">
        <v>76</v>
      </c>
      <c r="J17" s="57" t="s">
        <v>832</v>
      </c>
      <c r="K17" s="61" t="s">
        <v>635</v>
      </c>
      <c r="L17" s="57" t="str">
        <f>"2160,9850"</f>
        <v>2160,9850</v>
      </c>
      <c r="M17" s="7" t="s">
        <v>636</v>
      </c>
    </row>
    <row r="18" spans="1:13" ht="12.75">
      <c r="A18" s="72">
        <v>2</v>
      </c>
      <c r="B18" s="72">
        <v>21</v>
      </c>
      <c r="C18" s="54" t="s">
        <v>256</v>
      </c>
      <c r="D18" s="8" t="s">
        <v>257</v>
      </c>
      <c r="E18" s="200" t="s">
        <v>258</v>
      </c>
      <c r="F18" s="200" t="str">
        <f>"0,5968"</f>
        <v>0,5968</v>
      </c>
      <c r="G18" s="9" t="s">
        <v>90</v>
      </c>
      <c r="H18" s="9" t="s">
        <v>30</v>
      </c>
      <c r="I18" s="58" t="s">
        <v>101</v>
      </c>
      <c r="J18" s="58" t="s">
        <v>565</v>
      </c>
      <c r="K18" s="62" t="s">
        <v>637</v>
      </c>
      <c r="L18" s="58" t="str">
        <f>"1700,7376"</f>
        <v>1700,7376</v>
      </c>
      <c r="M18" s="9" t="s">
        <v>681</v>
      </c>
    </row>
    <row r="19" spans="1:13" ht="12.75">
      <c r="A19" s="69">
        <v>1</v>
      </c>
      <c r="B19" s="69">
        <v>12</v>
      </c>
      <c r="C19" s="55" t="s">
        <v>316</v>
      </c>
      <c r="D19" s="10" t="s">
        <v>638</v>
      </c>
      <c r="E19" s="201" t="s">
        <v>318</v>
      </c>
      <c r="F19" s="201" t="str">
        <f>"0,5818"</f>
        <v>0,5818</v>
      </c>
      <c r="G19" s="11" t="s">
        <v>29</v>
      </c>
      <c r="H19" s="11" t="s">
        <v>30</v>
      </c>
      <c r="I19" s="59" t="s">
        <v>76</v>
      </c>
      <c r="J19" s="59" t="s">
        <v>838</v>
      </c>
      <c r="K19" s="63" t="s">
        <v>639</v>
      </c>
      <c r="L19" s="59" t="str">
        <f>"1679,5402"</f>
        <v>1679,5402</v>
      </c>
      <c r="M19" s="11" t="s">
        <v>873</v>
      </c>
    </row>
    <row r="21" spans="1:12" ht="15.75">
      <c r="A21" s="67"/>
      <c r="B21" s="67"/>
      <c r="C21" s="228" t="s">
        <v>47</v>
      </c>
      <c r="D21" s="229"/>
      <c r="E21" s="229"/>
      <c r="F21" s="229"/>
      <c r="G21" s="229"/>
      <c r="H21" s="229"/>
      <c r="I21" s="229"/>
      <c r="J21" s="229"/>
      <c r="K21" s="228"/>
      <c r="L21" s="229"/>
    </row>
    <row r="22" spans="1:13" ht="12.75">
      <c r="A22" s="68">
        <v>1</v>
      </c>
      <c r="B22" s="68">
        <v>30</v>
      </c>
      <c r="C22" s="53" t="s">
        <v>319</v>
      </c>
      <c r="D22" s="6" t="s">
        <v>320</v>
      </c>
      <c r="E22" s="199" t="s">
        <v>321</v>
      </c>
      <c r="F22" s="199" t="str">
        <f>"0,5637"</f>
        <v>0,5637</v>
      </c>
      <c r="G22" s="7" t="s">
        <v>41</v>
      </c>
      <c r="H22" s="7" t="s">
        <v>30</v>
      </c>
      <c r="I22" s="182" t="s">
        <v>154</v>
      </c>
      <c r="J22" s="57" t="s">
        <v>582</v>
      </c>
      <c r="K22" s="90" t="s">
        <v>629</v>
      </c>
      <c r="L22" s="57" t="str">
        <f>"2232,0540"</f>
        <v>2232,0540</v>
      </c>
      <c r="M22" s="7" t="s">
        <v>872</v>
      </c>
    </row>
    <row r="23" spans="1:13" ht="12.75">
      <c r="A23" s="69">
        <v>2</v>
      </c>
      <c r="B23" s="69">
        <v>21</v>
      </c>
      <c r="C23" s="55" t="s">
        <v>814</v>
      </c>
      <c r="D23" s="10" t="s">
        <v>322</v>
      </c>
      <c r="E23" s="201" t="s">
        <v>323</v>
      </c>
      <c r="F23" s="201" t="str">
        <f>"0,5664"</f>
        <v>0,5664</v>
      </c>
      <c r="G23" s="11" t="s">
        <v>29</v>
      </c>
      <c r="H23" s="11" t="s">
        <v>30</v>
      </c>
      <c r="I23" s="183" t="s">
        <v>103</v>
      </c>
      <c r="J23" s="59" t="s">
        <v>565</v>
      </c>
      <c r="K23" s="91" t="s">
        <v>640</v>
      </c>
      <c r="L23" s="59" t="str">
        <f>"1826,5594"</f>
        <v>1826,5594</v>
      </c>
      <c r="M23" s="11" t="s">
        <v>872</v>
      </c>
    </row>
    <row r="25" spans="2:6" ht="18">
      <c r="B25" s="15" t="s">
        <v>59</v>
      </c>
      <c r="C25" s="16"/>
      <c r="F25" s="4"/>
    </row>
    <row r="26" spans="2:6" ht="15.75">
      <c r="B26" s="17" t="s">
        <v>60</v>
      </c>
      <c r="C26" s="12"/>
      <c r="F26" s="4"/>
    </row>
    <row r="27" spans="2:6" ht="13.5">
      <c r="B27" s="18"/>
      <c r="C27" s="19" t="s">
        <v>61</v>
      </c>
      <c r="F27" s="4"/>
    </row>
    <row r="28" spans="1:6" ht="13.5">
      <c r="A28" s="73" t="s">
        <v>563</v>
      </c>
      <c r="B28" s="20" t="s">
        <v>62</v>
      </c>
      <c r="C28" s="20" t="s">
        <v>63</v>
      </c>
      <c r="D28" s="20" t="s">
        <v>64</v>
      </c>
      <c r="E28" s="20" t="s">
        <v>649</v>
      </c>
      <c r="F28" s="20" t="s">
        <v>65</v>
      </c>
    </row>
    <row r="29" spans="1:6" ht="12.75">
      <c r="A29" s="70">
        <v>1</v>
      </c>
      <c r="B29" s="66" t="s">
        <v>302</v>
      </c>
      <c r="C29" s="1" t="s">
        <v>61</v>
      </c>
      <c r="D29" s="162" t="s">
        <v>75</v>
      </c>
      <c r="E29" s="162" t="s">
        <v>641</v>
      </c>
      <c r="F29" s="162" t="s">
        <v>642</v>
      </c>
    </row>
    <row r="30" spans="1:6" ht="12.75">
      <c r="A30" s="70">
        <v>2</v>
      </c>
      <c r="B30" s="66" t="s">
        <v>319</v>
      </c>
      <c r="C30" s="1" t="s">
        <v>61</v>
      </c>
      <c r="D30" s="162" t="s">
        <v>154</v>
      </c>
      <c r="E30" s="162" t="s">
        <v>641</v>
      </c>
      <c r="F30" s="162" t="s">
        <v>643</v>
      </c>
    </row>
    <row r="31" spans="1:6" ht="12.75">
      <c r="A31" s="70">
        <v>3</v>
      </c>
      <c r="B31" s="66" t="s">
        <v>644</v>
      </c>
      <c r="C31" s="1" t="s">
        <v>61</v>
      </c>
      <c r="D31" s="162" t="s">
        <v>76</v>
      </c>
      <c r="E31" s="162" t="s">
        <v>645</v>
      </c>
      <c r="F31" s="162" t="s">
        <v>646</v>
      </c>
    </row>
    <row r="32" spans="2:6" ht="12.75">
      <c r="B32" s="3"/>
      <c r="C32" s="1"/>
      <c r="F32" s="4"/>
    </row>
    <row r="33" spans="2:6" ht="12.75">
      <c r="B33" s="3"/>
      <c r="C33" s="1"/>
      <c r="F33" s="4"/>
    </row>
    <row r="34" spans="2:6" ht="12.75">
      <c r="B34" s="3"/>
      <c r="C34" s="1"/>
      <c r="F34" s="4"/>
    </row>
  </sheetData>
  <sheetProtection/>
  <mergeCells count="18">
    <mergeCell ref="B3:B4"/>
    <mergeCell ref="A3:A4"/>
    <mergeCell ref="M3:M4"/>
    <mergeCell ref="C5:L5"/>
    <mergeCell ref="C9:L9"/>
    <mergeCell ref="C12:L12"/>
    <mergeCell ref="K3:K4"/>
    <mergeCell ref="L3:L4"/>
    <mergeCell ref="C16:L16"/>
    <mergeCell ref="C21:L21"/>
    <mergeCell ref="C1:M2"/>
    <mergeCell ref="C3:C4"/>
    <mergeCell ref="D3:D4"/>
    <mergeCell ref="E3:E4"/>
    <mergeCell ref="F3:F4"/>
    <mergeCell ref="G3:G4"/>
    <mergeCell ref="H3:H4"/>
    <mergeCell ref="I3:J3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4">
      <selection activeCell="O46" sqref="O46"/>
    </sheetView>
  </sheetViews>
  <sheetFormatPr defaultColWidth="8.75390625" defaultRowHeight="12.75"/>
  <cols>
    <col min="1" max="1" width="8.625" style="43" bestFit="1" customWidth="1"/>
    <col min="2" max="2" width="18.875" style="43" customWidth="1"/>
    <col min="3" max="3" width="21.375" style="21" customWidth="1"/>
    <col min="4" max="4" width="27.00390625" style="21" customWidth="1"/>
    <col min="5" max="5" width="10.625" style="197" bestFit="1" customWidth="1"/>
    <col min="6" max="6" width="12.375" style="197" customWidth="1"/>
    <col min="7" max="7" width="22.75390625" style="21" bestFit="1" customWidth="1"/>
    <col min="8" max="8" width="35.375" style="21" customWidth="1"/>
    <col min="9" max="11" width="5.625" style="35" bestFit="1" customWidth="1"/>
    <col min="12" max="12" width="4.625" style="35" bestFit="1" customWidth="1"/>
    <col min="13" max="13" width="11.25390625" style="47" bestFit="1" customWidth="1"/>
    <col min="14" max="14" width="8.625" style="35" bestFit="1" customWidth="1"/>
    <col min="15" max="15" width="25.625" style="21" customWidth="1"/>
  </cols>
  <sheetData>
    <row r="1" spans="1:15" s="1" customFormat="1" ht="15" customHeight="1">
      <c r="A1" s="50"/>
      <c r="B1" s="50"/>
      <c r="C1" s="204" t="s">
        <v>726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6"/>
    </row>
    <row r="2" spans="1:15" s="1" customFormat="1" ht="94.5" customHeight="1" thickBot="1">
      <c r="A2" s="50"/>
      <c r="B2" s="50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8"/>
    </row>
    <row r="3" spans="1:15" s="2" customFormat="1" ht="12.75" customHeight="1">
      <c r="A3" s="224" t="s">
        <v>563</v>
      </c>
      <c r="B3" s="222" t="s">
        <v>564</v>
      </c>
      <c r="C3" s="209" t="s">
        <v>0</v>
      </c>
      <c r="D3" s="211" t="s">
        <v>5</v>
      </c>
      <c r="E3" s="213" t="s">
        <v>6</v>
      </c>
      <c r="F3" s="215" t="s">
        <v>11</v>
      </c>
      <c r="G3" s="215" t="s">
        <v>3</v>
      </c>
      <c r="H3" s="215" t="s">
        <v>7</v>
      </c>
      <c r="I3" s="215" t="s">
        <v>572</v>
      </c>
      <c r="J3" s="215"/>
      <c r="K3" s="215"/>
      <c r="L3" s="215"/>
      <c r="M3" s="217" t="s">
        <v>9</v>
      </c>
      <c r="N3" s="215" t="s">
        <v>2</v>
      </c>
      <c r="O3" s="219" t="s">
        <v>1</v>
      </c>
    </row>
    <row r="4" spans="1:15" s="2" customFormat="1" ht="21" customHeight="1" thickBot="1">
      <c r="A4" s="225"/>
      <c r="B4" s="223"/>
      <c r="C4" s="210"/>
      <c r="D4" s="212"/>
      <c r="E4" s="214"/>
      <c r="F4" s="212"/>
      <c r="G4" s="212"/>
      <c r="H4" s="212"/>
      <c r="I4" s="5">
        <v>1</v>
      </c>
      <c r="J4" s="5">
        <v>2</v>
      </c>
      <c r="K4" s="5">
        <v>3</v>
      </c>
      <c r="L4" s="5" t="s">
        <v>4</v>
      </c>
      <c r="M4" s="218"/>
      <c r="N4" s="212"/>
      <c r="O4" s="220"/>
    </row>
    <row r="5" spans="1:14" ht="15.75">
      <c r="A5" s="51"/>
      <c r="B5" s="51"/>
      <c r="C5" s="221" t="s">
        <v>78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</row>
    <row r="6" spans="1:15" ht="12.75">
      <c r="A6" s="42" t="s">
        <v>560</v>
      </c>
      <c r="B6" s="42" t="s">
        <v>568</v>
      </c>
      <c r="C6" s="22" t="s">
        <v>841</v>
      </c>
      <c r="D6" s="22" t="s">
        <v>506</v>
      </c>
      <c r="E6" s="198" t="s">
        <v>507</v>
      </c>
      <c r="F6" s="198" t="str">
        <f>"1,0575"</f>
        <v>1,0575</v>
      </c>
      <c r="G6" s="22" t="s">
        <v>29</v>
      </c>
      <c r="H6" s="22" t="s">
        <v>508</v>
      </c>
      <c r="I6" s="106" t="s">
        <v>75</v>
      </c>
      <c r="J6" s="106" t="s">
        <v>83</v>
      </c>
      <c r="K6" s="106" t="s">
        <v>84</v>
      </c>
      <c r="L6" s="108"/>
      <c r="M6" s="46">
        <v>105</v>
      </c>
      <c r="N6" s="109" t="str">
        <f>"111,0375"</f>
        <v>111,0375</v>
      </c>
      <c r="O6" s="22" t="s">
        <v>570</v>
      </c>
    </row>
    <row r="8" spans="1:14" ht="15.75">
      <c r="A8" s="51"/>
      <c r="B8" s="51"/>
      <c r="C8" s="216" t="s">
        <v>86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</row>
    <row r="9" spans="1:15" ht="12.75">
      <c r="A9" s="42" t="s">
        <v>560</v>
      </c>
      <c r="B9" s="42" t="s">
        <v>568</v>
      </c>
      <c r="C9" s="22" t="s">
        <v>842</v>
      </c>
      <c r="D9" s="22" t="s">
        <v>509</v>
      </c>
      <c r="E9" s="198" t="s">
        <v>510</v>
      </c>
      <c r="F9" s="198" t="str">
        <f>"1,0107"</f>
        <v>1,0107</v>
      </c>
      <c r="G9" s="22" t="s">
        <v>29</v>
      </c>
      <c r="H9" s="22" t="s">
        <v>30</v>
      </c>
      <c r="I9" s="106" t="s">
        <v>110</v>
      </c>
      <c r="J9" s="106" t="s">
        <v>120</v>
      </c>
      <c r="K9" s="107" t="s">
        <v>403</v>
      </c>
      <c r="L9" s="108"/>
      <c r="M9" s="46">
        <v>125</v>
      </c>
      <c r="N9" s="109" t="str">
        <f>"126,3375"</f>
        <v>126,3375</v>
      </c>
      <c r="O9" s="22" t="s">
        <v>511</v>
      </c>
    </row>
    <row r="11" spans="1:14" ht="15.75">
      <c r="A11" s="51"/>
      <c r="B11" s="51"/>
      <c r="C11" s="216" t="s">
        <v>112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</row>
    <row r="12" spans="1:15" ht="12.75">
      <c r="A12" s="42" t="s">
        <v>560</v>
      </c>
      <c r="B12" s="42" t="s">
        <v>568</v>
      </c>
      <c r="C12" s="22" t="s">
        <v>512</v>
      </c>
      <c r="D12" s="22" t="s">
        <v>513</v>
      </c>
      <c r="E12" s="198" t="s">
        <v>514</v>
      </c>
      <c r="F12" s="198" t="str">
        <f>"0,9244"</f>
        <v>0,9244</v>
      </c>
      <c r="G12" s="22" t="s">
        <v>15</v>
      </c>
      <c r="H12" s="22" t="s">
        <v>16</v>
      </c>
      <c r="I12" s="106" t="s">
        <v>297</v>
      </c>
      <c r="J12" s="106" t="s">
        <v>140</v>
      </c>
      <c r="K12" s="107" t="s">
        <v>33</v>
      </c>
      <c r="L12" s="108"/>
      <c r="M12" s="46">
        <v>135</v>
      </c>
      <c r="N12" s="109" t="str">
        <f>"124,7940"</f>
        <v>124,7940</v>
      </c>
      <c r="O12" s="22" t="s">
        <v>26</v>
      </c>
    </row>
    <row r="14" spans="1:14" ht="15.75">
      <c r="A14" s="51"/>
      <c r="B14" s="51"/>
      <c r="C14" s="216" t="s">
        <v>122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</row>
    <row r="15" spans="1:15" ht="12.75">
      <c r="A15" s="42" t="s">
        <v>560</v>
      </c>
      <c r="B15" s="42" t="s">
        <v>568</v>
      </c>
      <c r="C15" s="22" t="s">
        <v>123</v>
      </c>
      <c r="D15" s="22" t="s">
        <v>124</v>
      </c>
      <c r="E15" s="198" t="s">
        <v>125</v>
      </c>
      <c r="F15" s="198" t="str">
        <f>"0,8461"</f>
        <v>0,8461</v>
      </c>
      <c r="G15" s="22" t="s">
        <v>90</v>
      </c>
      <c r="H15" s="22" t="s">
        <v>126</v>
      </c>
      <c r="I15" s="106" t="s">
        <v>100</v>
      </c>
      <c r="J15" s="107" t="s">
        <v>135</v>
      </c>
      <c r="K15" s="107" t="s">
        <v>135</v>
      </c>
      <c r="L15" s="108"/>
      <c r="M15" s="46">
        <v>85</v>
      </c>
      <c r="N15" s="109" t="str">
        <f>"71,9143"</f>
        <v>71,9143</v>
      </c>
      <c r="O15" s="22" t="s">
        <v>127</v>
      </c>
    </row>
    <row r="17" spans="1:14" ht="15.75">
      <c r="A17" s="51"/>
      <c r="B17" s="51"/>
      <c r="C17" s="216" t="s">
        <v>66</v>
      </c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</row>
    <row r="18" spans="1:15" ht="12.75">
      <c r="A18" s="42" t="s">
        <v>560</v>
      </c>
      <c r="B18" s="42"/>
      <c r="C18" s="22" t="s">
        <v>363</v>
      </c>
      <c r="D18" s="22" t="s">
        <v>364</v>
      </c>
      <c r="E18" s="198" t="s">
        <v>365</v>
      </c>
      <c r="F18" s="198" t="str">
        <f>"1,0076"</f>
        <v>1,0076</v>
      </c>
      <c r="G18" s="22" t="s">
        <v>41</v>
      </c>
      <c r="H18" s="22" t="s">
        <v>161</v>
      </c>
      <c r="I18" s="106" t="s">
        <v>71</v>
      </c>
      <c r="J18" s="106" t="s">
        <v>74</v>
      </c>
      <c r="K18" s="107" t="s">
        <v>75</v>
      </c>
      <c r="L18" s="108"/>
      <c r="M18" s="46">
        <v>80</v>
      </c>
      <c r="N18" s="109" t="str">
        <f>"80,6080"</f>
        <v>80,6080</v>
      </c>
      <c r="O18" s="22" t="s">
        <v>366</v>
      </c>
    </row>
    <row r="20" spans="1:14" ht="15.75">
      <c r="A20" s="51"/>
      <c r="B20" s="51"/>
      <c r="C20" s="216" t="s">
        <v>78</v>
      </c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</row>
    <row r="21" spans="1:15" ht="12.75">
      <c r="A21" s="42" t="s">
        <v>560</v>
      </c>
      <c r="B21" s="42" t="s">
        <v>567</v>
      </c>
      <c r="C21" s="22" t="s">
        <v>515</v>
      </c>
      <c r="D21" s="22" t="s">
        <v>516</v>
      </c>
      <c r="E21" s="198" t="s">
        <v>517</v>
      </c>
      <c r="F21" s="198" t="str">
        <f>"0,9148"</f>
        <v>0,9148</v>
      </c>
      <c r="G21" s="22" t="s">
        <v>29</v>
      </c>
      <c r="H21" s="22" t="s">
        <v>30</v>
      </c>
      <c r="I21" s="106" t="s">
        <v>20</v>
      </c>
      <c r="J21" s="106" t="s">
        <v>136</v>
      </c>
      <c r="K21" s="107" t="s">
        <v>52</v>
      </c>
      <c r="L21" s="108"/>
      <c r="M21" s="46">
        <v>165</v>
      </c>
      <c r="N21" s="109" t="str">
        <f>"150,9420"</f>
        <v>150,9420</v>
      </c>
      <c r="O21" s="22" t="s">
        <v>422</v>
      </c>
    </row>
    <row r="23" spans="1:14" ht="15.75">
      <c r="A23" s="51"/>
      <c r="B23" s="51"/>
      <c r="C23" s="216" t="s">
        <v>86</v>
      </c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</row>
    <row r="24" spans="1:15" ht="12.75">
      <c r="A24" s="42" t="s">
        <v>560</v>
      </c>
      <c r="B24" s="42" t="s">
        <v>568</v>
      </c>
      <c r="C24" s="22" t="s">
        <v>744</v>
      </c>
      <c r="D24" s="22" t="s">
        <v>133</v>
      </c>
      <c r="E24" s="198" t="s">
        <v>134</v>
      </c>
      <c r="F24" s="198" t="str">
        <f>"0,8328"</f>
        <v>0,8328</v>
      </c>
      <c r="G24" s="22" t="s">
        <v>15</v>
      </c>
      <c r="H24" s="22" t="s">
        <v>16</v>
      </c>
      <c r="I24" s="106" t="s">
        <v>22</v>
      </c>
      <c r="J24" s="106" t="s">
        <v>136</v>
      </c>
      <c r="K24" s="106" t="s">
        <v>137</v>
      </c>
      <c r="L24" s="108"/>
      <c r="M24" s="46">
        <v>170</v>
      </c>
      <c r="N24" s="109" t="str">
        <f>"141,5845"</f>
        <v>141,5845</v>
      </c>
      <c r="O24" s="22" t="s">
        <v>872</v>
      </c>
    </row>
    <row r="26" spans="1:14" ht="15.75">
      <c r="A26" s="51"/>
      <c r="B26" s="51"/>
      <c r="C26" s="216" t="s">
        <v>112</v>
      </c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</row>
    <row r="27" spans="1:15" ht="12.75">
      <c r="A27" s="40" t="s">
        <v>560</v>
      </c>
      <c r="B27" s="40" t="s">
        <v>568</v>
      </c>
      <c r="C27" s="24" t="s">
        <v>843</v>
      </c>
      <c r="D27" s="24" t="s">
        <v>518</v>
      </c>
      <c r="E27" s="195" t="s">
        <v>519</v>
      </c>
      <c r="F27" s="195" t="str">
        <f>"0,7630"</f>
        <v>0,7630</v>
      </c>
      <c r="G27" s="24" t="s">
        <v>167</v>
      </c>
      <c r="H27" s="24" t="s">
        <v>168</v>
      </c>
      <c r="I27" s="110" t="s">
        <v>34</v>
      </c>
      <c r="J27" s="110" t="s">
        <v>145</v>
      </c>
      <c r="K27" s="110" t="s">
        <v>137</v>
      </c>
      <c r="L27" s="112"/>
      <c r="M27" s="44">
        <v>170</v>
      </c>
      <c r="N27" s="113" t="str">
        <f>"129,7100"</f>
        <v>129,7100</v>
      </c>
      <c r="O27" s="24" t="s">
        <v>171</v>
      </c>
    </row>
    <row r="28" spans="1:15" ht="12.75">
      <c r="A28" s="52" t="s">
        <v>560</v>
      </c>
      <c r="B28" s="52" t="s">
        <v>567</v>
      </c>
      <c r="C28" s="25" t="s">
        <v>844</v>
      </c>
      <c r="D28" s="25" t="s">
        <v>520</v>
      </c>
      <c r="E28" s="203" t="s">
        <v>521</v>
      </c>
      <c r="F28" s="203" t="str">
        <f>"0,8128"</f>
        <v>0,8128</v>
      </c>
      <c r="G28" s="25" t="s">
        <v>167</v>
      </c>
      <c r="H28" s="25" t="s">
        <v>168</v>
      </c>
      <c r="I28" s="114" t="s">
        <v>136</v>
      </c>
      <c r="J28" s="114" t="s">
        <v>52</v>
      </c>
      <c r="K28" s="114" t="s">
        <v>155</v>
      </c>
      <c r="L28" s="116"/>
      <c r="M28" s="49">
        <v>195</v>
      </c>
      <c r="N28" s="117" t="str">
        <f>"158,4960"</f>
        <v>158,4960</v>
      </c>
      <c r="O28" s="25" t="s">
        <v>171</v>
      </c>
    </row>
    <row r="29" spans="1:15" ht="12.75">
      <c r="A29" s="52" t="s">
        <v>561</v>
      </c>
      <c r="B29" s="52"/>
      <c r="C29" s="25" t="s">
        <v>845</v>
      </c>
      <c r="D29" s="25" t="s">
        <v>522</v>
      </c>
      <c r="E29" s="203" t="s">
        <v>114</v>
      </c>
      <c r="F29" s="203" t="str">
        <f>"0,7650"</f>
        <v>0,7650</v>
      </c>
      <c r="G29" s="25" t="s">
        <v>41</v>
      </c>
      <c r="H29" s="25" t="s">
        <v>30</v>
      </c>
      <c r="I29" s="114" t="s">
        <v>119</v>
      </c>
      <c r="J29" s="114" t="s">
        <v>111</v>
      </c>
      <c r="K29" s="114" t="s">
        <v>140</v>
      </c>
      <c r="L29" s="116"/>
      <c r="M29" s="49">
        <v>135</v>
      </c>
      <c r="N29" s="117" t="str">
        <f>"103,2817"</f>
        <v>103,2817</v>
      </c>
      <c r="O29" s="25" t="s">
        <v>683</v>
      </c>
    </row>
    <row r="30" spans="1:15" ht="12.75">
      <c r="A30" s="41" t="s">
        <v>560</v>
      </c>
      <c r="B30" s="41" t="s">
        <v>567</v>
      </c>
      <c r="C30" s="26" t="s">
        <v>232</v>
      </c>
      <c r="D30" s="26" t="s">
        <v>233</v>
      </c>
      <c r="E30" s="196" t="s">
        <v>234</v>
      </c>
      <c r="F30" s="196" t="str">
        <f>"0,7513"</f>
        <v>0,7513</v>
      </c>
      <c r="G30" s="26" t="s">
        <v>90</v>
      </c>
      <c r="H30" s="26" t="s">
        <v>680</v>
      </c>
      <c r="I30" s="118" t="s">
        <v>236</v>
      </c>
      <c r="J30" s="119" t="s">
        <v>188</v>
      </c>
      <c r="K30" s="118" t="s">
        <v>188</v>
      </c>
      <c r="L30" s="120"/>
      <c r="M30" s="45">
        <v>197.5</v>
      </c>
      <c r="N30" s="121" t="str">
        <f>"148,3719"</f>
        <v>148,3719</v>
      </c>
      <c r="O30" s="26" t="s">
        <v>872</v>
      </c>
    </row>
    <row r="32" spans="1:14" ht="15.75">
      <c r="A32" s="51"/>
      <c r="B32" s="51"/>
      <c r="C32" s="216" t="s">
        <v>122</v>
      </c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</row>
    <row r="33" spans="1:15" ht="12.75">
      <c r="A33" s="40" t="s">
        <v>560</v>
      </c>
      <c r="B33" s="40"/>
      <c r="C33" s="24" t="s">
        <v>846</v>
      </c>
      <c r="D33" s="24" t="s">
        <v>523</v>
      </c>
      <c r="E33" s="195" t="s">
        <v>524</v>
      </c>
      <c r="F33" s="195" t="str">
        <f>"0,7056"</f>
        <v>0,7056</v>
      </c>
      <c r="G33" s="24" t="s">
        <v>41</v>
      </c>
      <c r="H33" s="24" t="s">
        <v>30</v>
      </c>
      <c r="I33" s="110" t="s">
        <v>155</v>
      </c>
      <c r="J33" s="110" t="s">
        <v>17</v>
      </c>
      <c r="K33" s="110" t="s">
        <v>156</v>
      </c>
      <c r="L33" s="112"/>
      <c r="M33" s="44">
        <v>207.5</v>
      </c>
      <c r="N33" s="113" t="str">
        <f>"146,4224"</f>
        <v>146,4224</v>
      </c>
      <c r="O33" s="24" t="s">
        <v>525</v>
      </c>
    </row>
    <row r="34" spans="1:15" ht="12.75">
      <c r="A34" s="41" t="s">
        <v>561</v>
      </c>
      <c r="B34" s="41"/>
      <c r="C34" s="26" t="s">
        <v>748</v>
      </c>
      <c r="D34" s="26" t="s">
        <v>151</v>
      </c>
      <c r="E34" s="196" t="s">
        <v>152</v>
      </c>
      <c r="F34" s="196" t="str">
        <f>"0,7034"</f>
        <v>0,7034</v>
      </c>
      <c r="G34" s="26" t="s">
        <v>41</v>
      </c>
      <c r="H34" s="26" t="s">
        <v>569</v>
      </c>
      <c r="I34" s="118" t="s">
        <v>155</v>
      </c>
      <c r="J34" s="119" t="s">
        <v>156</v>
      </c>
      <c r="K34" s="118" t="s">
        <v>156</v>
      </c>
      <c r="L34" s="120"/>
      <c r="M34" s="45">
        <v>207.5</v>
      </c>
      <c r="N34" s="121" t="str">
        <f>"145,9555"</f>
        <v>145,9555</v>
      </c>
      <c r="O34" s="26" t="s">
        <v>157</v>
      </c>
    </row>
    <row r="36" spans="1:14" ht="15.75">
      <c r="A36" s="51"/>
      <c r="B36" s="51"/>
      <c r="C36" s="216" t="s">
        <v>163</v>
      </c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5" ht="12.75">
      <c r="A37" s="40" t="s">
        <v>560</v>
      </c>
      <c r="B37" s="40" t="s">
        <v>568</v>
      </c>
      <c r="C37" s="24" t="s">
        <v>847</v>
      </c>
      <c r="D37" s="24" t="s">
        <v>526</v>
      </c>
      <c r="E37" s="195" t="s">
        <v>181</v>
      </c>
      <c r="F37" s="195" t="str">
        <f>"0,6461"</f>
        <v>0,6461</v>
      </c>
      <c r="G37" s="24" t="s">
        <v>29</v>
      </c>
      <c r="H37" s="24" t="s">
        <v>126</v>
      </c>
      <c r="I37" s="111" t="s">
        <v>53</v>
      </c>
      <c r="J37" s="110" t="s">
        <v>31</v>
      </c>
      <c r="K37" s="111" t="s">
        <v>17</v>
      </c>
      <c r="L37" s="112"/>
      <c r="M37" s="44">
        <v>190</v>
      </c>
      <c r="N37" s="113" t="str">
        <f>"122,7685"</f>
        <v>122,7685</v>
      </c>
      <c r="O37" s="24" t="s">
        <v>379</v>
      </c>
    </row>
    <row r="38" spans="1:15" ht="12.75">
      <c r="A38" s="52" t="s">
        <v>560</v>
      </c>
      <c r="B38" s="52" t="s">
        <v>567</v>
      </c>
      <c r="C38" s="25" t="s">
        <v>768</v>
      </c>
      <c r="D38" s="25" t="s">
        <v>527</v>
      </c>
      <c r="E38" s="203" t="s">
        <v>528</v>
      </c>
      <c r="F38" s="203" t="str">
        <f>"0,6600"</f>
        <v>0,6600</v>
      </c>
      <c r="G38" s="25" t="s">
        <v>29</v>
      </c>
      <c r="H38" s="25" t="s">
        <v>251</v>
      </c>
      <c r="I38" s="114" t="s">
        <v>32</v>
      </c>
      <c r="J38" s="114" t="s">
        <v>169</v>
      </c>
      <c r="K38" s="114" t="s">
        <v>19</v>
      </c>
      <c r="L38" s="116"/>
      <c r="M38" s="49">
        <v>222.5</v>
      </c>
      <c r="N38" s="117" t="str">
        <f>"146,8611"</f>
        <v>146,8611</v>
      </c>
      <c r="O38" s="25" t="s">
        <v>872</v>
      </c>
    </row>
    <row r="39" spans="1:15" ht="12.75">
      <c r="A39" s="41" t="s">
        <v>561</v>
      </c>
      <c r="B39" s="41" t="s">
        <v>573</v>
      </c>
      <c r="C39" s="26" t="s">
        <v>848</v>
      </c>
      <c r="D39" s="26" t="s">
        <v>529</v>
      </c>
      <c r="E39" s="196" t="s">
        <v>530</v>
      </c>
      <c r="F39" s="196" t="str">
        <f>"0,6540"</f>
        <v>0,6540</v>
      </c>
      <c r="G39" s="26" t="s">
        <v>15</v>
      </c>
      <c r="H39" s="26" t="s">
        <v>581</v>
      </c>
      <c r="I39" s="172" t="s">
        <v>136</v>
      </c>
      <c r="J39" s="119" t="s">
        <v>53</v>
      </c>
      <c r="K39" s="118" t="s">
        <v>53</v>
      </c>
      <c r="L39" s="120"/>
      <c r="M39" s="45">
        <v>180</v>
      </c>
      <c r="N39" s="121" t="str">
        <f>"117,7200"</f>
        <v>117,7200</v>
      </c>
      <c r="O39" s="26" t="s">
        <v>385</v>
      </c>
    </row>
    <row r="41" spans="1:14" ht="15.75">
      <c r="A41" s="51"/>
      <c r="B41" s="51"/>
      <c r="C41" s="216" t="s">
        <v>194</v>
      </c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</row>
    <row r="42" spans="1:15" ht="12.75">
      <c r="A42" s="40" t="s">
        <v>560</v>
      </c>
      <c r="B42" s="40" t="s">
        <v>568</v>
      </c>
      <c r="C42" s="24" t="s">
        <v>849</v>
      </c>
      <c r="D42" s="24" t="s">
        <v>531</v>
      </c>
      <c r="E42" s="195" t="s">
        <v>532</v>
      </c>
      <c r="F42" s="195" t="str">
        <f>"0,6263"</f>
        <v>0,6263</v>
      </c>
      <c r="G42" s="24" t="s">
        <v>167</v>
      </c>
      <c r="H42" s="24" t="s">
        <v>168</v>
      </c>
      <c r="I42" s="110" t="s">
        <v>31</v>
      </c>
      <c r="J42" s="111" t="s">
        <v>18</v>
      </c>
      <c r="K42" s="111" t="s">
        <v>18</v>
      </c>
      <c r="L42" s="112"/>
      <c r="M42" s="44">
        <v>190</v>
      </c>
      <c r="N42" s="113" t="str">
        <f>"119,0065"</f>
        <v>119,0065</v>
      </c>
      <c r="O42" s="24" t="s">
        <v>209</v>
      </c>
    </row>
    <row r="43" spans="1:15" ht="12.75">
      <c r="A43" s="41" t="s">
        <v>561</v>
      </c>
      <c r="B43" s="41"/>
      <c r="C43" s="26" t="s">
        <v>850</v>
      </c>
      <c r="D43" s="26" t="s">
        <v>533</v>
      </c>
      <c r="E43" s="196" t="s">
        <v>534</v>
      </c>
      <c r="F43" s="196" t="str">
        <f>"0,6161"</f>
        <v>0,6161</v>
      </c>
      <c r="G43" s="26" t="s">
        <v>41</v>
      </c>
      <c r="H43" s="26" t="s">
        <v>535</v>
      </c>
      <c r="I43" s="118" t="s">
        <v>300</v>
      </c>
      <c r="J43" s="118" t="s">
        <v>460</v>
      </c>
      <c r="K43" s="119" t="s">
        <v>176</v>
      </c>
      <c r="L43" s="120"/>
      <c r="M43" s="45">
        <v>177.5</v>
      </c>
      <c r="N43" s="121" t="str">
        <f>"109,3489"</f>
        <v>109,3489</v>
      </c>
      <c r="O43" s="26" t="s">
        <v>575</v>
      </c>
    </row>
    <row r="45" spans="1:14" ht="15.75">
      <c r="A45" s="51"/>
      <c r="B45" s="51"/>
      <c r="C45" s="216" t="s">
        <v>12</v>
      </c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42" t="s">
        <v>560</v>
      </c>
      <c r="B46" s="42"/>
      <c r="C46" s="22" t="s">
        <v>851</v>
      </c>
      <c r="D46" s="22" t="s">
        <v>536</v>
      </c>
      <c r="E46" s="198" t="s">
        <v>537</v>
      </c>
      <c r="F46" s="198" t="str">
        <f>"0,5878"</f>
        <v>0,5878</v>
      </c>
      <c r="G46" s="22" t="s">
        <v>41</v>
      </c>
      <c r="H46" s="22" t="s">
        <v>538</v>
      </c>
      <c r="I46" s="106" t="s">
        <v>169</v>
      </c>
      <c r="J46" s="107" t="s">
        <v>35</v>
      </c>
      <c r="K46" s="107" t="s">
        <v>35</v>
      </c>
      <c r="L46" s="108"/>
      <c r="M46" s="46">
        <v>220</v>
      </c>
      <c r="N46" s="109" t="str">
        <f>"129,3050"</f>
        <v>129,3050</v>
      </c>
      <c r="O46" s="22" t="s">
        <v>872</v>
      </c>
    </row>
    <row r="48" spans="1:14" ht="15.75">
      <c r="A48" s="51"/>
      <c r="B48" s="51"/>
      <c r="C48" s="216" t="s">
        <v>47</v>
      </c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5" ht="12.75">
      <c r="A49" s="40" t="s">
        <v>560</v>
      </c>
      <c r="B49" s="40" t="s">
        <v>565</v>
      </c>
      <c r="C49" s="24" t="s">
        <v>539</v>
      </c>
      <c r="D49" s="24" t="s">
        <v>540</v>
      </c>
      <c r="E49" s="195" t="s">
        <v>541</v>
      </c>
      <c r="F49" s="195" t="str">
        <f>"0,5650"</f>
        <v>0,5650</v>
      </c>
      <c r="G49" s="24" t="s">
        <v>90</v>
      </c>
      <c r="H49" s="24" t="s">
        <v>30</v>
      </c>
      <c r="I49" s="111" t="s">
        <v>542</v>
      </c>
      <c r="J49" s="110" t="s">
        <v>542</v>
      </c>
      <c r="K49" s="111" t="s">
        <v>499</v>
      </c>
      <c r="L49" s="112"/>
      <c r="M49" s="44">
        <v>305</v>
      </c>
      <c r="N49" s="113" t="str">
        <f>"172,3250"</f>
        <v>172,3250</v>
      </c>
      <c r="O49" s="24" t="s">
        <v>681</v>
      </c>
    </row>
    <row r="50" spans="1:15" ht="12.75">
      <c r="A50" s="41" t="s">
        <v>561</v>
      </c>
      <c r="B50" s="41"/>
      <c r="C50" s="26" t="s">
        <v>852</v>
      </c>
      <c r="D50" s="26" t="s">
        <v>543</v>
      </c>
      <c r="E50" s="196" t="s">
        <v>544</v>
      </c>
      <c r="F50" s="196" t="str">
        <f>"0,5714"</f>
        <v>0,5714</v>
      </c>
      <c r="G50" s="26" t="s">
        <v>41</v>
      </c>
      <c r="H50" s="26" t="s">
        <v>193</v>
      </c>
      <c r="I50" s="118" t="s">
        <v>170</v>
      </c>
      <c r="J50" s="118" t="s">
        <v>35</v>
      </c>
      <c r="K50" s="119" t="s">
        <v>51</v>
      </c>
      <c r="L50" s="120"/>
      <c r="M50" s="45">
        <v>240</v>
      </c>
      <c r="N50" s="121" t="str">
        <f>"137,1360"</f>
        <v>137,1360</v>
      </c>
      <c r="O50" s="26" t="s">
        <v>872</v>
      </c>
    </row>
    <row r="53" spans="2:3" ht="18">
      <c r="B53" s="28" t="s">
        <v>59</v>
      </c>
      <c r="C53" s="28"/>
    </row>
    <row r="54" ht="12.75">
      <c r="B54" s="21"/>
    </row>
    <row r="55" spans="2:3" ht="15.75">
      <c r="B55" s="29" t="s">
        <v>60</v>
      </c>
      <c r="C55" s="29"/>
    </row>
    <row r="56" spans="2:3" ht="13.5">
      <c r="B56" s="31"/>
      <c r="C56" s="32" t="s">
        <v>61</v>
      </c>
    </row>
    <row r="57" spans="1:6" ht="13.5">
      <c r="A57" s="34" t="s">
        <v>563</v>
      </c>
      <c r="B57" s="34" t="s">
        <v>62</v>
      </c>
      <c r="C57" s="34" t="s">
        <v>63</v>
      </c>
      <c r="D57" s="34" t="s">
        <v>64</v>
      </c>
      <c r="E57" s="34" t="s">
        <v>9</v>
      </c>
      <c r="F57" s="34" t="s">
        <v>65</v>
      </c>
    </row>
    <row r="58" spans="1:6" ht="13.5" customHeight="1">
      <c r="A58" s="43" t="s">
        <v>560</v>
      </c>
      <c r="B58" s="30" t="s">
        <v>539</v>
      </c>
      <c r="C58" s="36" t="s">
        <v>61</v>
      </c>
      <c r="D58" s="43" t="s">
        <v>154</v>
      </c>
      <c r="E58" s="105" t="s">
        <v>542</v>
      </c>
      <c r="F58" s="105" t="s">
        <v>545</v>
      </c>
    </row>
    <row r="59" spans="1:6" ht="12.75">
      <c r="A59" s="43" t="s">
        <v>561</v>
      </c>
      <c r="B59" s="30" t="s">
        <v>515</v>
      </c>
      <c r="C59" s="36" t="s">
        <v>61</v>
      </c>
      <c r="D59" s="43" t="s">
        <v>853</v>
      </c>
      <c r="E59" s="105" t="s">
        <v>136</v>
      </c>
      <c r="F59" s="105" t="s">
        <v>546</v>
      </c>
    </row>
    <row r="60" spans="1:6" ht="12.75">
      <c r="A60" s="43" t="s">
        <v>562</v>
      </c>
      <c r="B60" s="30" t="s">
        <v>232</v>
      </c>
      <c r="C60" s="36" t="s">
        <v>61</v>
      </c>
      <c r="D60" s="43" t="s">
        <v>95</v>
      </c>
      <c r="E60" s="105" t="s">
        <v>188</v>
      </c>
      <c r="F60" s="105" t="s">
        <v>505</v>
      </c>
    </row>
    <row r="61" spans="2:4" ht="12.75">
      <c r="B61" s="21"/>
      <c r="C61" s="36"/>
      <c r="D61" s="36"/>
    </row>
    <row r="62" ht="12.75">
      <c r="B62" s="21"/>
    </row>
  </sheetData>
  <sheetProtection/>
  <mergeCells count="26">
    <mergeCell ref="C36:N36"/>
    <mergeCell ref="C41:N41"/>
    <mergeCell ref="C45:N45"/>
    <mergeCell ref="C48:N48"/>
    <mergeCell ref="B3:B4"/>
    <mergeCell ref="A3:A4"/>
    <mergeCell ref="C14:N14"/>
    <mergeCell ref="C17:N17"/>
    <mergeCell ref="C20:N20"/>
    <mergeCell ref="C23:N23"/>
    <mergeCell ref="C26:N26"/>
    <mergeCell ref="C32:N32"/>
    <mergeCell ref="M3:M4"/>
    <mergeCell ref="N3:N4"/>
    <mergeCell ref="O3:O4"/>
    <mergeCell ref="C5:N5"/>
    <mergeCell ref="C8:N8"/>
    <mergeCell ref="C11:N11"/>
    <mergeCell ref="C1:O2"/>
    <mergeCell ref="C3:C4"/>
    <mergeCell ref="D3:D4"/>
    <mergeCell ref="E3:E4"/>
    <mergeCell ref="F3:F4"/>
    <mergeCell ref="G3:G4"/>
    <mergeCell ref="H3:H4"/>
    <mergeCell ref="I3:L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O25" sqref="O25"/>
    </sheetView>
  </sheetViews>
  <sheetFormatPr defaultColWidth="8.75390625" defaultRowHeight="12.75"/>
  <cols>
    <col min="1" max="1" width="11.25390625" style="43" bestFit="1" customWidth="1"/>
    <col min="2" max="2" width="19.75390625" style="43" customWidth="1"/>
    <col min="3" max="3" width="26.00390625" style="100" bestFit="1" customWidth="1"/>
    <col min="4" max="4" width="26.875" style="100" bestFit="1" customWidth="1"/>
    <col min="5" max="5" width="10.625" style="21" bestFit="1" customWidth="1"/>
    <col min="6" max="6" width="14.00390625" style="21" customWidth="1"/>
    <col min="7" max="7" width="21.625" style="21" customWidth="1"/>
    <col min="8" max="8" width="32.875" style="21" customWidth="1"/>
    <col min="9" max="11" width="5.625" style="105" bestFit="1" customWidth="1"/>
    <col min="12" max="12" width="4.75390625" style="105" customWidth="1"/>
    <col min="13" max="13" width="11.25390625" style="127" bestFit="1" customWidth="1"/>
    <col min="14" max="14" width="8.625" style="105" bestFit="1" customWidth="1"/>
    <col min="15" max="15" width="23.875" style="21" customWidth="1"/>
  </cols>
  <sheetData>
    <row r="1" spans="3:15" s="1" customFormat="1" ht="15" customHeight="1">
      <c r="C1" s="204" t="s">
        <v>727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6"/>
    </row>
    <row r="2" spans="3:15" s="1" customFormat="1" ht="85.5" customHeight="1" thickBot="1"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8"/>
    </row>
    <row r="3" spans="1:15" s="2" customFormat="1" ht="12.75" customHeight="1">
      <c r="A3" s="224" t="s">
        <v>563</v>
      </c>
      <c r="B3" s="222" t="s">
        <v>564</v>
      </c>
      <c r="C3" s="209" t="s">
        <v>0</v>
      </c>
      <c r="D3" s="211" t="s">
        <v>5</v>
      </c>
      <c r="E3" s="213" t="s">
        <v>6</v>
      </c>
      <c r="F3" s="215" t="s">
        <v>11</v>
      </c>
      <c r="G3" s="215" t="s">
        <v>3</v>
      </c>
      <c r="H3" s="215" t="s">
        <v>7</v>
      </c>
      <c r="I3" s="215" t="s">
        <v>572</v>
      </c>
      <c r="J3" s="215"/>
      <c r="K3" s="215"/>
      <c r="L3" s="215"/>
      <c r="M3" s="217" t="s">
        <v>9</v>
      </c>
      <c r="N3" s="215" t="s">
        <v>2</v>
      </c>
      <c r="O3" s="219" t="s">
        <v>1</v>
      </c>
    </row>
    <row r="4" spans="1:15" s="2" customFormat="1" ht="21" customHeight="1" thickBot="1">
      <c r="A4" s="225"/>
      <c r="B4" s="223"/>
      <c r="C4" s="210"/>
      <c r="D4" s="212"/>
      <c r="E4" s="214"/>
      <c r="F4" s="212"/>
      <c r="G4" s="212"/>
      <c r="H4" s="212"/>
      <c r="I4" s="5">
        <v>1</v>
      </c>
      <c r="J4" s="5">
        <v>2</v>
      </c>
      <c r="K4" s="5">
        <v>3</v>
      </c>
      <c r="L4" s="5" t="s">
        <v>4</v>
      </c>
      <c r="M4" s="218"/>
      <c r="N4" s="212"/>
      <c r="O4" s="220"/>
    </row>
    <row r="5" spans="1:14" ht="15.75">
      <c r="A5"/>
      <c r="B5"/>
      <c r="C5" s="221" t="s">
        <v>112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</row>
    <row r="6" spans="1:15" ht="12.75">
      <c r="A6" s="40" t="s">
        <v>560</v>
      </c>
      <c r="B6" s="40" t="s">
        <v>567</v>
      </c>
      <c r="C6" s="96" t="s">
        <v>481</v>
      </c>
      <c r="D6" s="96" t="s">
        <v>425</v>
      </c>
      <c r="E6" s="24" t="s">
        <v>482</v>
      </c>
      <c r="F6" s="24" t="str">
        <f>"0,7686"</f>
        <v>0,7686</v>
      </c>
      <c r="G6" s="24" t="s">
        <v>167</v>
      </c>
      <c r="H6" s="24" t="s">
        <v>168</v>
      </c>
      <c r="I6" s="132" t="s">
        <v>169</v>
      </c>
      <c r="J6" s="132" t="s">
        <v>35</v>
      </c>
      <c r="K6" s="133" t="s">
        <v>23</v>
      </c>
      <c r="L6" s="134"/>
      <c r="M6" s="123">
        <v>240</v>
      </c>
      <c r="N6" s="135" t="str">
        <f>"184,4568"</f>
        <v>184,4568</v>
      </c>
      <c r="O6" s="24" t="s">
        <v>483</v>
      </c>
    </row>
    <row r="7" spans="1:15" ht="12.75">
      <c r="A7" s="41" t="s">
        <v>561</v>
      </c>
      <c r="B7" s="41" t="s">
        <v>573</v>
      </c>
      <c r="C7" s="97" t="s">
        <v>232</v>
      </c>
      <c r="D7" s="97" t="s">
        <v>233</v>
      </c>
      <c r="E7" s="26" t="s">
        <v>234</v>
      </c>
      <c r="F7" s="26" t="str">
        <f>"0,7513"</f>
        <v>0,7513</v>
      </c>
      <c r="G7" s="26" t="s">
        <v>90</v>
      </c>
      <c r="H7" s="26" t="s">
        <v>680</v>
      </c>
      <c r="I7" s="140" t="s">
        <v>236</v>
      </c>
      <c r="J7" s="141" t="s">
        <v>188</v>
      </c>
      <c r="K7" s="140" t="s">
        <v>188</v>
      </c>
      <c r="L7" s="142"/>
      <c r="M7" s="125">
        <v>197.5</v>
      </c>
      <c r="N7" s="143" t="str">
        <f>"148,3719"</f>
        <v>148,3719</v>
      </c>
      <c r="O7" s="26" t="s">
        <v>872</v>
      </c>
    </row>
    <row r="9" spans="1:14" ht="15.75">
      <c r="A9"/>
      <c r="B9"/>
      <c r="C9" s="216" t="s">
        <v>122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</row>
    <row r="10" spans="1:15" ht="12.75">
      <c r="A10" s="42" t="s">
        <v>560</v>
      </c>
      <c r="B10" s="42" t="s">
        <v>567</v>
      </c>
      <c r="C10" s="98" t="s">
        <v>854</v>
      </c>
      <c r="D10" s="98" t="s">
        <v>484</v>
      </c>
      <c r="E10" s="22" t="s">
        <v>485</v>
      </c>
      <c r="F10" s="22" t="str">
        <f>"0,7086"</f>
        <v>0,7086</v>
      </c>
      <c r="G10" s="22" t="s">
        <v>167</v>
      </c>
      <c r="H10" s="22" t="s">
        <v>168</v>
      </c>
      <c r="I10" s="128" t="s">
        <v>244</v>
      </c>
      <c r="J10" s="128" t="s">
        <v>486</v>
      </c>
      <c r="K10" s="128" t="s">
        <v>35</v>
      </c>
      <c r="L10" s="130"/>
      <c r="M10" s="122">
        <v>240</v>
      </c>
      <c r="N10" s="131" t="str">
        <f>"170,0760"</f>
        <v>170,0760</v>
      </c>
      <c r="O10" s="22" t="s">
        <v>171</v>
      </c>
    </row>
    <row r="12" spans="1:14" ht="15.75">
      <c r="A12"/>
      <c r="B12"/>
      <c r="C12" s="216" t="s">
        <v>194</v>
      </c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</row>
    <row r="13" spans="1:15" ht="12.75">
      <c r="A13" s="40" t="s">
        <v>560</v>
      </c>
      <c r="B13" s="40" t="s">
        <v>568</v>
      </c>
      <c r="C13" s="96" t="s">
        <v>764</v>
      </c>
      <c r="D13" s="96" t="s">
        <v>252</v>
      </c>
      <c r="E13" s="24" t="s">
        <v>253</v>
      </c>
      <c r="F13" s="24" t="str">
        <f>"0,6209"</f>
        <v>0,6209</v>
      </c>
      <c r="G13" s="24" t="s">
        <v>90</v>
      </c>
      <c r="H13" s="24" t="s">
        <v>30</v>
      </c>
      <c r="I13" s="140" t="s">
        <v>51</v>
      </c>
      <c r="J13" s="141" t="s">
        <v>23</v>
      </c>
      <c r="K13" s="140" t="s">
        <v>23</v>
      </c>
      <c r="L13" s="134"/>
      <c r="M13" s="123">
        <v>255</v>
      </c>
      <c r="N13" s="135" t="str">
        <f>"158,3295"</f>
        <v>158,3295</v>
      </c>
      <c r="O13" s="24" t="s">
        <v>684</v>
      </c>
    </row>
    <row r="14" spans="1:15" ht="12.75">
      <c r="A14" s="52" t="s">
        <v>561</v>
      </c>
      <c r="B14" s="52" t="s">
        <v>573</v>
      </c>
      <c r="C14" s="99" t="s">
        <v>763</v>
      </c>
      <c r="D14" s="99" t="s">
        <v>249</v>
      </c>
      <c r="E14" s="25" t="s">
        <v>250</v>
      </c>
      <c r="F14" s="25" t="str">
        <f>"0,6165"</f>
        <v>0,6165</v>
      </c>
      <c r="G14" s="25" t="s">
        <v>29</v>
      </c>
      <c r="H14" s="25" t="s">
        <v>251</v>
      </c>
      <c r="I14" s="132" t="s">
        <v>223</v>
      </c>
      <c r="J14" s="133" t="s">
        <v>23</v>
      </c>
      <c r="K14" s="133" t="s">
        <v>23</v>
      </c>
      <c r="L14" s="138"/>
      <c r="M14" s="124">
        <v>247.5</v>
      </c>
      <c r="N14" s="139" t="str">
        <f>"152,5714"</f>
        <v>152,5714</v>
      </c>
      <c r="O14" s="25" t="s">
        <v>872</v>
      </c>
    </row>
    <row r="15" spans="1:15" ht="12.75">
      <c r="A15" s="41" t="s">
        <v>560</v>
      </c>
      <c r="B15" s="41" t="s">
        <v>568</v>
      </c>
      <c r="C15" s="97" t="s">
        <v>811</v>
      </c>
      <c r="D15" s="97" t="s">
        <v>306</v>
      </c>
      <c r="E15" s="26" t="s">
        <v>307</v>
      </c>
      <c r="F15" s="26" t="str">
        <f>"0,6392"</f>
        <v>0,6392</v>
      </c>
      <c r="G15" s="26" t="s">
        <v>167</v>
      </c>
      <c r="H15" s="26" t="s">
        <v>168</v>
      </c>
      <c r="I15" s="140" t="s">
        <v>137</v>
      </c>
      <c r="J15" s="140" t="s">
        <v>52</v>
      </c>
      <c r="K15" s="141" t="s">
        <v>31</v>
      </c>
      <c r="L15" s="142"/>
      <c r="M15" s="125">
        <v>175</v>
      </c>
      <c r="N15" s="143" t="str">
        <f>"141,8385"</f>
        <v>141,8385</v>
      </c>
      <c r="O15" s="26" t="s">
        <v>580</v>
      </c>
    </row>
    <row r="17" spans="1:14" ht="15.75">
      <c r="A17"/>
      <c r="B17"/>
      <c r="C17" s="216" t="s">
        <v>12</v>
      </c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</row>
    <row r="18" spans="1:15" ht="12.75">
      <c r="A18" s="40" t="s">
        <v>560</v>
      </c>
      <c r="B18" s="40" t="s">
        <v>567</v>
      </c>
      <c r="C18" s="96" t="s">
        <v>256</v>
      </c>
      <c r="D18" s="96" t="s">
        <v>257</v>
      </c>
      <c r="E18" s="24" t="s">
        <v>258</v>
      </c>
      <c r="F18" s="24" t="str">
        <f>"0,5968"</f>
        <v>0,5968</v>
      </c>
      <c r="G18" s="24" t="s">
        <v>90</v>
      </c>
      <c r="H18" s="24" t="s">
        <v>30</v>
      </c>
      <c r="I18" s="128" t="s">
        <v>262</v>
      </c>
      <c r="J18" s="128" t="s">
        <v>263</v>
      </c>
      <c r="K18" s="128" t="s">
        <v>264</v>
      </c>
      <c r="L18" s="134"/>
      <c r="M18" s="123">
        <v>307.5</v>
      </c>
      <c r="N18" s="135" t="str">
        <f>"183,5006"</f>
        <v>183,5006</v>
      </c>
      <c r="O18" s="24" t="s">
        <v>681</v>
      </c>
    </row>
    <row r="19" spans="1:15" ht="12.75">
      <c r="A19" s="52" t="s">
        <v>561</v>
      </c>
      <c r="B19" s="52" t="s">
        <v>566</v>
      </c>
      <c r="C19" s="99" t="s">
        <v>813</v>
      </c>
      <c r="D19" s="99" t="s">
        <v>314</v>
      </c>
      <c r="E19" s="25" t="s">
        <v>315</v>
      </c>
      <c r="F19" s="25" t="str">
        <f>"0,5821"</f>
        <v>0,5821</v>
      </c>
      <c r="G19" s="25" t="s">
        <v>15</v>
      </c>
      <c r="H19" s="25" t="s">
        <v>16</v>
      </c>
      <c r="I19" s="136" t="s">
        <v>259</v>
      </c>
      <c r="J19" s="137" t="s">
        <v>263</v>
      </c>
      <c r="K19" s="137" t="s">
        <v>263</v>
      </c>
      <c r="L19" s="138"/>
      <c r="M19" s="124">
        <v>290</v>
      </c>
      <c r="N19" s="139" t="str">
        <f>"168,7945"</f>
        <v>168,7945</v>
      </c>
      <c r="O19" s="25" t="s">
        <v>26</v>
      </c>
    </row>
    <row r="20" spans="1:15" ht="12.75">
      <c r="A20" s="52" t="s">
        <v>562</v>
      </c>
      <c r="B20" s="52" t="s">
        <v>578</v>
      </c>
      <c r="C20" s="99" t="s">
        <v>855</v>
      </c>
      <c r="D20" s="99" t="s">
        <v>487</v>
      </c>
      <c r="E20" s="25" t="s">
        <v>488</v>
      </c>
      <c r="F20" s="25" t="str">
        <f>"0,5825"</f>
        <v>0,5825</v>
      </c>
      <c r="G20" s="25" t="s">
        <v>29</v>
      </c>
      <c r="H20" s="25" t="s">
        <v>30</v>
      </c>
      <c r="I20" s="136" t="s">
        <v>489</v>
      </c>
      <c r="J20" s="136" t="s">
        <v>490</v>
      </c>
      <c r="K20" s="137" t="s">
        <v>268</v>
      </c>
      <c r="L20" s="138"/>
      <c r="M20" s="124">
        <v>272.5</v>
      </c>
      <c r="N20" s="139" t="str">
        <f>"158,7449"</f>
        <v>158,7449</v>
      </c>
      <c r="O20" s="25" t="s">
        <v>422</v>
      </c>
    </row>
    <row r="21" spans="1:15" ht="12.75">
      <c r="A21" s="52" t="s">
        <v>576</v>
      </c>
      <c r="B21" s="52" t="s">
        <v>579</v>
      </c>
      <c r="C21" s="99" t="s">
        <v>755</v>
      </c>
      <c r="D21" s="99" t="s">
        <v>13</v>
      </c>
      <c r="E21" s="25" t="s">
        <v>14</v>
      </c>
      <c r="F21" s="25" t="str">
        <f>"0,5848"</f>
        <v>0,5848</v>
      </c>
      <c r="G21" s="25" t="s">
        <v>15</v>
      </c>
      <c r="H21" s="25" t="s">
        <v>16</v>
      </c>
      <c r="I21" s="136" t="s">
        <v>23</v>
      </c>
      <c r="J21" s="136" t="s">
        <v>24</v>
      </c>
      <c r="K21" s="137" t="s">
        <v>490</v>
      </c>
      <c r="L21" s="138"/>
      <c r="M21" s="124">
        <v>265</v>
      </c>
      <c r="N21" s="139" t="str">
        <f>"154,9720"</f>
        <v>154,9720</v>
      </c>
      <c r="O21" s="25" t="s">
        <v>26</v>
      </c>
    </row>
    <row r="22" spans="1:15" ht="12.75">
      <c r="A22" s="41" t="s">
        <v>577</v>
      </c>
      <c r="B22" s="41"/>
      <c r="C22" s="97" t="s">
        <v>38</v>
      </c>
      <c r="D22" s="97" t="s">
        <v>39</v>
      </c>
      <c r="E22" s="26" t="s">
        <v>40</v>
      </c>
      <c r="F22" s="26" t="str">
        <f>"0,5816"</f>
        <v>0,5816</v>
      </c>
      <c r="G22" s="26" t="s">
        <v>41</v>
      </c>
      <c r="H22" s="26" t="s">
        <v>42</v>
      </c>
      <c r="I22" s="140" t="s">
        <v>244</v>
      </c>
      <c r="J22" s="140" t="s">
        <v>221</v>
      </c>
      <c r="K22" s="140" t="s">
        <v>51</v>
      </c>
      <c r="L22" s="142"/>
      <c r="M22" s="125">
        <v>245</v>
      </c>
      <c r="N22" s="143" t="str">
        <f>"142,4798"</f>
        <v>142,4798</v>
      </c>
      <c r="O22" s="26" t="s">
        <v>46</v>
      </c>
    </row>
    <row r="24" spans="1:14" ht="15.75">
      <c r="A24"/>
      <c r="B24"/>
      <c r="C24" s="216" t="s">
        <v>47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5" ht="12.75">
      <c r="A25" s="42" t="s">
        <v>560</v>
      </c>
      <c r="B25" s="42"/>
      <c r="C25" s="98" t="s">
        <v>856</v>
      </c>
      <c r="D25" s="98" t="s">
        <v>491</v>
      </c>
      <c r="E25" s="22" t="s">
        <v>492</v>
      </c>
      <c r="F25" s="22" t="str">
        <f>"0,5642"</f>
        <v>0,5642</v>
      </c>
      <c r="G25" s="22" t="s">
        <v>41</v>
      </c>
      <c r="H25" s="22" t="s">
        <v>161</v>
      </c>
      <c r="I25" s="128" t="s">
        <v>268</v>
      </c>
      <c r="J25" s="129" t="s">
        <v>263</v>
      </c>
      <c r="K25" s="130"/>
      <c r="L25" s="130"/>
      <c r="M25" s="122">
        <v>280</v>
      </c>
      <c r="N25" s="131" t="str">
        <f>"162,8877"</f>
        <v>162,8877</v>
      </c>
      <c r="O25" s="22" t="s">
        <v>872</v>
      </c>
    </row>
    <row r="27" spans="1:14" ht="15.75">
      <c r="A27"/>
      <c r="B27"/>
      <c r="C27" s="216" t="s">
        <v>281</v>
      </c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5" ht="12.75">
      <c r="A28" s="40" t="s">
        <v>560</v>
      </c>
      <c r="B28" s="40" t="s">
        <v>568</v>
      </c>
      <c r="C28" s="96" t="s">
        <v>857</v>
      </c>
      <c r="D28" s="96" t="s">
        <v>493</v>
      </c>
      <c r="E28" s="24" t="s">
        <v>494</v>
      </c>
      <c r="F28" s="24" t="str">
        <f>"0,5514"</f>
        <v>0,5514</v>
      </c>
      <c r="G28" s="24" t="s">
        <v>29</v>
      </c>
      <c r="H28" s="24" t="s">
        <v>30</v>
      </c>
      <c r="I28" s="132" t="s">
        <v>221</v>
      </c>
      <c r="J28" s="132" t="s">
        <v>51</v>
      </c>
      <c r="K28" s="133" t="s">
        <v>23</v>
      </c>
      <c r="L28" s="134"/>
      <c r="M28" s="123">
        <v>245</v>
      </c>
      <c r="N28" s="135" t="str">
        <f>"135,0930"</f>
        <v>135,0930</v>
      </c>
      <c r="O28" s="24" t="s">
        <v>495</v>
      </c>
    </row>
    <row r="29" spans="1:15" ht="12.75">
      <c r="A29" s="52" t="s">
        <v>560</v>
      </c>
      <c r="B29" s="52" t="s">
        <v>567</v>
      </c>
      <c r="C29" s="99" t="s">
        <v>496</v>
      </c>
      <c r="D29" s="99" t="s">
        <v>497</v>
      </c>
      <c r="E29" s="25" t="s">
        <v>498</v>
      </c>
      <c r="F29" s="25" t="str">
        <f>"0,5583"</f>
        <v>0,5583</v>
      </c>
      <c r="G29" s="25" t="s">
        <v>15</v>
      </c>
      <c r="H29" s="25" t="s">
        <v>581</v>
      </c>
      <c r="I29" s="136" t="s">
        <v>499</v>
      </c>
      <c r="J29" s="136" t="s">
        <v>500</v>
      </c>
      <c r="K29" s="138"/>
      <c r="L29" s="138"/>
      <c r="M29" s="124">
        <v>330</v>
      </c>
      <c r="N29" s="139" t="str">
        <f>"184,2390"</f>
        <v>184,2390</v>
      </c>
      <c r="O29" s="25" t="s">
        <v>385</v>
      </c>
    </row>
    <row r="30" spans="1:15" ht="12.75">
      <c r="A30" s="41" t="s">
        <v>561</v>
      </c>
      <c r="B30" s="41" t="s">
        <v>573</v>
      </c>
      <c r="C30" s="97" t="s">
        <v>857</v>
      </c>
      <c r="D30" s="97" t="s">
        <v>501</v>
      </c>
      <c r="E30" s="26" t="s">
        <v>494</v>
      </c>
      <c r="F30" s="26" t="str">
        <f>"0,5514"</f>
        <v>0,5514</v>
      </c>
      <c r="G30" s="26" t="s">
        <v>29</v>
      </c>
      <c r="H30" s="26" t="s">
        <v>30</v>
      </c>
      <c r="I30" s="140" t="s">
        <v>221</v>
      </c>
      <c r="J30" s="140" t="s">
        <v>51</v>
      </c>
      <c r="K30" s="141" t="s">
        <v>23</v>
      </c>
      <c r="L30" s="142"/>
      <c r="M30" s="125">
        <v>245</v>
      </c>
      <c r="N30" s="143" t="str">
        <f>"135,0930"</f>
        <v>135,0930</v>
      </c>
      <c r="O30" s="26" t="s">
        <v>422</v>
      </c>
    </row>
    <row r="31" ht="15" customHeight="1"/>
    <row r="32" spans="2:3" ht="18">
      <c r="B32" s="28" t="s">
        <v>59</v>
      </c>
      <c r="C32" s="101"/>
    </row>
    <row r="33" spans="2:3" ht="15.75">
      <c r="B33" s="29" t="s">
        <v>60</v>
      </c>
      <c r="C33" s="102"/>
    </row>
    <row r="34" spans="2:3" ht="13.5">
      <c r="B34" s="31"/>
      <c r="C34" s="103" t="s">
        <v>61</v>
      </c>
    </row>
    <row r="35" spans="1:15" s="184" customFormat="1" ht="13.5">
      <c r="A35" s="34" t="s">
        <v>563</v>
      </c>
      <c r="B35" s="34" t="s">
        <v>62</v>
      </c>
      <c r="C35" s="34" t="s">
        <v>63</v>
      </c>
      <c r="D35" s="34" t="s">
        <v>64</v>
      </c>
      <c r="E35" s="34" t="s">
        <v>9</v>
      </c>
      <c r="F35" s="34" t="s">
        <v>65</v>
      </c>
      <c r="G35" s="80"/>
      <c r="H35" s="104"/>
      <c r="I35" s="105"/>
      <c r="J35" s="105"/>
      <c r="K35" s="105"/>
      <c r="L35" s="105"/>
      <c r="M35" s="127"/>
      <c r="N35" s="105"/>
      <c r="O35" s="104"/>
    </row>
    <row r="36" spans="1:7" ht="12.75">
      <c r="A36" s="43" t="s">
        <v>560</v>
      </c>
      <c r="B36" s="30" t="s">
        <v>481</v>
      </c>
      <c r="C36" s="104" t="s">
        <v>61</v>
      </c>
      <c r="D36" s="105" t="s">
        <v>858</v>
      </c>
      <c r="E36" s="105" t="s">
        <v>35</v>
      </c>
      <c r="F36" s="105" t="s">
        <v>502</v>
      </c>
      <c r="G36" s="35"/>
    </row>
    <row r="37" spans="1:7" ht="12.75">
      <c r="A37" s="43" t="s">
        <v>561</v>
      </c>
      <c r="B37" s="30" t="s">
        <v>496</v>
      </c>
      <c r="C37" s="104" t="s">
        <v>61</v>
      </c>
      <c r="D37" s="105" t="s">
        <v>120</v>
      </c>
      <c r="E37" s="105" t="s">
        <v>500</v>
      </c>
      <c r="F37" s="105" t="s">
        <v>503</v>
      </c>
      <c r="G37" s="35"/>
    </row>
    <row r="38" spans="1:7" ht="12.75">
      <c r="A38" s="43" t="s">
        <v>562</v>
      </c>
      <c r="B38" s="30" t="s">
        <v>256</v>
      </c>
      <c r="C38" s="104" t="s">
        <v>61</v>
      </c>
      <c r="D38" s="105" t="s">
        <v>76</v>
      </c>
      <c r="E38" s="105" t="s">
        <v>264</v>
      </c>
      <c r="F38" s="105" t="s">
        <v>504</v>
      </c>
      <c r="G38" s="35"/>
    </row>
    <row r="39" spans="2:6" ht="12.75">
      <c r="B39" s="21"/>
      <c r="D39" s="126"/>
      <c r="E39" s="35"/>
      <c r="F39" s="35"/>
    </row>
    <row r="40" ht="12.75">
      <c r="B40" s="21"/>
    </row>
  </sheetData>
  <sheetProtection/>
  <mergeCells count="19">
    <mergeCell ref="C17:N17"/>
    <mergeCell ref="C24:N24"/>
    <mergeCell ref="C27:N27"/>
    <mergeCell ref="B3:B4"/>
    <mergeCell ref="A3:A4"/>
    <mergeCell ref="M3:M4"/>
    <mergeCell ref="N3:N4"/>
    <mergeCell ref="H3:H4"/>
    <mergeCell ref="I3:L3"/>
    <mergeCell ref="O3:O4"/>
    <mergeCell ref="C5:N5"/>
    <mergeCell ref="C9:N9"/>
    <mergeCell ref="C12:N12"/>
    <mergeCell ref="C1:O2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S10" sqref="S10"/>
    </sheetView>
  </sheetViews>
  <sheetFormatPr defaultColWidth="8.75390625" defaultRowHeight="12.75"/>
  <cols>
    <col min="1" max="1" width="11.25390625" style="43" bestFit="1" customWidth="1"/>
    <col min="2" max="2" width="13.25390625" style="43" customWidth="1"/>
    <col min="3" max="3" width="24.375" style="21" customWidth="1"/>
    <col min="4" max="4" width="26.00390625" style="21" customWidth="1"/>
    <col min="5" max="5" width="10.625" style="104" bestFit="1" customWidth="1"/>
    <col min="6" max="6" width="8.375" style="104" bestFit="1" customWidth="1"/>
    <col min="7" max="7" width="19.75390625" style="21" customWidth="1"/>
    <col min="8" max="8" width="32.625" style="21" customWidth="1"/>
    <col min="9" max="12" width="4.625" style="105" bestFit="1" customWidth="1"/>
    <col min="13" max="16" width="5.875" style="105" customWidth="1"/>
    <col min="17" max="17" width="11.25390625" style="127" bestFit="1" customWidth="1"/>
    <col min="18" max="18" width="7.625" style="105" bestFit="1" customWidth="1"/>
    <col min="19" max="19" width="15.375" style="21" bestFit="1" customWidth="1"/>
  </cols>
  <sheetData>
    <row r="1" spans="3:19" s="1" customFormat="1" ht="15" customHeight="1">
      <c r="C1" s="204" t="s">
        <v>728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3:19" s="1" customFormat="1" ht="79.5" customHeight="1" thickBot="1"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s="2" customFormat="1" ht="12.75" customHeight="1">
      <c r="A3" s="224" t="s">
        <v>563</v>
      </c>
      <c r="B3" s="222" t="s">
        <v>564</v>
      </c>
      <c r="C3" s="209" t="s">
        <v>0</v>
      </c>
      <c r="D3" s="211" t="s">
        <v>5</v>
      </c>
      <c r="E3" s="213" t="s">
        <v>6</v>
      </c>
      <c r="F3" s="215" t="s">
        <v>11</v>
      </c>
      <c r="G3" s="215" t="s">
        <v>3</v>
      </c>
      <c r="H3" s="215" t="s">
        <v>7</v>
      </c>
      <c r="I3" s="215" t="s">
        <v>10</v>
      </c>
      <c r="J3" s="215"/>
      <c r="K3" s="215"/>
      <c r="L3" s="215"/>
      <c r="M3" s="215" t="s">
        <v>8</v>
      </c>
      <c r="N3" s="215"/>
      <c r="O3" s="215"/>
      <c r="P3" s="215"/>
      <c r="Q3" s="217" t="s">
        <v>737</v>
      </c>
      <c r="R3" s="215" t="s">
        <v>2</v>
      </c>
      <c r="S3" s="219" t="s">
        <v>1</v>
      </c>
    </row>
    <row r="4" spans="1:19" s="2" customFormat="1" ht="21" customHeight="1" thickBot="1">
      <c r="A4" s="225"/>
      <c r="B4" s="223"/>
      <c r="C4" s="210"/>
      <c r="D4" s="212"/>
      <c r="E4" s="214"/>
      <c r="F4" s="212"/>
      <c r="G4" s="212"/>
      <c r="H4" s="212"/>
      <c r="I4" s="5">
        <v>1</v>
      </c>
      <c r="J4" s="5">
        <v>2</v>
      </c>
      <c r="K4" s="5">
        <v>3</v>
      </c>
      <c r="L4" s="5" t="s">
        <v>4</v>
      </c>
      <c r="M4" s="5">
        <v>1</v>
      </c>
      <c r="N4" s="5">
        <v>2</v>
      </c>
      <c r="O4" s="5">
        <v>3</v>
      </c>
      <c r="P4" s="5" t="s">
        <v>4</v>
      </c>
      <c r="Q4" s="218"/>
      <c r="R4" s="212"/>
      <c r="S4" s="220"/>
    </row>
    <row r="5" spans="1:18" ht="15.75">
      <c r="A5"/>
      <c r="B5"/>
      <c r="C5" s="221" t="s">
        <v>112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</row>
    <row r="6" spans="1:19" ht="12.75">
      <c r="A6" s="40" t="s">
        <v>560</v>
      </c>
      <c r="B6" s="40"/>
      <c r="C6" s="24" t="s">
        <v>783</v>
      </c>
      <c r="D6" s="24" t="s">
        <v>374</v>
      </c>
      <c r="E6" s="195" t="s">
        <v>382</v>
      </c>
      <c r="F6" s="195" t="str">
        <f>"0,7919"</f>
        <v>0,7919</v>
      </c>
      <c r="G6" s="24" t="s">
        <v>41</v>
      </c>
      <c r="H6" s="24" t="s">
        <v>569</v>
      </c>
      <c r="I6" s="132" t="s">
        <v>121</v>
      </c>
      <c r="J6" s="132" t="s">
        <v>71</v>
      </c>
      <c r="K6" s="133" t="s">
        <v>99</v>
      </c>
      <c r="L6" s="134"/>
      <c r="M6" s="132" t="s">
        <v>73</v>
      </c>
      <c r="N6" s="132" t="s">
        <v>109</v>
      </c>
      <c r="O6" s="132" t="s">
        <v>69</v>
      </c>
      <c r="P6" s="134"/>
      <c r="Q6" s="123">
        <v>120</v>
      </c>
      <c r="R6" s="135" t="str">
        <f>"95,0340"</f>
        <v>95,0340</v>
      </c>
      <c r="S6" s="24" t="s">
        <v>872</v>
      </c>
    </row>
    <row r="7" spans="1:19" ht="12.75">
      <c r="A7" s="41" t="s">
        <v>561</v>
      </c>
      <c r="B7" s="41"/>
      <c r="C7" s="26" t="s">
        <v>784</v>
      </c>
      <c r="D7" s="26" t="s">
        <v>376</v>
      </c>
      <c r="E7" s="196" t="s">
        <v>650</v>
      </c>
      <c r="F7" s="196" t="str">
        <f>"0,7764"</f>
        <v>0,7764</v>
      </c>
      <c r="G7" s="26" t="s">
        <v>41</v>
      </c>
      <c r="H7" s="26" t="s">
        <v>296</v>
      </c>
      <c r="I7" s="141" t="s">
        <v>102</v>
      </c>
      <c r="J7" s="140" t="s">
        <v>102</v>
      </c>
      <c r="K7" s="141" t="s">
        <v>92</v>
      </c>
      <c r="L7" s="142"/>
      <c r="M7" s="140" t="s">
        <v>69</v>
      </c>
      <c r="N7" s="140" t="s">
        <v>102</v>
      </c>
      <c r="O7" s="140" t="s">
        <v>91</v>
      </c>
      <c r="P7" s="142"/>
      <c r="Q7" s="125">
        <v>112.5</v>
      </c>
      <c r="R7" s="143" t="str">
        <f>"87,3506"</f>
        <v>87,3506</v>
      </c>
      <c r="S7" s="26" t="s">
        <v>872</v>
      </c>
    </row>
    <row r="9" spans="1:18" ht="15.75">
      <c r="A9"/>
      <c r="B9"/>
      <c r="C9" s="216" t="s">
        <v>194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</row>
    <row r="10" spans="1:19" ht="12.75">
      <c r="A10" s="42" t="s">
        <v>560</v>
      </c>
      <c r="B10" s="42"/>
      <c r="C10" s="22" t="s">
        <v>859</v>
      </c>
      <c r="D10" s="22" t="s">
        <v>651</v>
      </c>
      <c r="E10" s="198" t="s">
        <v>652</v>
      </c>
      <c r="F10" s="198" t="str">
        <f>"0,6177"</f>
        <v>0,6177</v>
      </c>
      <c r="G10" s="22" t="s">
        <v>41</v>
      </c>
      <c r="H10" s="22" t="s">
        <v>187</v>
      </c>
      <c r="I10" s="128" t="s">
        <v>99</v>
      </c>
      <c r="J10" s="128" t="s">
        <v>74</v>
      </c>
      <c r="K10" s="128" t="s">
        <v>100</v>
      </c>
      <c r="L10" s="130"/>
      <c r="M10" s="128" t="s">
        <v>69</v>
      </c>
      <c r="N10" s="128" t="s">
        <v>91</v>
      </c>
      <c r="O10" s="128" t="s">
        <v>92</v>
      </c>
      <c r="P10" s="130"/>
      <c r="Q10" s="122">
        <v>147.5</v>
      </c>
      <c r="R10" s="131" t="str">
        <f>"91,1107"</f>
        <v>91,1107</v>
      </c>
      <c r="S10" s="22" t="s">
        <v>872</v>
      </c>
    </row>
    <row r="19" ht="12.75">
      <c r="F19" s="104" t="s">
        <v>696</v>
      </c>
    </row>
    <row r="21" ht="12.75">
      <c r="N21" s="185"/>
    </row>
  </sheetData>
  <sheetProtection/>
  <mergeCells count="16">
    <mergeCell ref="R3:R4"/>
    <mergeCell ref="S3:S4"/>
    <mergeCell ref="C5:R5"/>
    <mergeCell ref="C9:R9"/>
    <mergeCell ref="B3:B4"/>
    <mergeCell ref="A3:A4"/>
    <mergeCell ref="C1:S2"/>
    <mergeCell ref="C3:C4"/>
    <mergeCell ref="D3:D4"/>
    <mergeCell ref="E3:E4"/>
    <mergeCell ref="F3:F4"/>
    <mergeCell ref="G3:G4"/>
    <mergeCell ref="H3:H4"/>
    <mergeCell ref="I3:L3"/>
    <mergeCell ref="M3:P3"/>
    <mergeCell ref="Q3:Q4"/>
  </mergeCells>
  <printOptions/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C1">
      <selection activeCell="M15" sqref="M15"/>
    </sheetView>
  </sheetViews>
  <sheetFormatPr defaultColWidth="8.75390625" defaultRowHeight="12.75"/>
  <cols>
    <col min="1" max="1" width="9.375" style="43" customWidth="1"/>
    <col min="2" max="2" width="14.125" style="43" customWidth="1"/>
    <col min="3" max="3" width="26.00390625" style="21" bestFit="1" customWidth="1"/>
    <col min="4" max="4" width="25.875" style="21" customWidth="1"/>
    <col min="5" max="5" width="10.625" style="21" bestFit="1" customWidth="1"/>
    <col min="6" max="6" width="20.125" style="21" customWidth="1"/>
    <col min="7" max="7" width="27.25390625" style="21" customWidth="1"/>
    <col min="8" max="10" width="5.625" style="105" bestFit="1" customWidth="1"/>
    <col min="11" max="11" width="7.125" style="105" customWidth="1"/>
    <col min="12" max="12" width="11.25390625" style="127" bestFit="1" customWidth="1"/>
    <col min="13" max="13" width="26.125" style="21" customWidth="1"/>
  </cols>
  <sheetData>
    <row r="1" spans="3:13" s="1" customFormat="1" ht="15" customHeight="1">
      <c r="C1" s="204" t="s">
        <v>729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3:13" s="1" customFormat="1" ht="106.5" customHeight="1" thickBot="1"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3" s="2" customFormat="1" ht="12.75" customHeight="1">
      <c r="A3" s="224" t="s">
        <v>563</v>
      </c>
      <c r="B3" s="222" t="s">
        <v>564</v>
      </c>
      <c r="C3" s="209" t="s">
        <v>0</v>
      </c>
      <c r="D3" s="211" t="s">
        <v>5</v>
      </c>
      <c r="E3" s="213" t="s">
        <v>6</v>
      </c>
      <c r="F3" s="215" t="s">
        <v>3</v>
      </c>
      <c r="G3" s="215" t="s">
        <v>7</v>
      </c>
      <c r="H3" s="244" t="s">
        <v>653</v>
      </c>
      <c r="I3" s="245"/>
      <c r="J3" s="245"/>
      <c r="K3" s="245"/>
      <c r="L3" s="217" t="s">
        <v>9</v>
      </c>
      <c r="M3" s="219" t="s">
        <v>1</v>
      </c>
    </row>
    <row r="4" spans="1:13" s="2" customFormat="1" ht="21" customHeight="1" thickBot="1">
      <c r="A4" s="225"/>
      <c r="B4" s="223"/>
      <c r="C4" s="210"/>
      <c r="D4" s="212"/>
      <c r="E4" s="214"/>
      <c r="F4" s="212"/>
      <c r="G4" s="212"/>
      <c r="H4" s="5">
        <v>1</v>
      </c>
      <c r="I4" s="5">
        <v>2</v>
      </c>
      <c r="J4" s="5">
        <v>3</v>
      </c>
      <c r="K4" s="5" t="s">
        <v>662</v>
      </c>
      <c r="L4" s="218"/>
      <c r="M4" s="220"/>
    </row>
    <row r="5" spans="1:12" ht="15.75">
      <c r="A5"/>
      <c r="B5"/>
      <c r="C5" s="221" t="s">
        <v>122</v>
      </c>
      <c r="D5" s="221"/>
      <c r="E5" s="221"/>
      <c r="F5" s="221"/>
      <c r="G5" s="221"/>
      <c r="H5" s="221"/>
      <c r="I5" s="221"/>
      <c r="J5" s="221"/>
      <c r="K5" s="221"/>
      <c r="L5" s="221"/>
    </row>
    <row r="6" spans="1:13" ht="12.75">
      <c r="A6" s="42" t="s">
        <v>560</v>
      </c>
      <c r="B6" s="42" t="s">
        <v>565</v>
      </c>
      <c r="C6" s="22" t="s">
        <v>695</v>
      </c>
      <c r="D6" s="22" t="s">
        <v>654</v>
      </c>
      <c r="E6" s="22" t="s">
        <v>655</v>
      </c>
      <c r="F6" s="22" t="s">
        <v>29</v>
      </c>
      <c r="G6" s="22" t="s">
        <v>30</v>
      </c>
      <c r="H6" s="128" t="s">
        <v>75</v>
      </c>
      <c r="I6" s="128" t="s">
        <v>76</v>
      </c>
      <c r="J6" s="129" t="s">
        <v>154</v>
      </c>
      <c r="K6" s="130"/>
      <c r="L6" s="122">
        <v>100</v>
      </c>
      <c r="M6" s="22" t="s">
        <v>872</v>
      </c>
    </row>
    <row r="8" spans="1:12" ht="15.75">
      <c r="A8"/>
      <c r="B8"/>
      <c r="C8" s="216" t="s">
        <v>656</v>
      </c>
      <c r="D8" s="216"/>
      <c r="E8" s="216"/>
      <c r="F8" s="216"/>
      <c r="G8" s="216"/>
      <c r="H8" s="216"/>
      <c r="I8" s="216"/>
      <c r="J8" s="216"/>
      <c r="K8" s="216"/>
      <c r="L8" s="216"/>
    </row>
    <row r="9" spans="1:13" ht="12.75">
      <c r="A9" s="42" t="s">
        <v>560</v>
      </c>
      <c r="B9" s="42"/>
      <c r="C9" s="22" t="s">
        <v>860</v>
      </c>
      <c r="D9" s="22" t="s">
        <v>657</v>
      </c>
      <c r="E9" s="22" t="s">
        <v>658</v>
      </c>
      <c r="F9" s="22" t="s">
        <v>41</v>
      </c>
      <c r="G9" s="22" t="s">
        <v>448</v>
      </c>
      <c r="H9" s="128" t="s">
        <v>75</v>
      </c>
      <c r="I9" s="128" t="s">
        <v>154</v>
      </c>
      <c r="J9" s="128" t="s">
        <v>110</v>
      </c>
      <c r="K9" s="130"/>
      <c r="L9" s="122">
        <v>115</v>
      </c>
      <c r="M9" s="22" t="s">
        <v>872</v>
      </c>
    </row>
    <row r="11" spans="1:12" ht="15.75">
      <c r="A11"/>
      <c r="B11"/>
      <c r="C11" s="216" t="s">
        <v>659</v>
      </c>
      <c r="D11" s="216"/>
      <c r="E11" s="216"/>
      <c r="F11" s="216"/>
      <c r="G11" s="216"/>
      <c r="H11" s="216"/>
      <c r="I11" s="216"/>
      <c r="J11" s="216"/>
      <c r="K11" s="216"/>
      <c r="L11" s="216"/>
    </row>
    <row r="12" spans="1:13" ht="12.75">
      <c r="A12" s="42" t="s">
        <v>560</v>
      </c>
      <c r="B12" s="42" t="s">
        <v>568</v>
      </c>
      <c r="C12" s="22" t="s">
        <v>861</v>
      </c>
      <c r="D12" s="22" t="s">
        <v>660</v>
      </c>
      <c r="E12" s="22" t="s">
        <v>661</v>
      </c>
      <c r="F12" s="22" t="s">
        <v>29</v>
      </c>
      <c r="G12" s="22" t="s">
        <v>251</v>
      </c>
      <c r="H12" s="128" t="s">
        <v>75</v>
      </c>
      <c r="I12" s="128" t="s">
        <v>154</v>
      </c>
      <c r="J12" s="129" t="s">
        <v>33</v>
      </c>
      <c r="K12" s="130"/>
      <c r="L12" s="122">
        <v>110</v>
      </c>
      <c r="M12" s="22" t="s">
        <v>872</v>
      </c>
    </row>
    <row r="14" spans="1:12" ht="15.75">
      <c r="A14"/>
      <c r="B14"/>
      <c r="C14" s="216" t="s">
        <v>12</v>
      </c>
      <c r="D14" s="216"/>
      <c r="E14" s="216"/>
      <c r="F14" s="216"/>
      <c r="G14" s="216"/>
      <c r="H14" s="216"/>
      <c r="I14" s="216"/>
      <c r="J14" s="216"/>
      <c r="K14" s="216"/>
      <c r="L14" s="216"/>
    </row>
    <row r="15" spans="1:13" ht="12.75">
      <c r="A15" s="40" t="s">
        <v>560</v>
      </c>
      <c r="B15" s="40" t="s">
        <v>568</v>
      </c>
      <c r="C15" s="24" t="s">
        <v>771</v>
      </c>
      <c r="D15" s="24" t="s">
        <v>549</v>
      </c>
      <c r="E15" s="86" t="s">
        <v>255</v>
      </c>
      <c r="F15" s="24" t="s">
        <v>90</v>
      </c>
      <c r="G15" s="85" t="s">
        <v>30</v>
      </c>
      <c r="H15" s="132" t="s">
        <v>33</v>
      </c>
      <c r="I15" s="133" t="s">
        <v>34</v>
      </c>
      <c r="J15" s="133" t="s">
        <v>34</v>
      </c>
      <c r="K15" s="134"/>
      <c r="L15" s="123">
        <v>140</v>
      </c>
      <c r="M15" s="24" t="s">
        <v>872</v>
      </c>
    </row>
    <row r="16" spans="1:13" ht="12.75">
      <c r="A16" s="41" t="s">
        <v>561</v>
      </c>
      <c r="B16" s="41" t="s">
        <v>568</v>
      </c>
      <c r="C16" s="26" t="s">
        <v>256</v>
      </c>
      <c r="D16" s="26" t="s">
        <v>257</v>
      </c>
      <c r="E16" s="88" t="s">
        <v>258</v>
      </c>
      <c r="F16" s="26" t="s">
        <v>90</v>
      </c>
      <c r="G16" s="92" t="s">
        <v>30</v>
      </c>
      <c r="H16" s="140" t="s">
        <v>76</v>
      </c>
      <c r="I16" s="140" t="s">
        <v>110</v>
      </c>
      <c r="J16" s="140" t="s">
        <v>111</v>
      </c>
      <c r="K16" s="142"/>
      <c r="L16" s="125">
        <v>130</v>
      </c>
      <c r="M16" s="26" t="s">
        <v>689</v>
      </c>
    </row>
    <row r="19" ht="12.75">
      <c r="F19" s="21" t="s">
        <v>697</v>
      </c>
    </row>
  </sheetData>
  <sheetProtection/>
  <mergeCells count="15">
    <mergeCell ref="A3:A4"/>
    <mergeCell ref="M3:M4"/>
    <mergeCell ref="C5:L5"/>
    <mergeCell ref="C8:L8"/>
    <mergeCell ref="C11:L11"/>
    <mergeCell ref="C14:L14"/>
    <mergeCell ref="B3:B4"/>
    <mergeCell ref="C1:M2"/>
    <mergeCell ref="C3:C4"/>
    <mergeCell ref="D3:D4"/>
    <mergeCell ref="E3:E4"/>
    <mergeCell ref="F3:F4"/>
    <mergeCell ref="G3:G4"/>
    <mergeCell ref="H3:K3"/>
    <mergeCell ref="L3:L4"/>
  </mergeCells>
  <printOptions/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E1">
      <selection activeCell="Q13" sqref="Q13"/>
    </sheetView>
  </sheetViews>
  <sheetFormatPr defaultColWidth="8.75390625" defaultRowHeight="12.75"/>
  <cols>
    <col min="1" max="1" width="8.25390625" style="77" customWidth="1"/>
    <col min="2" max="2" width="14.125" style="77" customWidth="1"/>
    <col min="3" max="3" width="25.875" style="21" customWidth="1"/>
    <col min="4" max="4" width="26.25390625" style="21" customWidth="1"/>
    <col min="5" max="5" width="10.625" style="197" bestFit="1" customWidth="1"/>
    <col min="6" max="6" width="8.375" style="197" bestFit="1" customWidth="1"/>
    <col min="7" max="7" width="17.75390625" style="21" customWidth="1"/>
    <col min="8" max="8" width="26.875" style="21" customWidth="1"/>
    <col min="9" max="11" width="5.625" style="105" bestFit="1" customWidth="1"/>
    <col min="12" max="12" width="4.625" style="105" bestFit="1" customWidth="1"/>
    <col min="13" max="13" width="12.125" style="105" customWidth="1"/>
    <col min="14" max="14" width="12.375" style="105" customWidth="1"/>
    <col min="15" max="15" width="12.375" style="189" customWidth="1"/>
    <col min="16" max="16" width="9.625" style="105" bestFit="1" customWidth="1"/>
    <col min="17" max="17" width="25.875" style="21" customWidth="1"/>
  </cols>
  <sheetData>
    <row r="1" spans="3:17" s="1" customFormat="1" ht="15" customHeight="1">
      <c r="C1" s="204" t="s">
        <v>730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</row>
    <row r="2" spans="3:17" s="1" customFormat="1" ht="92.25" customHeight="1" thickBot="1"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s="2" customFormat="1" ht="12.75" customHeight="1">
      <c r="A3" s="224" t="s">
        <v>563</v>
      </c>
      <c r="B3" s="222" t="s">
        <v>564</v>
      </c>
      <c r="C3" s="209" t="s">
        <v>0</v>
      </c>
      <c r="D3" s="211" t="s">
        <v>5</v>
      </c>
      <c r="E3" s="213" t="s">
        <v>6</v>
      </c>
      <c r="F3" s="215" t="s">
        <v>663</v>
      </c>
      <c r="G3" s="215" t="s">
        <v>3</v>
      </c>
      <c r="H3" s="215" t="s">
        <v>7</v>
      </c>
      <c r="I3" s="215" t="s">
        <v>673</v>
      </c>
      <c r="J3" s="215"/>
      <c r="K3" s="215"/>
      <c r="L3" s="215"/>
      <c r="M3" s="215" t="s">
        <v>648</v>
      </c>
      <c r="N3" s="215"/>
      <c r="O3" s="211" t="s">
        <v>737</v>
      </c>
      <c r="P3" s="215" t="s">
        <v>2</v>
      </c>
      <c r="Q3" s="219" t="s">
        <v>1</v>
      </c>
    </row>
    <row r="4" spans="1:17" s="2" customFormat="1" ht="21" customHeight="1" thickBot="1">
      <c r="A4" s="225"/>
      <c r="B4" s="223"/>
      <c r="C4" s="210"/>
      <c r="D4" s="212"/>
      <c r="E4" s="214"/>
      <c r="F4" s="212"/>
      <c r="G4" s="212"/>
      <c r="H4" s="212"/>
      <c r="I4" s="5">
        <v>1</v>
      </c>
      <c r="J4" s="5">
        <v>2</v>
      </c>
      <c r="K4" s="5">
        <v>3</v>
      </c>
      <c r="L4" s="5" t="s">
        <v>4</v>
      </c>
      <c r="M4" s="5" t="s">
        <v>647</v>
      </c>
      <c r="N4" s="5" t="s">
        <v>664</v>
      </c>
      <c r="O4" s="246"/>
      <c r="P4" s="212"/>
      <c r="Q4" s="220"/>
    </row>
    <row r="5" spans="1:16" ht="15.75">
      <c r="A5"/>
      <c r="B5"/>
      <c r="C5" s="221" t="s">
        <v>86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</row>
    <row r="6" spans="1:17" ht="12.75">
      <c r="A6" s="74" t="s">
        <v>560</v>
      </c>
      <c r="B6" s="74" t="s">
        <v>582</v>
      </c>
      <c r="C6" s="24" t="s">
        <v>285</v>
      </c>
      <c r="D6" s="24" t="s">
        <v>665</v>
      </c>
      <c r="E6" s="195" t="s">
        <v>106</v>
      </c>
      <c r="F6" s="195" t="str">
        <f>"1,1192"</f>
        <v>1,1192</v>
      </c>
      <c r="G6" s="24" t="s">
        <v>90</v>
      </c>
      <c r="H6" s="24" t="s">
        <v>30</v>
      </c>
      <c r="I6" s="132" t="s">
        <v>76</v>
      </c>
      <c r="J6" s="132" t="s">
        <v>84</v>
      </c>
      <c r="K6" s="132" t="s">
        <v>154</v>
      </c>
      <c r="L6" s="134"/>
      <c r="M6" s="135" t="s">
        <v>70</v>
      </c>
      <c r="N6" s="135" t="s">
        <v>828</v>
      </c>
      <c r="O6" s="186">
        <v>135</v>
      </c>
      <c r="P6" s="135" t="str">
        <f>"7834,3999"</f>
        <v>7834,3999</v>
      </c>
      <c r="Q6" s="24" t="s">
        <v>681</v>
      </c>
    </row>
    <row r="7" spans="1:17" ht="12.75">
      <c r="A7" s="75" t="s">
        <v>560</v>
      </c>
      <c r="B7" s="75" t="s">
        <v>582</v>
      </c>
      <c r="C7" s="26" t="s">
        <v>285</v>
      </c>
      <c r="D7" s="26" t="s">
        <v>290</v>
      </c>
      <c r="E7" s="196" t="s">
        <v>106</v>
      </c>
      <c r="F7" s="196" t="str">
        <f>"1,1192"</f>
        <v>1,1192</v>
      </c>
      <c r="G7" s="26" t="s">
        <v>90</v>
      </c>
      <c r="H7" s="26" t="s">
        <v>30</v>
      </c>
      <c r="I7" s="140" t="s">
        <v>76</v>
      </c>
      <c r="J7" s="140" t="s">
        <v>84</v>
      </c>
      <c r="K7" s="140" t="s">
        <v>154</v>
      </c>
      <c r="L7" s="142"/>
      <c r="M7" s="143" t="s">
        <v>70</v>
      </c>
      <c r="N7" s="143" t="s">
        <v>828</v>
      </c>
      <c r="O7" s="187">
        <v>135</v>
      </c>
      <c r="P7" s="143" t="str">
        <f>"7834,3999"</f>
        <v>7834,3999</v>
      </c>
      <c r="Q7" s="26" t="s">
        <v>681</v>
      </c>
    </row>
    <row r="9" spans="1:16" ht="15.75">
      <c r="A9"/>
      <c r="B9"/>
      <c r="C9" s="216" t="s">
        <v>656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</row>
    <row r="10" spans="1:17" ht="12.75">
      <c r="A10" s="76" t="s">
        <v>560</v>
      </c>
      <c r="B10" s="76" t="s">
        <v>568</v>
      </c>
      <c r="C10" s="22" t="s">
        <v>862</v>
      </c>
      <c r="D10" s="22" t="s">
        <v>666</v>
      </c>
      <c r="E10" s="198" t="s">
        <v>667</v>
      </c>
      <c r="F10" s="198" t="str">
        <f>"0,7527"</f>
        <v>0,7527</v>
      </c>
      <c r="G10" s="22" t="s">
        <v>15</v>
      </c>
      <c r="H10" s="22" t="s">
        <v>30</v>
      </c>
      <c r="I10" s="128" t="s">
        <v>84</v>
      </c>
      <c r="J10" s="129" t="s">
        <v>154</v>
      </c>
      <c r="K10" s="129" t="s">
        <v>154</v>
      </c>
      <c r="L10" s="130"/>
      <c r="M10" s="131" t="s">
        <v>71</v>
      </c>
      <c r="N10" s="131" t="s">
        <v>578</v>
      </c>
      <c r="O10" s="188">
        <v>125</v>
      </c>
      <c r="P10" s="131" t="str">
        <f>"5058,1438"</f>
        <v>5058,1438</v>
      </c>
      <c r="Q10" s="22" t="s">
        <v>872</v>
      </c>
    </row>
    <row r="12" spans="1:16" ht="15.75">
      <c r="A12"/>
      <c r="B12"/>
      <c r="C12" s="216" t="s">
        <v>194</v>
      </c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</row>
    <row r="13" spans="1:17" ht="12.75">
      <c r="A13" s="76" t="s">
        <v>560</v>
      </c>
      <c r="B13" s="76" t="s">
        <v>568</v>
      </c>
      <c r="C13" s="22" t="s">
        <v>863</v>
      </c>
      <c r="D13" s="22" t="s">
        <v>668</v>
      </c>
      <c r="E13" s="198" t="s">
        <v>669</v>
      </c>
      <c r="F13" s="198" t="str">
        <f>"0,6417"</f>
        <v>0,6417</v>
      </c>
      <c r="G13" s="22" t="s">
        <v>15</v>
      </c>
      <c r="H13" s="22" t="s">
        <v>30</v>
      </c>
      <c r="I13" s="128" t="s">
        <v>119</v>
      </c>
      <c r="J13" s="129" t="s">
        <v>403</v>
      </c>
      <c r="K13" s="129" t="s">
        <v>403</v>
      </c>
      <c r="L13" s="130"/>
      <c r="M13" s="131" t="s">
        <v>75</v>
      </c>
      <c r="N13" s="131" t="s">
        <v>865</v>
      </c>
      <c r="O13" s="188">
        <v>139</v>
      </c>
      <c r="P13" s="131" t="str">
        <f>"5112,1033"</f>
        <v>5112,1033</v>
      </c>
      <c r="Q13" s="22" t="s">
        <v>872</v>
      </c>
    </row>
    <row r="15" spans="1:16" ht="15.75">
      <c r="A15"/>
      <c r="B15"/>
      <c r="C15" s="216" t="s">
        <v>12</v>
      </c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</row>
    <row r="16" spans="1:17" ht="12.75">
      <c r="A16" s="76" t="s">
        <v>560</v>
      </c>
      <c r="B16" s="76" t="s">
        <v>568</v>
      </c>
      <c r="C16" s="22" t="s">
        <v>864</v>
      </c>
      <c r="D16" s="22" t="s">
        <v>670</v>
      </c>
      <c r="E16" s="198" t="s">
        <v>671</v>
      </c>
      <c r="F16" s="198" t="str">
        <f>"0,6147"</f>
        <v>0,6147</v>
      </c>
      <c r="G16" s="22" t="s">
        <v>15</v>
      </c>
      <c r="H16" s="22" t="s">
        <v>30</v>
      </c>
      <c r="I16" s="128" t="s">
        <v>20</v>
      </c>
      <c r="J16" s="128" t="s">
        <v>21</v>
      </c>
      <c r="K16" s="129" t="s">
        <v>440</v>
      </c>
      <c r="L16" s="130"/>
      <c r="M16" s="131" t="s">
        <v>76</v>
      </c>
      <c r="N16" s="131" t="s">
        <v>578</v>
      </c>
      <c r="O16" s="188">
        <v>172.5</v>
      </c>
      <c r="P16" s="131" t="str">
        <f>"6162,3677"</f>
        <v>6162,3677</v>
      </c>
      <c r="Q16" s="22" t="s">
        <v>26</v>
      </c>
    </row>
    <row r="18" ht="15.75">
      <c r="G18" s="27"/>
    </row>
  </sheetData>
  <sheetProtection/>
  <mergeCells count="18">
    <mergeCell ref="A3:A4"/>
    <mergeCell ref="B3:B4"/>
    <mergeCell ref="P3:P4"/>
    <mergeCell ref="Q3:Q4"/>
    <mergeCell ref="C5:P5"/>
    <mergeCell ref="C9:P9"/>
    <mergeCell ref="M3:N3"/>
    <mergeCell ref="O3:O4"/>
    <mergeCell ref="C12:P12"/>
    <mergeCell ref="C15:P15"/>
    <mergeCell ref="C1:Q2"/>
    <mergeCell ref="C3:C4"/>
    <mergeCell ref="D3:D4"/>
    <mergeCell ref="E3:E4"/>
    <mergeCell ref="F3:F4"/>
    <mergeCell ref="G3:G4"/>
    <mergeCell ref="H3:H4"/>
    <mergeCell ref="I3:L3"/>
  </mergeCells>
  <printOptions/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D7" sqref="D7"/>
    </sheetView>
  </sheetViews>
  <sheetFormatPr defaultColWidth="8.75390625" defaultRowHeight="12.75"/>
  <cols>
    <col min="1" max="1" width="8.25390625" style="77" customWidth="1"/>
    <col min="2" max="2" width="14.125" style="77" customWidth="1"/>
    <col min="3" max="3" width="28.125" style="21" customWidth="1"/>
    <col min="4" max="4" width="26.625" style="21" customWidth="1"/>
    <col min="5" max="5" width="10.625" style="104" bestFit="1" customWidth="1"/>
    <col min="6" max="6" width="8.375" style="104" bestFit="1" customWidth="1"/>
    <col min="7" max="7" width="21.00390625" style="21" customWidth="1"/>
    <col min="8" max="8" width="27.375" style="21" customWidth="1"/>
    <col min="9" max="11" width="5.625" style="105" bestFit="1" customWidth="1"/>
    <col min="12" max="12" width="4.625" style="105" bestFit="1" customWidth="1"/>
    <col min="13" max="13" width="14.125" style="189" customWidth="1"/>
    <col min="14" max="14" width="9.625" style="105" bestFit="1" customWidth="1"/>
    <col min="15" max="15" width="29.875" style="21" bestFit="1" customWidth="1"/>
  </cols>
  <sheetData>
    <row r="1" spans="3:15" s="1" customFormat="1" ht="15" customHeight="1">
      <c r="C1" s="204" t="s">
        <v>731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3:15" s="1" customFormat="1" ht="92.25" customHeight="1" thickBot="1"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s="2" customFormat="1" ht="12.75" customHeight="1">
      <c r="A3" s="224" t="s">
        <v>563</v>
      </c>
      <c r="B3" s="222" t="s">
        <v>564</v>
      </c>
      <c r="C3" s="209" t="s">
        <v>0</v>
      </c>
      <c r="D3" s="211" t="s">
        <v>5</v>
      </c>
      <c r="E3" s="213" t="s">
        <v>6</v>
      </c>
      <c r="F3" s="215" t="s">
        <v>663</v>
      </c>
      <c r="G3" s="215" t="s">
        <v>3</v>
      </c>
      <c r="H3" s="215" t="s">
        <v>7</v>
      </c>
      <c r="I3" s="215" t="s">
        <v>673</v>
      </c>
      <c r="J3" s="215"/>
      <c r="K3" s="215"/>
      <c r="L3" s="215"/>
      <c r="M3" s="211" t="s">
        <v>9</v>
      </c>
      <c r="N3" s="215" t="s">
        <v>2</v>
      </c>
      <c r="O3" s="219" t="s">
        <v>1</v>
      </c>
    </row>
    <row r="4" spans="1:15" s="2" customFormat="1" ht="21" customHeight="1" thickBot="1">
      <c r="A4" s="225"/>
      <c r="B4" s="223"/>
      <c r="C4" s="210"/>
      <c r="D4" s="212"/>
      <c r="E4" s="214"/>
      <c r="F4" s="212"/>
      <c r="G4" s="212"/>
      <c r="H4" s="212"/>
      <c r="I4" s="5">
        <v>1</v>
      </c>
      <c r="J4" s="5">
        <v>2</v>
      </c>
      <c r="K4" s="5">
        <v>3</v>
      </c>
      <c r="L4" s="5" t="s">
        <v>4</v>
      </c>
      <c r="M4" s="246"/>
      <c r="N4" s="212"/>
      <c r="O4" s="220"/>
    </row>
    <row r="5" spans="1:14" ht="15.75">
      <c r="A5"/>
      <c r="B5"/>
      <c r="C5" s="221" t="s">
        <v>86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</row>
    <row r="6" spans="1:15" ht="12.75">
      <c r="A6" s="74" t="s">
        <v>560</v>
      </c>
      <c r="B6" s="74" t="s">
        <v>582</v>
      </c>
      <c r="C6" s="24" t="s">
        <v>285</v>
      </c>
      <c r="D6" s="24" t="s">
        <v>665</v>
      </c>
      <c r="E6" s="195" t="s">
        <v>106</v>
      </c>
      <c r="F6" s="195" t="str">
        <f>"1,1192"</f>
        <v>1,1192</v>
      </c>
      <c r="G6" s="24" t="s">
        <v>90</v>
      </c>
      <c r="H6" s="24" t="s">
        <v>30</v>
      </c>
      <c r="I6" s="132" t="s">
        <v>76</v>
      </c>
      <c r="J6" s="132" t="s">
        <v>84</v>
      </c>
      <c r="K6" s="132" t="s">
        <v>154</v>
      </c>
      <c r="L6" s="134"/>
      <c r="M6" s="190" t="s">
        <v>154</v>
      </c>
      <c r="N6" s="135" t="str">
        <f>"123,1120"</f>
        <v>123,1120</v>
      </c>
      <c r="O6" s="85" t="s">
        <v>681</v>
      </c>
    </row>
    <row r="7" spans="1:15" ht="12.75">
      <c r="A7" s="75" t="s">
        <v>560</v>
      </c>
      <c r="B7" s="75" t="s">
        <v>582</v>
      </c>
      <c r="C7" s="26" t="s">
        <v>285</v>
      </c>
      <c r="D7" s="26" t="s">
        <v>290</v>
      </c>
      <c r="E7" s="196" t="s">
        <v>106</v>
      </c>
      <c r="F7" s="196" t="str">
        <f>"1,1192"</f>
        <v>1,1192</v>
      </c>
      <c r="G7" s="26" t="s">
        <v>90</v>
      </c>
      <c r="H7" s="26" t="s">
        <v>30</v>
      </c>
      <c r="I7" s="140" t="s">
        <v>76</v>
      </c>
      <c r="J7" s="140" t="s">
        <v>84</v>
      </c>
      <c r="K7" s="140" t="s">
        <v>154</v>
      </c>
      <c r="L7" s="142"/>
      <c r="M7" s="191" t="s">
        <v>154</v>
      </c>
      <c r="N7" s="143" t="str">
        <f>"123,1120"</f>
        <v>123,1120</v>
      </c>
      <c r="O7" s="92" t="s">
        <v>681</v>
      </c>
    </row>
    <row r="11" ht="12.75">
      <c r="D11" s="21" t="s">
        <v>693</v>
      </c>
    </row>
  </sheetData>
  <sheetProtection/>
  <mergeCells count="14">
    <mergeCell ref="C1:O2"/>
    <mergeCell ref="A3:A4"/>
    <mergeCell ref="B3:B4"/>
    <mergeCell ref="C3:C4"/>
    <mergeCell ref="D3:D4"/>
    <mergeCell ref="E3:E4"/>
    <mergeCell ref="F3:F4"/>
    <mergeCell ref="G3:G4"/>
    <mergeCell ref="H3:H4"/>
    <mergeCell ref="I3:L3"/>
    <mergeCell ref="M3:M4"/>
    <mergeCell ref="N3:N4"/>
    <mergeCell ref="O3:O4"/>
    <mergeCell ref="C5:N5"/>
  </mergeCells>
  <printOptions/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D1">
      <selection activeCell="E6" sqref="E6:F7"/>
    </sheetView>
  </sheetViews>
  <sheetFormatPr defaultColWidth="8.75390625" defaultRowHeight="12.75"/>
  <cols>
    <col min="1" max="1" width="8.25390625" style="77" customWidth="1"/>
    <col min="2" max="2" width="14.125" style="77" customWidth="1"/>
    <col min="3" max="3" width="27.75390625" style="21" customWidth="1"/>
    <col min="4" max="4" width="26.25390625" style="21" customWidth="1"/>
    <col min="5" max="5" width="10.625" style="104" bestFit="1" customWidth="1"/>
    <col min="6" max="6" width="8.375" style="104" bestFit="1" customWidth="1"/>
    <col min="7" max="7" width="20.125" style="21" customWidth="1"/>
    <col min="8" max="8" width="27.00390625" style="21" customWidth="1"/>
    <col min="9" max="9" width="11.75390625" style="105" customWidth="1"/>
    <col min="10" max="10" width="13.125" style="105" customWidth="1"/>
    <col min="11" max="11" width="11.75390625" style="192" customWidth="1"/>
    <col min="12" max="12" width="9.625" style="105" bestFit="1" customWidth="1"/>
    <col min="13" max="13" width="21.625" style="21" customWidth="1"/>
  </cols>
  <sheetData>
    <row r="1" spans="3:13" s="1" customFormat="1" ht="15" customHeight="1">
      <c r="C1" s="204" t="s">
        <v>732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3:13" s="1" customFormat="1" ht="92.25" customHeight="1" thickBot="1"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3" s="2" customFormat="1" ht="12.75" customHeight="1">
      <c r="A3" s="224" t="s">
        <v>563</v>
      </c>
      <c r="B3" s="222" t="s">
        <v>564</v>
      </c>
      <c r="C3" s="209" t="s">
        <v>0</v>
      </c>
      <c r="D3" s="211" t="s">
        <v>5</v>
      </c>
      <c r="E3" s="213" t="s">
        <v>6</v>
      </c>
      <c r="F3" s="215" t="s">
        <v>663</v>
      </c>
      <c r="G3" s="215" t="s">
        <v>3</v>
      </c>
      <c r="H3" s="215" t="s">
        <v>7</v>
      </c>
      <c r="I3" s="215" t="s">
        <v>648</v>
      </c>
      <c r="J3" s="215"/>
      <c r="K3" s="247" t="s">
        <v>649</v>
      </c>
      <c r="L3" s="215" t="s">
        <v>2</v>
      </c>
      <c r="M3" s="219" t="s">
        <v>1</v>
      </c>
    </row>
    <row r="4" spans="1:13" s="2" customFormat="1" ht="21" customHeight="1" thickBot="1">
      <c r="A4" s="225"/>
      <c r="B4" s="223"/>
      <c r="C4" s="210"/>
      <c r="D4" s="212"/>
      <c r="E4" s="214"/>
      <c r="F4" s="212"/>
      <c r="G4" s="212"/>
      <c r="H4" s="212"/>
      <c r="I4" s="5" t="s">
        <v>647</v>
      </c>
      <c r="J4" s="5" t="s">
        <v>664</v>
      </c>
      <c r="K4" s="248"/>
      <c r="L4" s="212"/>
      <c r="M4" s="220"/>
    </row>
    <row r="5" spans="1:12" ht="15.75">
      <c r="A5"/>
      <c r="B5"/>
      <c r="C5" s="221" t="s">
        <v>86</v>
      </c>
      <c r="D5" s="221"/>
      <c r="E5" s="221"/>
      <c r="F5" s="221"/>
      <c r="G5" s="221"/>
      <c r="H5" s="221"/>
      <c r="I5" s="221"/>
      <c r="J5" s="221"/>
      <c r="K5" s="221"/>
      <c r="L5" s="221"/>
    </row>
    <row r="6" spans="1:13" ht="12.75">
      <c r="A6" s="74" t="s">
        <v>560</v>
      </c>
      <c r="B6" s="74" t="s">
        <v>582</v>
      </c>
      <c r="C6" s="24" t="s">
        <v>285</v>
      </c>
      <c r="D6" s="24" t="s">
        <v>665</v>
      </c>
      <c r="E6" s="195" t="s">
        <v>106</v>
      </c>
      <c r="F6" s="195" t="str">
        <f>"1,1192"</f>
        <v>1,1192</v>
      </c>
      <c r="G6" s="24" t="s">
        <v>90</v>
      </c>
      <c r="H6" s="24" t="s">
        <v>30</v>
      </c>
      <c r="I6" s="135" t="s">
        <v>70</v>
      </c>
      <c r="J6" s="135" t="s">
        <v>828</v>
      </c>
      <c r="K6" s="123">
        <v>1500</v>
      </c>
      <c r="L6" s="135" t="str">
        <f>"1678,8000"</f>
        <v>1678,8000</v>
      </c>
      <c r="M6" s="24" t="s">
        <v>681</v>
      </c>
    </row>
    <row r="7" spans="1:13" ht="12.75">
      <c r="A7" s="75" t="s">
        <v>560</v>
      </c>
      <c r="B7" s="75" t="s">
        <v>582</v>
      </c>
      <c r="C7" s="26" t="s">
        <v>285</v>
      </c>
      <c r="D7" s="26" t="s">
        <v>290</v>
      </c>
      <c r="E7" s="196" t="s">
        <v>106</v>
      </c>
      <c r="F7" s="196" t="str">
        <f>"1,1192"</f>
        <v>1,1192</v>
      </c>
      <c r="G7" s="26" t="s">
        <v>90</v>
      </c>
      <c r="H7" s="26" t="s">
        <v>30</v>
      </c>
      <c r="I7" s="143" t="s">
        <v>70</v>
      </c>
      <c r="J7" s="143" t="s">
        <v>828</v>
      </c>
      <c r="K7" s="125">
        <v>1500</v>
      </c>
      <c r="L7" s="143" t="str">
        <f>"1678,8000"</f>
        <v>1678,8000</v>
      </c>
      <c r="M7" s="26" t="s">
        <v>681</v>
      </c>
    </row>
  </sheetData>
  <sheetProtection/>
  <mergeCells count="14">
    <mergeCell ref="I3:J3"/>
    <mergeCell ref="K3:K4"/>
    <mergeCell ref="L3:L4"/>
    <mergeCell ref="M3:M4"/>
    <mergeCell ref="C5:L5"/>
    <mergeCell ref="C1:M2"/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E1">
      <selection activeCell="E6" sqref="E6:F7"/>
    </sheetView>
  </sheetViews>
  <sheetFormatPr defaultColWidth="8.75390625" defaultRowHeight="12.75"/>
  <cols>
    <col min="1" max="1" width="8.25390625" style="77" customWidth="1"/>
    <col min="2" max="2" width="14.125" style="77" customWidth="1"/>
    <col min="3" max="3" width="26.625" style="197" customWidth="1"/>
    <col min="4" max="4" width="26.875" style="197" customWidth="1"/>
    <col min="5" max="5" width="10.625" style="197" bestFit="1" customWidth="1"/>
    <col min="6" max="6" width="8.375" style="197" bestFit="1" customWidth="1"/>
    <col min="7" max="7" width="22.75390625" style="197" bestFit="1" customWidth="1"/>
    <col min="8" max="8" width="28.125" style="197" bestFit="1" customWidth="1"/>
    <col min="9" max="11" width="5.625" style="105" bestFit="1" customWidth="1"/>
    <col min="12" max="12" width="4.625" style="105" bestFit="1" customWidth="1"/>
    <col min="13" max="14" width="13.125" style="105" customWidth="1"/>
    <col min="15" max="15" width="14.125" style="189" customWidth="1"/>
    <col min="16" max="16" width="9.625" style="105" bestFit="1" customWidth="1"/>
    <col min="17" max="17" width="29.875" style="21" bestFit="1" customWidth="1"/>
  </cols>
  <sheetData>
    <row r="1" spans="3:17" s="1" customFormat="1" ht="15" customHeight="1">
      <c r="C1" s="204" t="s">
        <v>733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</row>
    <row r="2" spans="3:17" s="1" customFormat="1" ht="92.25" customHeight="1" thickBot="1"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s="2" customFormat="1" ht="12.75" customHeight="1">
      <c r="A3" s="224" t="s">
        <v>563</v>
      </c>
      <c r="B3" s="222" t="s">
        <v>564</v>
      </c>
      <c r="C3" s="209" t="s">
        <v>0</v>
      </c>
      <c r="D3" s="211" t="s">
        <v>5</v>
      </c>
      <c r="E3" s="213" t="s">
        <v>6</v>
      </c>
      <c r="F3" s="215" t="s">
        <v>663</v>
      </c>
      <c r="G3" s="215" t="s">
        <v>3</v>
      </c>
      <c r="H3" s="215" t="s">
        <v>7</v>
      </c>
      <c r="I3" s="215" t="s">
        <v>673</v>
      </c>
      <c r="J3" s="215"/>
      <c r="K3" s="215"/>
      <c r="L3" s="215"/>
      <c r="M3" s="215" t="s">
        <v>648</v>
      </c>
      <c r="N3" s="215"/>
      <c r="O3" s="211" t="s">
        <v>737</v>
      </c>
      <c r="P3" s="215" t="s">
        <v>2</v>
      </c>
      <c r="Q3" s="219" t="s">
        <v>1</v>
      </c>
    </row>
    <row r="4" spans="1:17" s="2" customFormat="1" ht="21" customHeight="1" thickBot="1">
      <c r="A4" s="225"/>
      <c r="B4" s="223"/>
      <c r="C4" s="210"/>
      <c r="D4" s="212"/>
      <c r="E4" s="214"/>
      <c r="F4" s="212"/>
      <c r="G4" s="212"/>
      <c r="H4" s="212"/>
      <c r="I4" s="5">
        <v>1</v>
      </c>
      <c r="J4" s="5">
        <v>2</v>
      </c>
      <c r="K4" s="5">
        <v>3</v>
      </c>
      <c r="L4" s="5" t="s">
        <v>4</v>
      </c>
      <c r="M4" s="5" t="s">
        <v>647</v>
      </c>
      <c r="N4" s="5" t="s">
        <v>664</v>
      </c>
      <c r="O4" s="246"/>
      <c r="P4" s="212"/>
      <c r="Q4" s="220"/>
    </row>
    <row r="5" spans="1:16" ht="15.75">
      <c r="A5"/>
      <c r="B5"/>
      <c r="C5" s="221" t="s">
        <v>86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</row>
    <row r="6" spans="1:17" ht="12.75">
      <c r="A6" s="74" t="s">
        <v>560</v>
      </c>
      <c r="B6" s="74" t="s">
        <v>582</v>
      </c>
      <c r="C6" s="195" t="s">
        <v>285</v>
      </c>
      <c r="D6" s="195" t="s">
        <v>665</v>
      </c>
      <c r="E6" s="193" t="s">
        <v>106</v>
      </c>
      <c r="F6" s="193" t="str">
        <f>"1,1192"</f>
        <v>1,1192</v>
      </c>
      <c r="G6" s="195" t="s">
        <v>90</v>
      </c>
      <c r="H6" s="195" t="s">
        <v>30</v>
      </c>
      <c r="I6" s="132" t="s">
        <v>76</v>
      </c>
      <c r="J6" s="132" t="s">
        <v>84</v>
      </c>
      <c r="K6" s="132" t="s">
        <v>154</v>
      </c>
      <c r="L6" s="134"/>
      <c r="M6" s="135" t="s">
        <v>70</v>
      </c>
      <c r="N6" s="135" t="s">
        <v>828</v>
      </c>
      <c r="O6" s="186">
        <v>135</v>
      </c>
      <c r="P6" s="135" t="str">
        <f>"7834,3999"</f>
        <v>7834,3999</v>
      </c>
      <c r="Q6" s="24" t="s">
        <v>681</v>
      </c>
    </row>
    <row r="7" spans="1:17" ht="12.75">
      <c r="A7" s="75" t="s">
        <v>560</v>
      </c>
      <c r="B7" s="75" t="s">
        <v>582</v>
      </c>
      <c r="C7" s="196" t="s">
        <v>285</v>
      </c>
      <c r="D7" s="196" t="s">
        <v>290</v>
      </c>
      <c r="E7" s="194" t="s">
        <v>106</v>
      </c>
      <c r="F7" s="194" t="str">
        <f>"1,1192"</f>
        <v>1,1192</v>
      </c>
      <c r="G7" s="196" t="s">
        <v>90</v>
      </c>
      <c r="H7" s="196" t="s">
        <v>30</v>
      </c>
      <c r="I7" s="140" t="s">
        <v>76</v>
      </c>
      <c r="J7" s="140" t="s">
        <v>84</v>
      </c>
      <c r="K7" s="140" t="s">
        <v>154</v>
      </c>
      <c r="L7" s="142"/>
      <c r="M7" s="143" t="s">
        <v>70</v>
      </c>
      <c r="N7" s="143" t="s">
        <v>828</v>
      </c>
      <c r="O7" s="187">
        <v>135</v>
      </c>
      <c r="P7" s="143" t="str">
        <f>"7834,3999"</f>
        <v>7834,3999</v>
      </c>
      <c r="Q7" s="26" t="s">
        <v>681</v>
      </c>
    </row>
    <row r="11" ht="12.75">
      <c r="E11" s="197" t="s">
        <v>697</v>
      </c>
    </row>
  </sheetData>
  <sheetProtection/>
  <mergeCells count="15">
    <mergeCell ref="M3:N3"/>
    <mergeCell ref="O3:O4"/>
    <mergeCell ref="P3:P4"/>
    <mergeCell ref="Q3:Q4"/>
    <mergeCell ref="C5:P5"/>
    <mergeCell ref="C1:Q2"/>
    <mergeCell ref="G3:G4"/>
    <mergeCell ref="H3:H4"/>
    <mergeCell ref="I3:L3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C1">
      <selection activeCell="H13" sqref="H13"/>
    </sheetView>
  </sheetViews>
  <sheetFormatPr defaultColWidth="8.75390625" defaultRowHeight="12.75"/>
  <cols>
    <col min="1" max="1" width="8.25390625" style="77" customWidth="1"/>
    <col min="2" max="2" width="14.125" style="77" customWidth="1"/>
    <col min="3" max="3" width="27.375" style="21" customWidth="1"/>
    <col min="4" max="4" width="26.625" style="21" customWidth="1"/>
    <col min="5" max="5" width="10.625" style="104" bestFit="1" customWidth="1"/>
    <col min="6" max="6" width="8.375" style="104" bestFit="1" customWidth="1"/>
    <col min="7" max="7" width="22.75390625" style="21" bestFit="1" customWidth="1"/>
    <col min="8" max="8" width="28.125" style="21" bestFit="1" customWidth="1"/>
    <col min="9" max="11" width="5.625" style="35" bestFit="1" customWidth="1"/>
    <col min="12" max="12" width="4.625" style="35" bestFit="1" customWidth="1"/>
    <col min="13" max="13" width="14.125" style="77" customWidth="1"/>
    <col min="14" max="14" width="9.625" style="35" bestFit="1" customWidth="1"/>
    <col min="15" max="15" width="29.875" style="21" bestFit="1" customWidth="1"/>
  </cols>
  <sheetData>
    <row r="1" spans="3:15" s="1" customFormat="1" ht="15" customHeight="1">
      <c r="C1" s="204" t="s">
        <v>877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3:15" s="1" customFormat="1" ht="92.25" customHeight="1" thickBot="1"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s="2" customFormat="1" ht="12.75" customHeight="1">
      <c r="A3" s="224" t="s">
        <v>563</v>
      </c>
      <c r="B3" s="222" t="s">
        <v>564</v>
      </c>
      <c r="C3" s="209" t="s">
        <v>0</v>
      </c>
      <c r="D3" s="211" t="s">
        <v>5</v>
      </c>
      <c r="E3" s="213" t="s">
        <v>6</v>
      </c>
      <c r="F3" s="215" t="s">
        <v>663</v>
      </c>
      <c r="G3" s="215" t="s">
        <v>3</v>
      </c>
      <c r="H3" s="215" t="s">
        <v>7</v>
      </c>
      <c r="I3" s="215" t="s">
        <v>673</v>
      </c>
      <c r="J3" s="215"/>
      <c r="K3" s="215"/>
      <c r="L3" s="215"/>
      <c r="M3" s="211" t="s">
        <v>9</v>
      </c>
      <c r="N3" s="215" t="s">
        <v>2</v>
      </c>
      <c r="O3" s="219" t="s">
        <v>1</v>
      </c>
    </row>
    <row r="4" spans="1:15" s="2" customFormat="1" ht="21" customHeight="1" thickBot="1">
      <c r="A4" s="225"/>
      <c r="B4" s="223"/>
      <c r="C4" s="210"/>
      <c r="D4" s="212"/>
      <c r="E4" s="214"/>
      <c r="F4" s="212"/>
      <c r="G4" s="212"/>
      <c r="H4" s="212"/>
      <c r="I4" s="5">
        <v>1</v>
      </c>
      <c r="J4" s="5">
        <v>2</v>
      </c>
      <c r="K4" s="5">
        <v>3</v>
      </c>
      <c r="L4" s="5" t="s">
        <v>4</v>
      </c>
      <c r="M4" s="246"/>
      <c r="N4" s="212"/>
      <c r="O4" s="220"/>
    </row>
    <row r="5" spans="1:14" ht="15.75">
      <c r="A5"/>
      <c r="B5"/>
      <c r="C5" s="221" t="s">
        <v>86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</row>
    <row r="6" spans="1:15" ht="12.75">
      <c r="A6" s="74" t="s">
        <v>560</v>
      </c>
      <c r="B6" s="74" t="s">
        <v>582</v>
      </c>
      <c r="C6" s="24" t="s">
        <v>285</v>
      </c>
      <c r="D6" s="24" t="s">
        <v>665</v>
      </c>
      <c r="E6" s="195" t="s">
        <v>106</v>
      </c>
      <c r="F6" s="195" t="str">
        <f>"1,1192"</f>
        <v>1,1192</v>
      </c>
      <c r="G6" s="24" t="s">
        <v>90</v>
      </c>
      <c r="H6" s="24" t="s">
        <v>30</v>
      </c>
      <c r="I6" s="110" t="s">
        <v>76</v>
      </c>
      <c r="J6" s="110" t="s">
        <v>84</v>
      </c>
      <c r="K6" s="110" t="s">
        <v>154</v>
      </c>
      <c r="L6" s="112"/>
      <c r="M6" s="93" t="s">
        <v>154</v>
      </c>
      <c r="N6" s="113" t="str">
        <f>"123,1120"</f>
        <v>123,1120</v>
      </c>
      <c r="O6" s="85" t="s">
        <v>681</v>
      </c>
    </row>
    <row r="7" spans="1:15" ht="12.75">
      <c r="A7" s="75" t="s">
        <v>560</v>
      </c>
      <c r="B7" s="75" t="s">
        <v>582</v>
      </c>
      <c r="C7" s="26" t="s">
        <v>285</v>
      </c>
      <c r="D7" s="26" t="s">
        <v>290</v>
      </c>
      <c r="E7" s="196" t="s">
        <v>106</v>
      </c>
      <c r="F7" s="196" t="str">
        <f>"1,1192"</f>
        <v>1,1192</v>
      </c>
      <c r="G7" s="26" t="s">
        <v>90</v>
      </c>
      <c r="H7" s="26" t="s">
        <v>30</v>
      </c>
      <c r="I7" s="118" t="s">
        <v>76</v>
      </c>
      <c r="J7" s="118" t="s">
        <v>84</v>
      </c>
      <c r="K7" s="118" t="s">
        <v>154</v>
      </c>
      <c r="L7" s="120"/>
      <c r="M7" s="94" t="s">
        <v>154</v>
      </c>
      <c r="N7" s="121" t="str">
        <f>"123,1120"</f>
        <v>123,1120</v>
      </c>
      <c r="O7" s="92" t="s">
        <v>681</v>
      </c>
    </row>
  </sheetData>
  <sheetProtection/>
  <mergeCells count="14">
    <mergeCell ref="C1:O2"/>
    <mergeCell ref="A3:A4"/>
    <mergeCell ref="B3:B4"/>
    <mergeCell ref="C3:C4"/>
    <mergeCell ref="D3:D4"/>
    <mergeCell ref="E3:E4"/>
    <mergeCell ref="F3:F4"/>
    <mergeCell ref="G3:G4"/>
    <mergeCell ref="H3:H4"/>
    <mergeCell ref="I3:L3"/>
    <mergeCell ref="M3:M4"/>
    <mergeCell ref="N3:N4"/>
    <mergeCell ref="O3:O4"/>
    <mergeCell ref="C5:N5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E1">
      <selection activeCell="W6" sqref="W6"/>
    </sheetView>
  </sheetViews>
  <sheetFormatPr defaultColWidth="8.75390625" defaultRowHeight="12.75"/>
  <cols>
    <col min="1" max="1" width="11.25390625" style="43" bestFit="1" customWidth="1"/>
    <col min="2" max="2" width="13.75390625" style="43" customWidth="1"/>
    <col min="3" max="3" width="26.00390625" style="21" bestFit="1" customWidth="1"/>
    <col min="4" max="4" width="26.75390625" style="21" customWidth="1"/>
    <col min="5" max="5" width="10.625" style="21" bestFit="1" customWidth="1"/>
    <col min="6" max="6" width="8.375" style="21" bestFit="1" customWidth="1"/>
    <col min="7" max="7" width="21.125" style="21" customWidth="1"/>
    <col min="8" max="8" width="32.75390625" style="21" customWidth="1"/>
    <col min="9" max="20" width="5.375" style="35" customWidth="1"/>
    <col min="21" max="21" width="11.25390625" style="47" bestFit="1" customWidth="1"/>
    <col min="22" max="22" width="8.625" style="35" bestFit="1" customWidth="1"/>
    <col min="23" max="23" width="15.75390625" style="21" bestFit="1" customWidth="1"/>
  </cols>
  <sheetData>
    <row r="1" spans="3:23" s="1" customFormat="1" ht="15" customHeight="1">
      <c r="C1" s="204" t="s">
        <v>713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6"/>
    </row>
    <row r="2" spans="3:23" s="1" customFormat="1" ht="78.75" customHeight="1" thickBot="1"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8"/>
    </row>
    <row r="3" spans="1:23" s="2" customFormat="1" ht="12.75" customHeight="1">
      <c r="A3" s="224" t="s">
        <v>563</v>
      </c>
      <c r="B3" s="222" t="s">
        <v>564</v>
      </c>
      <c r="C3" s="209" t="s">
        <v>0</v>
      </c>
      <c r="D3" s="211" t="s">
        <v>5</v>
      </c>
      <c r="E3" s="213" t="s">
        <v>6</v>
      </c>
      <c r="F3" s="215" t="s">
        <v>11</v>
      </c>
      <c r="G3" s="215" t="s">
        <v>3</v>
      </c>
      <c r="H3" s="215" t="s">
        <v>7</v>
      </c>
      <c r="I3" s="215" t="s">
        <v>559</v>
      </c>
      <c r="J3" s="215"/>
      <c r="K3" s="215"/>
      <c r="L3" s="215"/>
      <c r="M3" s="215" t="s">
        <v>571</v>
      </c>
      <c r="N3" s="215"/>
      <c r="O3" s="215"/>
      <c r="P3" s="215"/>
      <c r="Q3" s="215" t="s">
        <v>572</v>
      </c>
      <c r="R3" s="215"/>
      <c r="S3" s="215"/>
      <c r="T3" s="215"/>
      <c r="U3" s="217" t="s">
        <v>737</v>
      </c>
      <c r="V3" s="215" t="s">
        <v>2</v>
      </c>
      <c r="W3" s="219" t="s">
        <v>1</v>
      </c>
    </row>
    <row r="4" spans="1:23" s="2" customFormat="1" ht="21" customHeight="1" thickBot="1">
      <c r="A4" s="225"/>
      <c r="B4" s="223"/>
      <c r="C4" s="210"/>
      <c r="D4" s="212"/>
      <c r="E4" s="214"/>
      <c r="F4" s="212"/>
      <c r="G4" s="212"/>
      <c r="H4" s="212"/>
      <c r="I4" s="5">
        <v>1</v>
      </c>
      <c r="J4" s="5">
        <v>2</v>
      </c>
      <c r="K4" s="5">
        <v>3</v>
      </c>
      <c r="L4" s="5" t="s">
        <v>4</v>
      </c>
      <c r="M4" s="5">
        <v>1</v>
      </c>
      <c r="N4" s="5">
        <v>2</v>
      </c>
      <c r="O4" s="5">
        <v>3</v>
      </c>
      <c r="P4" s="5" t="s">
        <v>4</v>
      </c>
      <c r="Q4" s="5">
        <v>1</v>
      </c>
      <c r="R4" s="5">
        <v>2</v>
      </c>
      <c r="S4" s="5">
        <v>3</v>
      </c>
      <c r="T4" s="5" t="s">
        <v>4</v>
      </c>
      <c r="U4" s="218"/>
      <c r="V4" s="212"/>
      <c r="W4" s="220"/>
    </row>
    <row r="5" spans="1:22" ht="15.75">
      <c r="A5"/>
      <c r="B5"/>
      <c r="C5" s="221" t="s">
        <v>112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</row>
    <row r="6" spans="1:23" ht="12.75">
      <c r="A6" s="42" t="s">
        <v>560</v>
      </c>
      <c r="B6" s="42" t="s">
        <v>567</v>
      </c>
      <c r="C6" s="22" t="s">
        <v>232</v>
      </c>
      <c r="D6" s="22" t="s">
        <v>233</v>
      </c>
      <c r="E6" s="22" t="s">
        <v>234</v>
      </c>
      <c r="F6" s="22" t="str">
        <f>"0,7513"</f>
        <v>0,7513</v>
      </c>
      <c r="G6" s="22" t="s">
        <v>90</v>
      </c>
      <c r="H6" s="22" t="s">
        <v>690</v>
      </c>
      <c r="I6" s="106" t="s">
        <v>156</v>
      </c>
      <c r="J6" s="106" t="s">
        <v>235</v>
      </c>
      <c r="K6" s="107" t="s">
        <v>244</v>
      </c>
      <c r="L6" s="108"/>
      <c r="M6" s="107" t="s">
        <v>110</v>
      </c>
      <c r="N6" s="106" t="s">
        <v>110</v>
      </c>
      <c r="O6" s="107" t="s">
        <v>115</v>
      </c>
      <c r="P6" s="108"/>
      <c r="Q6" s="106" t="s">
        <v>236</v>
      </c>
      <c r="R6" s="107" t="s">
        <v>188</v>
      </c>
      <c r="S6" s="106" t="s">
        <v>188</v>
      </c>
      <c r="T6" s="108"/>
      <c r="U6" s="46">
        <v>530</v>
      </c>
      <c r="V6" s="109" t="str">
        <f>"398,1625"</f>
        <v>398,1625</v>
      </c>
      <c r="W6" s="22" t="s">
        <v>872</v>
      </c>
    </row>
    <row r="8" spans="1:22" ht="15.75">
      <c r="A8"/>
      <c r="B8"/>
      <c r="C8" s="216" t="s">
        <v>163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</row>
    <row r="9" spans="1:23" ht="12.75">
      <c r="A9" s="42" t="s">
        <v>560</v>
      </c>
      <c r="B9" s="42"/>
      <c r="C9" s="22" t="s">
        <v>758</v>
      </c>
      <c r="D9" s="22" t="s">
        <v>277</v>
      </c>
      <c r="E9" s="22" t="s">
        <v>278</v>
      </c>
      <c r="F9" s="22" t="str">
        <f>"0,6471"</f>
        <v>0,6471</v>
      </c>
      <c r="G9" s="22" t="s">
        <v>41</v>
      </c>
      <c r="H9" s="22" t="s">
        <v>187</v>
      </c>
      <c r="I9" s="107" t="s">
        <v>204</v>
      </c>
      <c r="J9" s="106" t="s">
        <v>169</v>
      </c>
      <c r="K9" s="107" t="s">
        <v>170</v>
      </c>
      <c r="L9" s="108"/>
      <c r="M9" s="106" t="s">
        <v>119</v>
      </c>
      <c r="N9" s="106" t="s">
        <v>111</v>
      </c>
      <c r="O9" s="107" t="s">
        <v>140</v>
      </c>
      <c r="P9" s="108"/>
      <c r="Q9" s="106" t="s">
        <v>18</v>
      </c>
      <c r="R9" s="107" t="s">
        <v>221</v>
      </c>
      <c r="S9" s="107" t="s">
        <v>221</v>
      </c>
      <c r="T9" s="108"/>
      <c r="U9" s="46">
        <v>565</v>
      </c>
      <c r="V9" s="109" t="str">
        <f>"365,6397"</f>
        <v>365,6397</v>
      </c>
      <c r="W9" s="22" t="s">
        <v>872</v>
      </c>
    </row>
    <row r="11" spans="1:22" ht="15.75">
      <c r="A11"/>
      <c r="B11"/>
      <c r="C11" s="216" t="s">
        <v>194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</row>
    <row r="12" spans="1:23" ht="12.75">
      <c r="A12" s="42" t="s">
        <v>560</v>
      </c>
      <c r="B12" s="42" t="s">
        <v>568</v>
      </c>
      <c r="C12" s="22" t="s">
        <v>759</v>
      </c>
      <c r="D12" s="22" t="s">
        <v>279</v>
      </c>
      <c r="E12" s="22" t="s">
        <v>280</v>
      </c>
      <c r="F12" s="22" t="str">
        <f>"0,6222"</f>
        <v>0,6222</v>
      </c>
      <c r="G12" s="22" t="s">
        <v>29</v>
      </c>
      <c r="H12" s="22" t="s">
        <v>691</v>
      </c>
      <c r="I12" s="106" t="s">
        <v>20</v>
      </c>
      <c r="J12" s="106" t="s">
        <v>22</v>
      </c>
      <c r="K12" s="106" t="s">
        <v>136</v>
      </c>
      <c r="L12" s="108"/>
      <c r="M12" s="106" t="s">
        <v>119</v>
      </c>
      <c r="N12" s="106" t="s">
        <v>120</v>
      </c>
      <c r="O12" s="107" t="s">
        <v>111</v>
      </c>
      <c r="P12" s="108"/>
      <c r="Q12" s="106" t="s">
        <v>32</v>
      </c>
      <c r="R12" s="106" t="s">
        <v>204</v>
      </c>
      <c r="S12" s="106" t="s">
        <v>169</v>
      </c>
      <c r="T12" s="108"/>
      <c r="U12" s="46">
        <v>510</v>
      </c>
      <c r="V12" s="109" t="str">
        <f>"317,2965"</f>
        <v>317,2965</v>
      </c>
      <c r="W12" s="22" t="s">
        <v>872</v>
      </c>
    </row>
  </sheetData>
  <sheetProtection/>
  <mergeCells count="18">
    <mergeCell ref="B3:B4"/>
    <mergeCell ref="A3:A4"/>
    <mergeCell ref="U3:U4"/>
    <mergeCell ref="V3:V4"/>
    <mergeCell ref="W3:W4"/>
    <mergeCell ref="C5:V5"/>
    <mergeCell ref="M3:P3"/>
    <mergeCell ref="Q3:T3"/>
    <mergeCell ref="C8:V8"/>
    <mergeCell ref="C11:V11"/>
    <mergeCell ref="C1:W2"/>
    <mergeCell ref="C3:C4"/>
    <mergeCell ref="D3:D4"/>
    <mergeCell ref="E3:E4"/>
    <mergeCell ref="F3:F4"/>
    <mergeCell ref="G3:G4"/>
    <mergeCell ref="H3:H4"/>
    <mergeCell ref="I3:L3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C1">
      <selection activeCell="H26" sqref="H26"/>
    </sheetView>
  </sheetViews>
  <sheetFormatPr defaultColWidth="8.75390625" defaultRowHeight="12.75"/>
  <cols>
    <col min="1" max="1" width="8.25390625" style="77" customWidth="1"/>
    <col min="2" max="2" width="14.125" style="77" customWidth="1"/>
    <col min="3" max="3" width="26.125" style="21" customWidth="1"/>
    <col min="4" max="4" width="27.625" style="21" customWidth="1"/>
    <col min="5" max="5" width="10.625" style="104" bestFit="1" customWidth="1"/>
    <col min="6" max="6" width="8.375" style="104" bestFit="1" customWidth="1"/>
    <col min="7" max="7" width="20.25390625" style="21" customWidth="1"/>
    <col min="8" max="8" width="27.625" style="21" customWidth="1"/>
    <col min="9" max="10" width="13.125" style="43" customWidth="1"/>
    <col min="11" max="11" width="11.875" style="78" customWidth="1"/>
    <col min="12" max="12" width="9.625" style="35" bestFit="1" customWidth="1"/>
    <col min="13" max="13" width="29.875" style="21" bestFit="1" customWidth="1"/>
  </cols>
  <sheetData>
    <row r="1" spans="3:13" s="1" customFormat="1" ht="15" customHeight="1">
      <c r="C1" s="204" t="s">
        <v>874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3:13" s="1" customFormat="1" ht="92.25" customHeight="1" thickBot="1"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3" s="2" customFormat="1" ht="12.75" customHeight="1">
      <c r="A3" s="224" t="s">
        <v>563</v>
      </c>
      <c r="B3" s="222" t="s">
        <v>564</v>
      </c>
      <c r="C3" s="209" t="s">
        <v>0</v>
      </c>
      <c r="D3" s="211" t="s">
        <v>5</v>
      </c>
      <c r="E3" s="213" t="s">
        <v>6</v>
      </c>
      <c r="F3" s="215" t="s">
        <v>663</v>
      </c>
      <c r="G3" s="215" t="s">
        <v>3</v>
      </c>
      <c r="H3" s="215" t="s">
        <v>7</v>
      </c>
      <c r="I3" s="215" t="s">
        <v>648</v>
      </c>
      <c r="J3" s="215"/>
      <c r="K3" s="247" t="s">
        <v>649</v>
      </c>
      <c r="L3" s="215" t="s">
        <v>2</v>
      </c>
      <c r="M3" s="219" t="s">
        <v>1</v>
      </c>
    </row>
    <row r="4" spans="1:13" s="2" customFormat="1" ht="21" customHeight="1" thickBot="1">
      <c r="A4" s="225"/>
      <c r="B4" s="223"/>
      <c r="C4" s="210"/>
      <c r="D4" s="212"/>
      <c r="E4" s="214"/>
      <c r="F4" s="212"/>
      <c r="G4" s="212"/>
      <c r="H4" s="212"/>
      <c r="I4" s="5" t="s">
        <v>647</v>
      </c>
      <c r="J4" s="5" t="s">
        <v>664</v>
      </c>
      <c r="K4" s="248"/>
      <c r="L4" s="212"/>
      <c r="M4" s="220"/>
    </row>
    <row r="5" spans="1:12" ht="15.75">
      <c r="A5"/>
      <c r="B5"/>
      <c r="C5" s="221" t="s">
        <v>86</v>
      </c>
      <c r="D5" s="221"/>
      <c r="E5" s="221"/>
      <c r="F5" s="221"/>
      <c r="G5" s="221"/>
      <c r="H5" s="221"/>
      <c r="I5" s="221"/>
      <c r="J5" s="221"/>
      <c r="K5" s="221"/>
      <c r="L5" s="221"/>
    </row>
    <row r="6" spans="1:13" ht="12.75">
      <c r="A6" s="74" t="s">
        <v>560</v>
      </c>
      <c r="B6" s="74" t="s">
        <v>565</v>
      </c>
      <c r="C6" s="24" t="s">
        <v>285</v>
      </c>
      <c r="D6" s="24" t="s">
        <v>665</v>
      </c>
      <c r="E6" s="195" t="s">
        <v>106</v>
      </c>
      <c r="F6" s="195" t="str">
        <f>"1,1192"</f>
        <v>1,1192</v>
      </c>
      <c r="G6" s="24" t="s">
        <v>90</v>
      </c>
      <c r="H6" s="24" t="s">
        <v>30</v>
      </c>
      <c r="I6" s="40" t="s">
        <v>70</v>
      </c>
      <c r="J6" s="40" t="s">
        <v>828</v>
      </c>
      <c r="K6" s="44">
        <v>1500</v>
      </c>
      <c r="L6" s="113" t="str">
        <f>"1678,8000"</f>
        <v>1678,8000</v>
      </c>
      <c r="M6" s="24" t="s">
        <v>681</v>
      </c>
    </row>
    <row r="7" spans="1:13" ht="12.75">
      <c r="A7" s="75" t="s">
        <v>560</v>
      </c>
      <c r="B7" s="75" t="s">
        <v>565</v>
      </c>
      <c r="C7" s="26" t="s">
        <v>285</v>
      </c>
      <c r="D7" s="26" t="s">
        <v>290</v>
      </c>
      <c r="E7" s="196" t="s">
        <v>106</v>
      </c>
      <c r="F7" s="196" t="str">
        <f>"1,1192"</f>
        <v>1,1192</v>
      </c>
      <c r="G7" s="26" t="s">
        <v>90</v>
      </c>
      <c r="H7" s="26" t="s">
        <v>30</v>
      </c>
      <c r="I7" s="41" t="s">
        <v>70</v>
      </c>
      <c r="J7" s="41" t="s">
        <v>828</v>
      </c>
      <c r="K7" s="45">
        <v>1500</v>
      </c>
      <c r="L7" s="121" t="str">
        <f>"1678,8000"</f>
        <v>1678,8000</v>
      </c>
      <c r="M7" s="26" t="s">
        <v>681</v>
      </c>
    </row>
    <row r="22" ht="12.75">
      <c r="I22" s="43" t="s">
        <v>697</v>
      </c>
    </row>
  </sheetData>
  <sheetProtection/>
  <mergeCells count="14">
    <mergeCell ref="C1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K4"/>
    <mergeCell ref="L3:L4"/>
    <mergeCell ref="M3:M4"/>
    <mergeCell ref="C5:L5"/>
  </mergeCells>
  <printOptions/>
  <pageMargins left="0.7" right="0.7" top="0.75" bottom="0.75" header="0.3" footer="0.3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F1">
      <selection activeCell="Q12" sqref="Q12"/>
    </sheetView>
  </sheetViews>
  <sheetFormatPr defaultColWidth="8.75390625" defaultRowHeight="12.75"/>
  <cols>
    <col min="1" max="1" width="10.75390625" style="77" customWidth="1"/>
    <col min="2" max="2" width="13.625" style="77" customWidth="1"/>
    <col min="3" max="3" width="22.875" style="21" customWidth="1"/>
    <col min="4" max="4" width="25.375" style="21" customWidth="1"/>
    <col min="5" max="5" width="10.625" style="197" bestFit="1" customWidth="1"/>
    <col min="6" max="6" width="8.375" style="197" bestFit="1" customWidth="1"/>
    <col min="7" max="7" width="18.125" style="21" customWidth="1"/>
    <col min="8" max="8" width="36.125" style="21" customWidth="1"/>
    <col min="9" max="12" width="5.625" style="105" customWidth="1"/>
    <col min="13" max="13" width="12.375" style="105" customWidth="1"/>
    <col min="14" max="14" width="11.875" style="105" customWidth="1"/>
    <col min="15" max="15" width="12.25390625" style="189" customWidth="1"/>
    <col min="16" max="16" width="9.625" style="105" bestFit="1" customWidth="1"/>
    <col min="17" max="17" width="20.25390625" style="21" customWidth="1"/>
  </cols>
  <sheetData>
    <row r="1" spans="3:17" s="1" customFormat="1" ht="15" customHeight="1">
      <c r="C1" s="204" t="s">
        <v>734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</row>
    <row r="2" spans="3:17" s="1" customFormat="1" ht="83.25" customHeight="1" thickBot="1"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s="2" customFormat="1" ht="12.75" customHeight="1">
      <c r="A3" s="224" t="s">
        <v>563</v>
      </c>
      <c r="B3" s="222" t="s">
        <v>564</v>
      </c>
      <c r="C3" s="209" t="s">
        <v>0</v>
      </c>
      <c r="D3" s="211" t="s">
        <v>5</v>
      </c>
      <c r="E3" s="249" t="s">
        <v>6</v>
      </c>
      <c r="F3" s="251" t="s">
        <v>663</v>
      </c>
      <c r="G3" s="215" t="s">
        <v>3</v>
      </c>
      <c r="H3" s="215" t="s">
        <v>7</v>
      </c>
      <c r="I3" s="215" t="s">
        <v>673</v>
      </c>
      <c r="J3" s="215"/>
      <c r="K3" s="215"/>
      <c r="L3" s="215"/>
      <c r="M3" s="215" t="s">
        <v>648</v>
      </c>
      <c r="N3" s="215"/>
      <c r="O3" s="213" t="s">
        <v>737</v>
      </c>
      <c r="P3" s="215" t="s">
        <v>2</v>
      </c>
      <c r="Q3" s="219" t="s">
        <v>1</v>
      </c>
    </row>
    <row r="4" spans="1:17" s="2" customFormat="1" ht="21" customHeight="1" thickBot="1">
      <c r="A4" s="225"/>
      <c r="B4" s="223"/>
      <c r="C4" s="210"/>
      <c r="D4" s="212"/>
      <c r="E4" s="250"/>
      <c r="F4" s="252"/>
      <c r="G4" s="212"/>
      <c r="H4" s="212"/>
      <c r="I4" s="5">
        <v>1</v>
      </c>
      <c r="J4" s="5">
        <v>2</v>
      </c>
      <c r="K4" s="5">
        <v>3</v>
      </c>
      <c r="L4" s="5" t="s">
        <v>4</v>
      </c>
      <c r="M4" s="5" t="s">
        <v>647</v>
      </c>
      <c r="N4" s="5" t="s">
        <v>664</v>
      </c>
      <c r="O4" s="214"/>
      <c r="P4" s="212"/>
      <c r="Q4" s="220"/>
    </row>
    <row r="5" spans="1:16" ht="15.75">
      <c r="A5"/>
      <c r="B5"/>
      <c r="C5" s="221" t="s">
        <v>194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</row>
    <row r="6" spans="1:17" ht="12.75">
      <c r="A6" s="76" t="s">
        <v>560</v>
      </c>
      <c r="B6" s="76" t="s">
        <v>568</v>
      </c>
      <c r="C6" s="22" t="s">
        <v>763</v>
      </c>
      <c r="D6" s="22" t="s">
        <v>249</v>
      </c>
      <c r="E6" s="198" t="s">
        <v>250</v>
      </c>
      <c r="F6" s="198" t="str">
        <f>"0,6428"</f>
        <v>0,6428</v>
      </c>
      <c r="G6" s="22" t="s">
        <v>29</v>
      </c>
      <c r="H6" s="22" t="s">
        <v>251</v>
      </c>
      <c r="I6" s="128" t="s">
        <v>677</v>
      </c>
      <c r="J6" s="130" t="s">
        <v>100</v>
      </c>
      <c r="K6" s="130"/>
      <c r="L6" s="130"/>
      <c r="M6" s="131" t="s">
        <v>108</v>
      </c>
      <c r="N6" s="131" t="s">
        <v>869</v>
      </c>
      <c r="O6" s="188" t="s">
        <v>678</v>
      </c>
      <c r="P6" s="131" t="str">
        <f>"6023,0358"</f>
        <v>6023,0358</v>
      </c>
      <c r="Q6" s="22" t="s">
        <v>872</v>
      </c>
    </row>
    <row r="8" spans="1:16" ht="15.75">
      <c r="A8"/>
      <c r="B8"/>
      <c r="C8" s="216" t="s">
        <v>12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</row>
    <row r="9" spans="1:17" ht="12.75">
      <c r="A9" s="76" t="s">
        <v>560</v>
      </c>
      <c r="B9" s="76" t="s">
        <v>567</v>
      </c>
      <c r="C9" s="22" t="s">
        <v>866</v>
      </c>
      <c r="D9" s="22" t="s">
        <v>674</v>
      </c>
      <c r="E9" s="198" t="s">
        <v>40</v>
      </c>
      <c r="F9" s="198" t="str">
        <f>"0,6088"</f>
        <v>0,6088</v>
      </c>
      <c r="G9" s="22" t="s">
        <v>90</v>
      </c>
      <c r="H9" s="22" t="s">
        <v>698</v>
      </c>
      <c r="I9" s="128" t="s">
        <v>84</v>
      </c>
      <c r="J9" s="128" t="s">
        <v>154</v>
      </c>
      <c r="K9" s="130"/>
      <c r="L9" s="130"/>
      <c r="M9" s="131" t="s">
        <v>69</v>
      </c>
      <c r="N9" s="131" t="s">
        <v>868</v>
      </c>
      <c r="O9" s="188" t="s">
        <v>679</v>
      </c>
      <c r="P9" s="131" t="str">
        <f>"9472,9279"</f>
        <v>9472,9279</v>
      </c>
      <c r="Q9" s="22" t="s">
        <v>699</v>
      </c>
    </row>
    <row r="11" spans="1:16" ht="15.75">
      <c r="A11"/>
      <c r="B11"/>
      <c r="C11" s="216" t="s">
        <v>47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</row>
    <row r="12" spans="1:17" ht="12.75">
      <c r="A12" s="76" t="s">
        <v>560</v>
      </c>
      <c r="B12" s="76" t="s">
        <v>567</v>
      </c>
      <c r="C12" s="22" t="s">
        <v>867</v>
      </c>
      <c r="D12" s="22" t="s">
        <v>676</v>
      </c>
      <c r="E12" s="198" t="s">
        <v>330</v>
      </c>
      <c r="F12" s="198" t="str">
        <f>"0,5919"</f>
        <v>0,5919</v>
      </c>
      <c r="G12" s="22" t="s">
        <v>29</v>
      </c>
      <c r="H12" s="22" t="s">
        <v>251</v>
      </c>
      <c r="I12" s="128" t="s">
        <v>75</v>
      </c>
      <c r="J12" s="128" t="s">
        <v>76</v>
      </c>
      <c r="K12" s="128" t="s">
        <v>154</v>
      </c>
      <c r="L12" s="130"/>
      <c r="M12" s="131" t="s">
        <v>102</v>
      </c>
      <c r="N12" s="131" t="s">
        <v>831</v>
      </c>
      <c r="O12" s="188" t="s">
        <v>672</v>
      </c>
      <c r="P12" s="131" t="str">
        <f>"8183,0174"</f>
        <v>8183,0174</v>
      </c>
      <c r="Q12" s="22" t="s">
        <v>872</v>
      </c>
    </row>
  </sheetData>
  <sheetProtection/>
  <mergeCells count="17">
    <mergeCell ref="B3:B4"/>
    <mergeCell ref="A3:A4"/>
    <mergeCell ref="P3:P4"/>
    <mergeCell ref="Q3:Q4"/>
    <mergeCell ref="C5:P5"/>
    <mergeCell ref="C8:P8"/>
    <mergeCell ref="O3:O4"/>
    <mergeCell ref="C11:P11"/>
    <mergeCell ref="C1:Q2"/>
    <mergeCell ref="C3:C4"/>
    <mergeCell ref="D3:D4"/>
    <mergeCell ref="E3:E4"/>
    <mergeCell ref="F3:F4"/>
    <mergeCell ref="G3:G4"/>
    <mergeCell ref="H3:H4"/>
    <mergeCell ref="I3:L3"/>
    <mergeCell ref="M3:N3"/>
  </mergeCells>
  <printOptions/>
  <pageMargins left="0.7" right="0.7" top="0.75" bottom="0.75" header="0.3" footer="0.3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6"/>
  <sheetViews>
    <sheetView workbookViewId="0" topLeftCell="C1">
      <selection activeCell="H7" sqref="H7"/>
    </sheetView>
  </sheetViews>
  <sheetFormatPr defaultColWidth="8.75390625" defaultRowHeight="12.75"/>
  <cols>
    <col min="1" max="1" width="10.75390625" style="77" customWidth="1"/>
    <col min="2" max="2" width="13.625" style="77" customWidth="1"/>
    <col min="3" max="3" width="21.25390625" style="21" customWidth="1"/>
    <col min="4" max="4" width="27.25390625" style="21" customWidth="1"/>
    <col min="5" max="5" width="10.625" style="104" bestFit="1" customWidth="1"/>
    <col min="6" max="6" width="8.375" style="104" bestFit="1" customWidth="1"/>
    <col min="7" max="7" width="22.75390625" style="21" bestFit="1" customWidth="1"/>
    <col min="8" max="8" width="35.625" style="21" customWidth="1"/>
    <col min="9" max="12" width="5.625" style="105" customWidth="1"/>
    <col min="13" max="13" width="12.25390625" style="189" customWidth="1"/>
    <col min="14" max="14" width="9.625" style="105" bestFit="1" customWidth="1"/>
    <col min="15" max="15" width="21.625" style="21" customWidth="1"/>
  </cols>
  <sheetData>
    <row r="1" spans="3:15" s="1" customFormat="1" ht="15" customHeight="1">
      <c r="C1" s="204" t="s">
        <v>875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3:15" s="1" customFormat="1" ht="83.25" customHeight="1" thickBot="1"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s="2" customFormat="1" ht="12.75" customHeight="1">
      <c r="A3" s="224" t="s">
        <v>563</v>
      </c>
      <c r="B3" s="222" t="s">
        <v>564</v>
      </c>
      <c r="C3" s="209" t="s">
        <v>0</v>
      </c>
      <c r="D3" s="211" t="s">
        <v>5</v>
      </c>
      <c r="E3" s="213" t="s">
        <v>6</v>
      </c>
      <c r="F3" s="215" t="s">
        <v>663</v>
      </c>
      <c r="G3" s="215" t="s">
        <v>3</v>
      </c>
      <c r="H3" s="215" t="s">
        <v>7</v>
      </c>
      <c r="I3" s="215" t="s">
        <v>673</v>
      </c>
      <c r="J3" s="215"/>
      <c r="K3" s="215"/>
      <c r="L3" s="215"/>
      <c r="M3" s="213" t="s">
        <v>9</v>
      </c>
      <c r="N3" s="215" t="s">
        <v>2</v>
      </c>
      <c r="O3" s="219" t="s">
        <v>1</v>
      </c>
    </row>
    <row r="4" spans="1:15" s="2" customFormat="1" ht="21" customHeight="1" thickBot="1">
      <c r="A4" s="225"/>
      <c r="B4" s="223"/>
      <c r="C4" s="210"/>
      <c r="D4" s="212"/>
      <c r="E4" s="214"/>
      <c r="F4" s="212"/>
      <c r="G4" s="212"/>
      <c r="H4" s="212"/>
      <c r="I4" s="5">
        <v>1</v>
      </c>
      <c r="J4" s="5">
        <v>2</v>
      </c>
      <c r="K4" s="5">
        <v>3</v>
      </c>
      <c r="L4" s="5" t="s">
        <v>4</v>
      </c>
      <c r="M4" s="214"/>
      <c r="N4" s="212"/>
      <c r="O4" s="220"/>
    </row>
    <row r="5" spans="1:14" ht="15.75">
      <c r="A5"/>
      <c r="B5"/>
      <c r="C5" s="216" t="s">
        <v>12</v>
      </c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</row>
    <row r="6" spans="1:15" ht="12.75">
      <c r="A6" s="76" t="s">
        <v>560</v>
      </c>
      <c r="B6" s="76" t="s">
        <v>567</v>
      </c>
      <c r="C6" s="22" t="s">
        <v>866</v>
      </c>
      <c r="D6" s="22" t="s">
        <v>674</v>
      </c>
      <c r="E6" s="198" t="s">
        <v>40</v>
      </c>
      <c r="F6" s="198" t="str">
        <f>"0,6088"</f>
        <v>0,6088</v>
      </c>
      <c r="G6" s="22" t="s">
        <v>90</v>
      </c>
      <c r="H6" s="22" t="s">
        <v>698</v>
      </c>
      <c r="I6" s="128" t="s">
        <v>84</v>
      </c>
      <c r="J6" s="128" t="s">
        <v>154</v>
      </c>
      <c r="K6" s="130"/>
      <c r="L6" s="130"/>
      <c r="M6" s="188" t="s">
        <v>154</v>
      </c>
      <c r="N6" s="131" t="str">
        <f>"66,9680"</f>
        <v>66,9680</v>
      </c>
      <c r="O6" s="22" t="s">
        <v>699</v>
      </c>
    </row>
  </sheetData>
  <sheetProtection/>
  <mergeCells count="14">
    <mergeCell ref="C1:O2"/>
    <mergeCell ref="A3:A4"/>
    <mergeCell ref="B3:B4"/>
    <mergeCell ref="C3:C4"/>
    <mergeCell ref="D3:D4"/>
    <mergeCell ref="E3:E4"/>
    <mergeCell ref="F3:F4"/>
    <mergeCell ref="G3:G4"/>
    <mergeCell ref="H3:H4"/>
    <mergeCell ref="I3:L3"/>
    <mergeCell ref="M3:M4"/>
    <mergeCell ref="N3:N4"/>
    <mergeCell ref="O3:O4"/>
    <mergeCell ref="C5:N5"/>
  </mergeCells>
  <printOptions/>
  <pageMargins left="0.7" right="0.7" top="0.75" bottom="0.75" header="0.3" footer="0.3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D32" sqref="D32"/>
    </sheetView>
  </sheetViews>
  <sheetFormatPr defaultColWidth="8.75390625" defaultRowHeight="12.75"/>
  <cols>
    <col min="1" max="1" width="11.25390625" style="43" bestFit="1" customWidth="1"/>
    <col min="2" max="2" width="14.625" style="43" customWidth="1"/>
    <col min="3" max="3" width="22.75390625" style="21" customWidth="1"/>
    <col min="4" max="4" width="25.875" style="21" customWidth="1"/>
    <col min="5" max="5" width="10.625" style="104" bestFit="1" customWidth="1"/>
    <col min="6" max="6" width="8.375" style="104" bestFit="1" customWidth="1"/>
    <col min="7" max="7" width="19.625" style="21" customWidth="1"/>
    <col min="8" max="8" width="36.875" style="21" customWidth="1"/>
    <col min="9" max="10" width="13.25390625" style="105" customWidth="1"/>
    <col min="11" max="11" width="11.25390625" style="105" bestFit="1" customWidth="1"/>
    <col min="12" max="12" width="9.625" style="105" bestFit="1" customWidth="1"/>
    <col min="13" max="13" width="21.00390625" style="21" customWidth="1"/>
  </cols>
  <sheetData>
    <row r="1" spans="3:13" s="1" customFormat="1" ht="15" customHeight="1">
      <c r="C1" s="204" t="s">
        <v>876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3:13" s="1" customFormat="1" ht="86.25" customHeight="1" thickBot="1"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3" s="2" customFormat="1" ht="12.75" customHeight="1">
      <c r="A3" s="224" t="s">
        <v>563</v>
      </c>
      <c r="B3" s="222" t="s">
        <v>564</v>
      </c>
      <c r="C3" s="209" t="s">
        <v>0</v>
      </c>
      <c r="D3" s="211" t="s">
        <v>5</v>
      </c>
      <c r="E3" s="213" t="s">
        <v>6</v>
      </c>
      <c r="F3" s="215" t="s">
        <v>663</v>
      </c>
      <c r="G3" s="215" t="s">
        <v>3</v>
      </c>
      <c r="H3" s="215" t="s">
        <v>7</v>
      </c>
      <c r="I3" s="215" t="s">
        <v>648</v>
      </c>
      <c r="J3" s="215"/>
      <c r="K3" s="215" t="s">
        <v>649</v>
      </c>
      <c r="L3" s="215" t="s">
        <v>2</v>
      </c>
      <c r="M3" s="219" t="s">
        <v>1</v>
      </c>
    </row>
    <row r="4" spans="1:13" s="2" customFormat="1" ht="21" customHeight="1" thickBot="1">
      <c r="A4" s="225"/>
      <c r="B4" s="223"/>
      <c r="C4" s="210"/>
      <c r="D4" s="212"/>
      <c r="E4" s="214"/>
      <c r="F4" s="212"/>
      <c r="G4" s="212"/>
      <c r="H4" s="212"/>
      <c r="I4" s="5" t="s">
        <v>647</v>
      </c>
      <c r="J4" s="5" t="s">
        <v>664</v>
      </c>
      <c r="K4" s="212"/>
      <c r="L4" s="212"/>
      <c r="M4" s="220"/>
    </row>
    <row r="5" spans="1:12" ht="15.75">
      <c r="A5"/>
      <c r="B5"/>
      <c r="C5" s="221" t="s">
        <v>12</v>
      </c>
      <c r="D5" s="221"/>
      <c r="E5" s="221"/>
      <c r="F5" s="221"/>
      <c r="G5" s="221"/>
      <c r="H5" s="221"/>
      <c r="I5" s="221"/>
      <c r="J5" s="221"/>
      <c r="K5" s="221"/>
      <c r="L5" s="221"/>
    </row>
    <row r="6" spans="1:13" ht="12.75">
      <c r="A6" s="42" t="s">
        <v>560</v>
      </c>
      <c r="B6" s="42" t="s">
        <v>567</v>
      </c>
      <c r="C6" s="22" t="s">
        <v>866</v>
      </c>
      <c r="D6" s="22" t="s">
        <v>674</v>
      </c>
      <c r="E6" s="198" t="s">
        <v>40</v>
      </c>
      <c r="F6" s="198" t="str">
        <f>"0,6088"</f>
        <v>0,6088</v>
      </c>
      <c r="G6" s="22" t="s">
        <v>90</v>
      </c>
      <c r="H6" s="22" t="s">
        <v>698</v>
      </c>
      <c r="I6" s="131" t="s">
        <v>69</v>
      </c>
      <c r="J6" s="131" t="s">
        <v>868</v>
      </c>
      <c r="K6" s="131" t="s">
        <v>675</v>
      </c>
      <c r="L6" s="131" t="str">
        <f>"1034,9600"</f>
        <v>1034,9600</v>
      </c>
      <c r="M6" s="22" t="s">
        <v>699</v>
      </c>
    </row>
  </sheetData>
  <sheetProtection/>
  <mergeCells count="14">
    <mergeCell ref="C1:M2"/>
    <mergeCell ref="C3:C4"/>
    <mergeCell ref="D3:D4"/>
    <mergeCell ref="E3:E4"/>
    <mergeCell ref="F3:F4"/>
    <mergeCell ref="G3:G4"/>
    <mergeCell ref="H3:H4"/>
    <mergeCell ref="I3:J3"/>
    <mergeCell ref="K3:K4"/>
    <mergeCell ref="L3:L4"/>
    <mergeCell ref="M3:M4"/>
    <mergeCell ref="C5:L5"/>
    <mergeCell ref="B3:B4"/>
    <mergeCell ref="A3:A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:K2"/>
    </sheetView>
  </sheetViews>
  <sheetFormatPr defaultColWidth="11.375" defaultRowHeight="12.75"/>
  <sheetData>
    <row r="1" spans="1:11" ht="12.75">
      <c r="A1" s="253" t="s">
        <v>735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ht="102" customHeight="1" thickBot="1">
      <c r="A2" s="254"/>
      <c r="B2" s="207"/>
      <c r="C2" s="207"/>
      <c r="D2" s="207"/>
      <c r="E2" s="207"/>
      <c r="F2" s="207"/>
      <c r="G2" s="207"/>
      <c r="H2" s="207"/>
      <c r="I2" s="207"/>
      <c r="J2" s="207"/>
      <c r="K2" s="208"/>
    </row>
    <row r="4" ht="12.75">
      <c r="A4" t="s">
        <v>710</v>
      </c>
    </row>
    <row r="5" ht="12.75">
      <c r="A5" t="s">
        <v>705</v>
      </c>
    </row>
    <row r="6" ht="12.75">
      <c r="A6" t="s">
        <v>706</v>
      </c>
    </row>
    <row r="7" ht="12.75">
      <c r="A7" t="s">
        <v>708</v>
      </c>
    </row>
    <row r="8" ht="12.75">
      <c r="A8" t="s">
        <v>707</v>
      </c>
    </row>
    <row r="9" ht="12.75">
      <c r="A9" t="s">
        <v>709</v>
      </c>
    </row>
  </sheetData>
  <sheetProtection/>
  <mergeCells count="1">
    <mergeCell ref="A1:K2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1" sqref="A1:K2"/>
    </sheetView>
  </sheetViews>
  <sheetFormatPr defaultColWidth="11.375" defaultRowHeight="12.75"/>
  <sheetData>
    <row r="1" spans="1:11" ht="12.75">
      <c r="A1" s="253" t="s">
        <v>736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ht="93.75" customHeight="1" thickBot="1">
      <c r="A2" s="254"/>
      <c r="B2" s="207"/>
      <c r="C2" s="207"/>
      <c r="D2" s="207"/>
      <c r="E2" s="207"/>
      <c r="F2" s="207"/>
      <c r="G2" s="207"/>
      <c r="H2" s="207"/>
      <c r="I2" s="207"/>
      <c r="J2" s="207"/>
      <c r="K2" s="208"/>
    </row>
    <row r="4" ht="12.75">
      <c r="A4" t="s">
        <v>700</v>
      </c>
    </row>
    <row r="5" ht="12.75">
      <c r="A5" t="s">
        <v>701</v>
      </c>
    </row>
    <row r="6" ht="12.75">
      <c r="A6" t="s">
        <v>702</v>
      </c>
    </row>
    <row r="7" ht="12.75">
      <c r="A7" t="s">
        <v>703</v>
      </c>
    </row>
    <row r="8" ht="12.75">
      <c r="A8" t="s">
        <v>704</v>
      </c>
    </row>
  </sheetData>
  <sheetProtection/>
  <mergeCells count="1">
    <mergeCell ref="A1:K2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6"/>
  <sheetViews>
    <sheetView workbookViewId="0" topLeftCell="C1">
      <selection activeCell="I15" sqref="I15"/>
    </sheetView>
  </sheetViews>
  <sheetFormatPr defaultColWidth="8.75390625" defaultRowHeight="12.75"/>
  <cols>
    <col min="1" max="1" width="11.25390625" style="43" bestFit="1" customWidth="1"/>
    <col min="2" max="2" width="20.125" style="43" customWidth="1"/>
    <col min="3" max="3" width="25.00390625" style="21" customWidth="1"/>
    <col min="4" max="4" width="26.125" style="21" customWidth="1"/>
    <col min="5" max="5" width="10.625" style="21" bestFit="1" customWidth="1"/>
    <col min="6" max="6" width="12.375" style="21" customWidth="1"/>
    <col min="7" max="7" width="16.75390625" style="21" customWidth="1"/>
    <col min="8" max="8" width="29.75390625" style="21" customWidth="1"/>
    <col min="9" max="11" width="5.625" style="35" bestFit="1" customWidth="1"/>
    <col min="12" max="12" width="9.125" style="35" customWidth="1"/>
    <col min="13" max="15" width="5.625" style="35" bestFit="1" customWidth="1"/>
    <col min="16" max="16" width="4.625" style="35" bestFit="1" customWidth="1"/>
    <col min="17" max="19" width="5.625" style="35" bestFit="1" customWidth="1"/>
    <col min="20" max="20" width="4.625" style="35" bestFit="1" customWidth="1"/>
    <col min="21" max="21" width="11.25390625" style="47" bestFit="1" customWidth="1"/>
    <col min="22" max="22" width="8.625" style="35" bestFit="1" customWidth="1"/>
    <col min="23" max="23" width="24.00390625" style="21" customWidth="1"/>
  </cols>
  <sheetData>
    <row r="1" spans="3:23" s="1" customFormat="1" ht="15" customHeight="1">
      <c r="C1" s="204" t="s">
        <v>882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6"/>
    </row>
    <row r="2" spans="3:23" s="1" customFormat="1" ht="78.75" customHeight="1" thickBot="1"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8"/>
    </row>
    <row r="3" spans="1:23" s="2" customFormat="1" ht="12.75" customHeight="1">
      <c r="A3" s="224" t="s">
        <v>563</v>
      </c>
      <c r="B3" s="222" t="s">
        <v>564</v>
      </c>
      <c r="C3" s="209" t="s">
        <v>0</v>
      </c>
      <c r="D3" s="211" t="s">
        <v>5</v>
      </c>
      <c r="E3" s="213" t="s">
        <v>6</v>
      </c>
      <c r="F3" s="215" t="s">
        <v>11</v>
      </c>
      <c r="G3" s="215" t="s">
        <v>3</v>
      </c>
      <c r="H3" s="215" t="s">
        <v>7</v>
      </c>
      <c r="I3" s="215" t="s">
        <v>559</v>
      </c>
      <c r="J3" s="215"/>
      <c r="K3" s="215"/>
      <c r="L3" s="215"/>
      <c r="M3" s="215" t="s">
        <v>571</v>
      </c>
      <c r="N3" s="215"/>
      <c r="O3" s="215"/>
      <c r="P3" s="215"/>
      <c r="Q3" s="215" t="s">
        <v>572</v>
      </c>
      <c r="R3" s="215"/>
      <c r="S3" s="215"/>
      <c r="T3" s="215"/>
      <c r="U3" s="217" t="s">
        <v>737</v>
      </c>
      <c r="V3" s="215" t="s">
        <v>2</v>
      </c>
      <c r="W3" s="219" t="s">
        <v>1</v>
      </c>
    </row>
    <row r="4" spans="1:23" s="2" customFormat="1" ht="21" customHeight="1" thickBot="1">
      <c r="A4" s="225"/>
      <c r="B4" s="223"/>
      <c r="C4" s="210"/>
      <c r="D4" s="212"/>
      <c r="E4" s="214"/>
      <c r="F4" s="212"/>
      <c r="G4" s="212"/>
      <c r="H4" s="212"/>
      <c r="I4" s="5">
        <v>1</v>
      </c>
      <c r="J4" s="5">
        <v>2</v>
      </c>
      <c r="K4" s="5">
        <v>3</v>
      </c>
      <c r="L4" s="5" t="s">
        <v>4</v>
      </c>
      <c r="M4" s="5">
        <v>1</v>
      </c>
      <c r="N4" s="5">
        <v>2</v>
      </c>
      <c r="O4" s="5">
        <v>3</v>
      </c>
      <c r="P4" s="5" t="s">
        <v>4</v>
      </c>
      <c r="Q4" s="5">
        <v>1</v>
      </c>
      <c r="R4" s="5">
        <v>2</v>
      </c>
      <c r="S4" s="5">
        <v>3</v>
      </c>
      <c r="T4" s="5" t="s">
        <v>4</v>
      </c>
      <c r="U4" s="218"/>
      <c r="V4" s="212"/>
      <c r="W4" s="220"/>
    </row>
    <row r="5" spans="1:22" ht="15.75">
      <c r="A5"/>
      <c r="B5"/>
      <c r="C5" s="221" t="s">
        <v>112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</row>
    <row r="6" spans="1:23" ht="12.75">
      <c r="A6" s="42" t="s">
        <v>560</v>
      </c>
      <c r="B6" s="42" t="s">
        <v>567</v>
      </c>
      <c r="C6" s="22" t="s">
        <v>232</v>
      </c>
      <c r="D6" s="22" t="s">
        <v>233</v>
      </c>
      <c r="E6" s="22" t="s">
        <v>234</v>
      </c>
      <c r="F6" s="22" t="str">
        <f>"0,7513"</f>
        <v>0,7513</v>
      </c>
      <c r="G6" s="22" t="s">
        <v>90</v>
      </c>
      <c r="H6" s="22" t="s">
        <v>690</v>
      </c>
      <c r="I6" s="106" t="s">
        <v>156</v>
      </c>
      <c r="J6" s="106" t="s">
        <v>235</v>
      </c>
      <c r="K6" s="107" t="s">
        <v>244</v>
      </c>
      <c r="L6" s="108"/>
      <c r="M6" s="107" t="s">
        <v>110</v>
      </c>
      <c r="N6" s="106" t="s">
        <v>110</v>
      </c>
      <c r="O6" s="107" t="s">
        <v>115</v>
      </c>
      <c r="P6" s="108"/>
      <c r="Q6" s="106" t="s">
        <v>236</v>
      </c>
      <c r="R6" s="107" t="s">
        <v>188</v>
      </c>
      <c r="S6" s="106" t="s">
        <v>188</v>
      </c>
      <c r="T6" s="108"/>
      <c r="U6" s="46">
        <v>530</v>
      </c>
      <c r="V6" s="109" t="str">
        <f>"398,1625"</f>
        <v>398,1625</v>
      </c>
      <c r="W6" s="22" t="s">
        <v>872</v>
      </c>
    </row>
    <row r="8" spans="1:22" ht="15.75">
      <c r="A8"/>
      <c r="B8"/>
      <c r="C8" s="216" t="s">
        <v>163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</row>
    <row r="9" spans="1:23" ht="12.75">
      <c r="A9" s="40" t="s">
        <v>560</v>
      </c>
      <c r="B9" s="40" t="s">
        <v>568</v>
      </c>
      <c r="C9" s="24" t="s">
        <v>760</v>
      </c>
      <c r="D9" s="24" t="s">
        <v>237</v>
      </c>
      <c r="E9" s="24" t="s">
        <v>238</v>
      </c>
      <c r="F9" s="24" t="str">
        <f>"0,6477"</f>
        <v>0,6477</v>
      </c>
      <c r="G9" s="24" t="s">
        <v>90</v>
      </c>
      <c r="H9" s="24" t="s">
        <v>239</v>
      </c>
      <c r="I9" s="110" t="s">
        <v>145</v>
      </c>
      <c r="J9" s="110" t="s">
        <v>52</v>
      </c>
      <c r="K9" s="110" t="s">
        <v>53</v>
      </c>
      <c r="L9" s="112"/>
      <c r="M9" s="110" t="s">
        <v>85</v>
      </c>
      <c r="N9" s="111" t="s">
        <v>240</v>
      </c>
      <c r="O9" s="110" t="s">
        <v>240</v>
      </c>
      <c r="P9" s="112"/>
      <c r="Q9" s="110" t="s">
        <v>34</v>
      </c>
      <c r="R9" s="110" t="s">
        <v>136</v>
      </c>
      <c r="S9" s="110" t="s">
        <v>52</v>
      </c>
      <c r="T9" s="112"/>
      <c r="U9" s="44">
        <v>472.5</v>
      </c>
      <c r="V9" s="164" t="str">
        <f>"306,0146"</f>
        <v>306,0146</v>
      </c>
      <c r="W9" s="24" t="s">
        <v>872</v>
      </c>
    </row>
    <row r="10" spans="1:23" ht="12.75">
      <c r="A10" s="52" t="s">
        <v>560</v>
      </c>
      <c r="B10" s="52"/>
      <c r="C10" s="25" t="s">
        <v>241</v>
      </c>
      <c r="D10" s="25" t="s">
        <v>242</v>
      </c>
      <c r="E10" s="25" t="s">
        <v>166</v>
      </c>
      <c r="F10" s="25" t="str">
        <f>"0,6467"</f>
        <v>0,6467</v>
      </c>
      <c r="G10" s="25" t="s">
        <v>41</v>
      </c>
      <c r="H10" s="25" t="s">
        <v>243</v>
      </c>
      <c r="I10" s="114" t="s">
        <v>18</v>
      </c>
      <c r="J10" s="114" t="s">
        <v>244</v>
      </c>
      <c r="K10" s="114" t="s">
        <v>221</v>
      </c>
      <c r="L10" s="116"/>
      <c r="M10" s="115" t="s">
        <v>20</v>
      </c>
      <c r="N10" s="114" t="s">
        <v>20</v>
      </c>
      <c r="O10" s="115" t="s">
        <v>34</v>
      </c>
      <c r="P10" s="116"/>
      <c r="Q10" s="114" t="s">
        <v>244</v>
      </c>
      <c r="R10" s="114" t="s">
        <v>36</v>
      </c>
      <c r="S10" s="115" t="s">
        <v>217</v>
      </c>
      <c r="T10" s="116"/>
      <c r="U10" s="49">
        <v>630</v>
      </c>
      <c r="V10" s="117" t="str">
        <f>"407,3895"</f>
        <v>407,3895</v>
      </c>
      <c r="W10" s="25" t="s">
        <v>245</v>
      </c>
    </row>
    <row r="11" spans="1:23" ht="12.75">
      <c r="A11" s="52" t="s">
        <v>561</v>
      </c>
      <c r="B11" s="52" t="s">
        <v>573</v>
      </c>
      <c r="C11" s="25" t="s">
        <v>761</v>
      </c>
      <c r="D11" s="25" t="s">
        <v>246</v>
      </c>
      <c r="E11" s="25" t="s">
        <v>186</v>
      </c>
      <c r="F11" s="25" t="str">
        <f>"0,6578"</f>
        <v>0,6578</v>
      </c>
      <c r="G11" s="25" t="s">
        <v>29</v>
      </c>
      <c r="H11" s="25" t="s">
        <v>126</v>
      </c>
      <c r="I11" s="114" t="s">
        <v>31</v>
      </c>
      <c r="J11" s="115" t="s">
        <v>204</v>
      </c>
      <c r="K11" s="114" t="s">
        <v>18</v>
      </c>
      <c r="L11" s="116"/>
      <c r="M11" s="114" t="s">
        <v>34</v>
      </c>
      <c r="N11" s="114" t="s">
        <v>22</v>
      </c>
      <c r="O11" s="114" t="s">
        <v>145</v>
      </c>
      <c r="P11" s="116"/>
      <c r="Q11" s="114" t="s">
        <v>169</v>
      </c>
      <c r="R11" s="114" t="s">
        <v>170</v>
      </c>
      <c r="S11" s="115" t="s">
        <v>51</v>
      </c>
      <c r="T11" s="116"/>
      <c r="U11" s="49">
        <v>605</v>
      </c>
      <c r="V11" s="117" t="str">
        <f>"397,9690"</f>
        <v>397,9690</v>
      </c>
      <c r="W11" s="25" t="s">
        <v>872</v>
      </c>
    </row>
    <row r="12" spans="1:23" ht="12.75">
      <c r="A12" s="41" t="s">
        <v>562</v>
      </c>
      <c r="B12" s="41" t="s">
        <v>583</v>
      </c>
      <c r="C12" s="26" t="s">
        <v>762</v>
      </c>
      <c r="D12" s="26" t="s">
        <v>247</v>
      </c>
      <c r="E12" s="26" t="s">
        <v>248</v>
      </c>
      <c r="F12" s="26" t="str">
        <f>"0,6612"</f>
        <v>0,6612</v>
      </c>
      <c r="G12" s="26" t="s">
        <v>131</v>
      </c>
      <c r="H12" s="26" t="s">
        <v>126</v>
      </c>
      <c r="I12" s="118" t="s">
        <v>33</v>
      </c>
      <c r="J12" s="118" t="s">
        <v>34</v>
      </c>
      <c r="K12" s="118" t="s">
        <v>145</v>
      </c>
      <c r="L12" s="120"/>
      <c r="M12" s="118" t="s">
        <v>76</v>
      </c>
      <c r="N12" s="118" t="s">
        <v>154</v>
      </c>
      <c r="O12" s="119" t="s">
        <v>110</v>
      </c>
      <c r="P12" s="120"/>
      <c r="Q12" s="118" t="s">
        <v>145</v>
      </c>
      <c r="R12" s="118" t="s">
        <v>52</v>
      </c>
      <c r="S12" s="118" t="s">
        <v>175</v>
      </c>
      <c r="T12" s="120"/>
      <c r="U12" s="45">
        <v>455</v>
      </c>
      <c r="V12" s="121" t="str">
        <f>"300,8460"</f>
        <v>300,8460</v>
      </c>
      <c r="W12" s="26" t="s">
        <v>132</v>
      </c>
    </row>
    <row r="14" spans="1:22" ht="15.75">
      <c r="A14"/>
      <c r="B14"/>
      <c r="C14" s="216" t="s">
        <v>194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</row>
    <row r="15" spans="1:23" ht="12.75">
      <c r="A15" s="40" t="s">
        <v>560</v>
      </c>
      <c r="B15" s="40" t="s">
        <v>568</v>
      </c>
      <c r="C15" s="24" t="s">
        <v>763</v>
      </c>
      <c r="D15" s="24" t="s">
        <v>249</v>
      </c>
      <c r="E15" s="24" t="s">
        <v>250</v>
      </c>
      <c r="F15" s="24" t="str">
        <f>"0,6165"</f>
        <v>0,6165</v>
      </c>
      <c r="G15" s="24" t="s">
        <v>29</v>
      </c>
      <c r="H15" s="24" t="s">
        <v>251</v>
      </c>
      <c r="I15" s="110" t="s">
        <v>32</v>
      </c>
      <c r="J15" s="110" t="s">
        <v>18</v>
      </c>
      <c r="K15" s="110" t="s">
        <v>19</v>
      </c>
      <c r="L15" s="112"/>
      <c r="M15" s="110" t="s">
        <v>22</v>
      </c>
      <c r="N15" s="110" t="s">
        <v>145</v>
      </c>
      <c r="O15" s="111" t="s">
        <v>136</v>
      </c>
      <c r="P15" s="112"/>
      <c r="Q15" s="110" t="s">
        <v>223</v>
      </c>
      <c r="R15" s="111" t="s">
        <v>23</v>
      </c>
      <c r="S15" s="111" t="s">
        <v>23</v>
      </c>
      <c r="T15" s="112"/>
      <c r="U15" s="44">
        <v>630</v>
      </c>
      <c r="V15" s="113" t="str">
        <f>"388,3635"</f>
        <v>388,3635</v>
      </c>
      <c r="W15" s="24" t="s">
        <v>872</v>
      </c>
    </row>
    <row r="16" spans="1:23" ht="12.75">
      <c r="A16" s="41" t="s">
        <v>561</v>
      </c>
      <c r="B16" s="41" t="s">
        <v>573</v>
      </c>
      <c r="C16" s="26" t="s">
        <v>764</v>
      </c>
      <c r="D16" s="26" t="s">
        <v>252</v>
      </c>
      <c r="E16" s="26" t="s">
        <v>253</v>
      </c>
      <c r="F16" s="26" t="str">
        <f>"0,6209"</f>
        <v>0,6209</v>
      </c>
      <c r="G16" s="26" t="s">
        <v>90</v>
      </c>
      <c r="H16" s="26" t="s">
        <v>30</v>
      </c>
      <c r="I16" s="118" t="s">
        <v>204</v>
      </c>
      <c r="J16" s="119" t="s">
        <v>169</v>
      </c>
      <c r="K16" s="118" t="s">
        <v>169</v>
      </c>
      <c r="L16" s="120"/>
      <c r="M16" s="119" t="s">
        <v>33</v>
      </c>
      <c r="N16" s="118" t="s">
        <v>33</v>
      </c>
      <c r="O16" s="119" t="s">
        <v>208</v>
      </c>
      <c r="P16" s="120"/>
      <c r="Q16" s="118" t="s">
        <v>51</v>
      </c>
      <c r="R16" s="119" t="s">
        <v>23</v>
      </c>
      <c r="S16" s="118" t="s">
        <v>23</v>
      </c>
      <c r="T16" s="120"/>
      <c r="U16" s="45">
        <v>615</v>
      </c>
      <c r="V16" s="121" t="str">
        <f>"381,8535"</f>
        <v>381,8535</v>
      </c>
      <c r="W16" s="26" t="s">
        <v>684</v>
      </c>
    </row>
    <row r="18" spans="1:22" ht="15.75">
      <c r="A18"/>
      <c r="B18"/>
      <c r="C18" s="216" t="s">
        <v>12</v>
      </c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</row>
    <row r="19" spans="1:23" ht="12.75">
      <c r="A19" s="40" t="s">
        <v>560</v>
      </c>
      <c r="B19" s="40" t="s">
        <v>568</v>
      </c>
      <c r="C19" s="24" t="s">
        <v>765</v>
      </c>
      <c r="D19" s="24" t="s">
        <v>254</v>
      </c>
      <c r="E19" s="24" t="s">
        <v>255</v>
      </c>
      <c r="F19" s="24" t="str">
        <f>"0,5838"</f>
        <v>0,5838</v>
      </c>
      <c r="G19" s="24" t="s">
        <v>90</v>
      </c>
      <c r="H19" s="24" t="s">
        <v>30</v>
      </c>
      <c r="I19" s="110" t="s">
        <v>204</v>
      </c>
      <c r="J19" s="110" t="s">
        <v>170</v>
      </c>
      <c r="K19" s="110" t="s">
        <v>36</v>
      </c>
      <c r="L19" s="112"/>
      <c r="M19" s="110" t="s">
        <v>110</v>
      </c>
      <c r="N19" s="110" t="s">
        <v>120</v>
      </c>
      <c r="O19" s="111" t="s">
        <v>33</v>
      </c>
      <c r="P19" s="112"/>
      <c r="Q19" s="110" t="s">
        <v>204</v>
      </c>
      <c r="R19" s="110" t="s">
        <v>170</v>
      </c>
      <c r="S19" s="110" t="s">
        <v>36</v>
      </c>
      <c r="T19" s="112"/>
      <c r="U19" s="44">
        <v>625</v>
      </c>
      <c r="V19" s="113" t="str">
        <f>"364,8750"</f>
        <v>364,8750</v>
      </c>
      <c r="W19" s="24" t="s">
        <v>872</v>
      </c>
    </row>
    <row r="20" spans="1:23" ht="12.75">
      <c r="A20" s="52" t="s">
        <v>560</v>
      </c>
      <c r="B20" s="52" t="s">
        <v>565</v>
      </c>
      <c r="C20" s="25" t="s">
        <v>256</v>
      </c>
      <c r="D20" s="25" t="s">
        <v>257</v>
      </c>
      <c r="E20" s="25" t="s">
        <v>258</v>
      </c>
      <c r="F20" s="25" t="str">
        <f>"0,5968"</f>
        <v>0,5968</v>
      </c>
      <c r="G20" s="25" t="s">
        <v>90</v>
      </c>
      <c r="H20" s="25" t="s">
        <v>30</v>
      </c>
      <c r="I20" s="114" t="s">
        <v>259</v>
      </c>
      <c r="J20" s="114" t="s">
        <v>260</v>
      </c>
      <c r="K20" s="115" t="s">
        <v>261</v>
      </c>
      <c r="L20" s="116"/>
      <c r="M20" s="114" t="s">
        <v>137</v>
      </c>
      <c r="N20" s="114" t="s">
        <v>53</v>
      </c>
      <c r="O20" s="116"/>
      <c r="P20" s="116"/>
      <c r="Q20" s="114" t="s">
        <v>262</v>
      </c>
      <c r="R20" s="114" t="s">
        <v>263</v>
      </c>
      <c r="S20" s="114" t="s">
        <v>264</v>
      </c>
      <c r="T20" s="116"/>
      <c r="U20" s="49">
        <v>790</v>
      </c>
      <c r="V20" s="117" t="s">
        <v>574</v>
      </c>
      <c r="W20" s="25" t="s">
        <v>681</v>
      </c>
    </row>
    <row r="21" spans="1:23" ht="12.75">
      <c r="A21" s="41"/>
      <c r="B21" s="41"/>
      <c r="C21" s="26" t="s">
        <v>265</v>
      </c>
      <c r="D21" s="26" t="s">
        <v>266</v>
      </c>
      <c r="E21" s="26" t="s">
        <v>267</v>
      </c>
      <c r="F21" s="26" t="str">
        <f>"0,5813"</f>
        <v>0,5813</v>
      </c>
      <c r="G21" s="26" t="s">
        <v>41</v>
      </c>
      <c r="H21" s="26" t="s">
        <v>30</v>
      </c>
      <c r="I21" s="119" t="s">
        <v>268</v>
      </c>
      <c r="J21" s="119" t="s">
        <v>263</v>
      </c>
      <c r="K21" s="119" t="s">
        <v>263</v>
      </c>
      <c r="L21" s="120"/>
      <c r="M21" s="119"/>
      <c r="N21" s="120"/>
      <c r="O21" s="120"/>
      <c r="P21" s="120"/>
      <c r="Q21" s="119"/>
      <c r="R21" s="120"/>
      <c r="S21" s="120"/>
      <c r="T21" s="120"/>
      <c r="U21" s="45">
        <v>0</v>
      </c>
      <c r="V21" s="121" t="str">
        <f>"0,0000"</f>
        <v>0,0000</v>
      </c>
      <c r="W21" s="26" t="s">
        <v>269</v>
      </c>
    </row>
    <row r="23" spans="1:22" ht="15.75">
      <c r="A23"/>
      <c r="B23"/>
      <c r="C23" s="216" t="s">
        <v>47</v>
      </c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</row>
    <row r="24" spans="1:23" ht="12.75">
      <c r="A24" s="42" t="s">
        <v>560</v>
      </c>
      <c r="B24" s="42"/>
      <c r="C24" s="22" t="s">
        <v>766</v>
      </c>
      <c r="D24" s="22" t="s">
        <v>270</v>
      </c>
      <c r="E24" s="22" t="s">
        <v>271</v>
      </c>
      <c r="F24" s="22" t="str">
        <f>"0,5702"</f>
        <v>0,5702</v>
      </c>
      <c r="G24" s="22" t="s">
        <v>41</v>
      </c>
      <c r="H24" s="22" t="s">
        <v>30</v>
      </c>
      <c r="I24" s="106" t="s">
        <v>36</v>
      </c>
      <c r="J24" s="106" t="s">
        <v>217</v>
      </c>
      <c r="K24" s="107" t="s">
        <v>55</v>
      </c>
      <c r="L24" s="108"/>
      <c r="M24" s="106" t="s">
        <v>33</v>
      </c>
      <c r="N24" s="106" t="s">
        <v>208</v>
      </c>
      <c r="O24" s="107" t="s">
        <v>22</v>
      </c>
      <c r="P24" s="108"/>
      <c r="Q24" s="106" t="s">
        <v>272</v>
      </c>
      <c r="R24" s="106" t="s">
        <v>36</v>
      </c>
      <c r="S24" s="107" t="s">
        <v>23</v>
      </c>
      <c r="T24" s="108"/>
      <c r="U24" s="46">
        <v>657.5</v>
      </c>
      <c r="V24" s="109" t="str">
        <f>"374,9065"</f>
        <v>374,9065</v>
      </c>
      <c r="W24" s="22" t="s">
        <v>692</v>
      </c>
    </row>
    <row r="26" spans="2:3" ht="18">
      <c r="B26" s="28" t="s">
        <v>59</v>
      </c>
      <c r="C26" s="28"/>
    </row>
    <row r="27" spans="2:3" ht="15.75">
      <c r="B27" s="29" t="s">
        <v>60</v>
      </c>
      <c r="C27" s="29"/>
    </row>
    <row r="28" spans="2:3" ht="13.5">
      <c r="B28" s="31"/>
      <c r="C28" s="32" t="s">
        <v>61</v>
      </c>
    </row>
    <row r="29" spans="1:6" ht="13.5">
      <c r="A29" s="34" t="s">
        <v>563</v>
      </c>
      <c r="B29" s="34" t="s">
        <v>62</v>
      </c>
      <c r="C29" s="34" t="s">
        <v>63</v>
      </c>
      <c r="D29" s="34" t="s">
        <v>64</v>
      </c>
      <c r="E29" s="34" t="s">
        <v>9</v>
      </c>
      <c r="F29" s="34" t="s">
        <v>65</v>
      </c>
    </row>
    <row r="30" spans="1:6" ht="12.75">
      <c r="A30" s="43" t="s">
        <v>560</v>
      </c>
      <c r="B30" s="30" t="s">
        <v>256</v>
      </c>
      <c r="C30" s="36" t="s">
        <v>61</v>
      </c>
      <c r="D30" s="43" t="s">
        <v>76</v>
      </c>
      <c r="E30" s="43" t="s">
        <v>584</v>
      </c>
      <c r="F30" s="52" t="s">
        <v>574</v>
      </c>
    </row>
    <row r="31" spans="1:6" ht="12.75">
      <c r="A31" s="43" t="s">
        <v>561</v>
      </c>
      <c r="B31" s="30" t="s">
        <v>241</v>
      </c>
      <c r="C31" s="36" t="s">
        <v>61</v>
      </c>
      <c r="D31" s="43" t="s">
        <v>870</v>
      </c>
      <c r="E31" s="43" t="s">
        <v>273</v>
      </c>
      <c r="F31" s="43" t="s">
        <v>274</v>
      </c>
    </row>
    <row r="32" spans="1:6" ht="12.75">
      <c r="A32" s="43" t="s">
        <v>562</v>
      </c>
      <c r="B32" s="30" t="s">
        <v>232</v>
      </c>
      <c r="C32" s="36" t="s">
        <v>61</v>
      </c>
      <c r="D32" s="43" t="s">
        <v>858</v>
      </c>
      <c r="E32" s="43" t="s">
        <v>275</v>
      </c>
      <c r="F32" s="43" t="s">
        <v>276</v>
      </c>
    </row>
    <row r="33" spans="2:6" ht="12.75">
      <c r="B33" s="21"/>
      <c r="C33" s="36"/>
      <c r="D33" s="36"/>
      <c r="E33" s="36"/>
      <c r="F33" s="36"/>
    </row>
    <row r="34" ht="12.75">
      <c r="B34" s="21"/>
    </row>
    <row r="35" ht="12.75">
      <c r="B35" s="21"/>
    </row>
    <row r="36" ht="12.75">
      <c r="B36" s="21"/>
    </row>
  </sheetData>
  <sheetProtection/>
  <mergeCells count="20">
    <mergeCell ref="C18:V18"/>
    <mergeCell ref="C23:V23"/>
    <mergeCell ref="B3:B4"/>
    <mergeCell ref="A3:A4"/>
    <mergeCell ref="U3:U4"/>
    <mergeCell ref="V3:V4"/>
    <mergeCell ref="H3:H4"/>
    <mergeCell ref="I3:L3"/>
    <mergeCell ref="M3:P3"/>
    <mergeCell ref="Q3:T3"/>
    <mergeCell ref="W3:W4"/>
    <mergeCell ref="C5:V5"/>
    <mergeCell ref="C8:V8"/>
    <mergeCell ref="C14:V14"/>
    <mergeCell ref="C1:W2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"/>
  <sheetViews>
    <sheetView workbookViewId="0" topLeftCell="E1">
      <selection activeCell="H20" sqref="H20"/>
    </sheetView>
  </sheetViews>
  <sheetFormatPr defaultColWidth="8.75390625" defaultRowHeight="12.75"/>
  <cols>
    <col min="1" max="1" width="8.875" style="43" customWidth="1"/>
    <col min="2" max="2" width="16.875" style="43" customWidth="1"/>
    <col min="3" max="3" width="21.25390625" style="21" customWidth="1"/>
    <col min="4" max="4" width="25.375" style="21" customWidth="1"/>
    <col min="5" max="5" width="10.625" style="21" bestFit="1" customWidth="1"/>
    <col min="6" max="6" width="8.375" style="21" bestFit="1" customWidth="1"/>
    <col min="7" max="7" width="21.625" style="21" customWidth="1"/>
    <col min="8" max="8" width="26.125" style="21" bestFit="1" customWidth="1"/>
    <col min="9" max="11" width="5.625" style="35" bestFit="1" customWidth="1"/>
    <col min="12" max="12" width="9.125" style="35" customWidth="1"/>
    <col min="13" max="15" width="5.625" style="35" bestFit="1" customWidth="1"/>
    <col min="16" max="16" width="4.625" style="35" bestFit="1" customWidth="1"/>
    <col min="17" max="19" width="5.625" style="35" bestFit="1" customWidth="1"/>
    <col min="20" max="20" width="4.625" style="35" bestFit="1" customWidth="1"/>
    <col min="21" max="21" width="11.25390625" style="43" bestFit="1" customWidth="1"/>
    <col min="22" max="22" width="10.625" style="35" customWidth="1"/>
    <col min="23" max="23" width="26.25390625" style="21" customWidth="1"/>
  </cols>
  <sheetData>
    <row r="1" spans="3:23" s="1" customFormat="1" ht="15" customHeight="1">
      <c r="C1" s="204" t="s">
        <v>714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6"/>
    </row>
    <row r="2" spans="2:23" s="1" customFormat="1" ht="105" customHeight="1" thickBot="1">
      <c r="B2" s="48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8"/>
    </row>
    <row r="3" spans="1:23" s="2" customFormat="1" ht="12.75" customHeight="1">
      <c r="A3" s="232" t="s">
        <v>563</v>
      </c>
      <c r="B3" s="213" t="s">
        <v>564</v>
      </c>
      <c r="C3" s="230" t="s">
        <v>0</v>
      </c>
      <c r="D3" s="211" t="s">
        <v>5</v>
      </c>
      <c r="E3" s="213" t="s">
        <v>6</v>
      </c>
      <c r="F3" s="215" t="s">
        <v>11</v>
      </c>
      <c r="G3" s="215" t="s">
        <v>3</v>
      </c>
      <c r="H3" s="215" t="s">
        <v>7</v>
      </c>
      <c r="I3" s="215" t="s">
        <v>559</v>
      </c>
      <c r="J3" s="215"/>
      <c r="K3" s="215"/>
      <c r="L3" s="215"/>
      <c r="M3" s="215" t="s">
        <v>571</v>
      </c>
      <c r="N3" s="215"/>
      <c r="O3" s="215"/>
      <c r="P3" s="215"/>
      <c r="Q3" s="215" t="s">
        <v>572</v>
      </c>
      <c r="R3" s="215"/>
      <c r="S3" s="215"/>
      <c r="T3" s="215"/>
      <c r="U3" s="215" t="s">
        <v>737</v>
      </c>
      <c r="V3" s="215" t="s">
        <v>2</v>
      </c>
      <c r="W3" s="219" t="s">
        <v>1</v>
      </c>
    </row>
    <row r="4" spans="1:23" s="2" customFormat="1" ht="21" customHeight="1" thickBot="1">
      <c r="A4" s="233"/>
      <c r="B4" s="214"/>
      <c r="C4" s="231"/>
      <c r="D4" s="212"/>
      <c r="E4" s="214"/>
      <c r="F4" s="212"/>
      <c r="G4" s="212"/>
      <c r="H4" s="212"/>
      <c r="I4" s="5">
        <v>1</v>
      </c>
      <c r="J4" s="5">
        <v>2</v>
      </c>
      <c r="K4" s="5">
        <v>3</v>
      </c>
      <c r="L4" s="5" t="s">
        <v>4</v>
      </c>
      <c r="M4" s="5">
        <v>1</v>
      </c>
      <c r="N4" s="5">
        <v>2</v>
      </c>
      <c r="O4" s="5">
        <v>3</v>
      </c>
      <c r="P4" s="5" t="s">
        <v>4</v>
      </c>
      <c r="Q4" s="5">
        <v>1</v>
      </c>
      <c r="R4" s="5">
        <v>2</v>
      </c>
      <c r="S4" s="5">
        <v>3</v>
      </c>
      <c r="T4" s="5" t="s">
        <v>4</v>
      </c>
      <c r="U4" s="212"/>
      <c r="V4" s="212"/>
      <c r="W4" s="220"/>
    </row>
    <row r="5" spans="1:22" ht="15.75">
      <c r="A5"/>
      <c r="B5"/>
      <c r="C5" s="221" t="s">
        <v>281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</row>
    <row r="6" spans="1:23" ht="12.75">
      <c r="A6" s="42" t="s">
        <v>560</v>
      </c>
      <c r="B6" s="42" t="s">
        <v>568</v>
      </c>
      <c r="C6" s="22" t="s">
        <v>767</v>
      </c>
      <c r="D6" s="22" t="s">
        <v>282</v>
      </c>
      <c r="E6" s="22" t="s">
        <v>283</v>
      </c>
      <c r="F6" s="22" t="str">
        <f>"0,5611"</f>
        <v>0,5611</v>
      </c>
      <c r="G6" s="22" t="s">
        <v>90</v>
      </c>
      <c r="H6" s="22" t="s">
        <v>203</v>
      </c>
      <c r="I6" s="106" t="s">
        <v>204</v>
      </c>
      <c r="J6" s="106" t="s">
        <v>170</v>
      </c>
      <c r="K6" s="107" t="s">
        <v>36</v>
      </c>
      <c r="L6" s="108"/>
      <c r="M6" s="106" t="s">
        <v>111</v>
      </c>
      <c r="N6" s="106" t="s">
        <v>33</v>
      </c>
      <c r="O6" s="107" t="s">
        <v>34</v>
      </c>
      <c r="P6" s="108"/>
      <c r="Q6" s="106" t="s">
        <v>31</v>
      </c>
      <c r="R6" s="107" t="s">
        <v>32</v>
      </c>
      <c r="S6" s="106" t="s">
        <v>32</v>
      </c>
      <c r="T6" s="108"/>
      <c r="U6" s="42" t="s">
        <v>284</v>
      </c>
      <c r="V6" s="109" t="str">
        <f>"319,8270"</f>
        <v>319,8270</v>
      </c>
      <c r="W6" s="22" t="s">
        <v>681</v>
      </c>
    </row>
    <row r="8" ht="15.75">
      <c r="G8" s="27"/>
    </row>
  </sheetData>
  <sheetProtection/>
  <mergeCells count="16">
    <mergeCell ref="U3:U4"/>
    <mergeCell ref="V3:V4"/>
    <mergeCell ref="W3:W4"/>
    <mergeCell ref="C5:V5"/>
    <mergeCell ref="B3:B4"/>
    <mergeCell ref="A3:A4"/>
    <mergeCell ref="C1:W2"/>
    <mergeCell ref="C3:C4"/>
    <mergeCell ref="D3:D4"/>
    <mergeCell ref="E3:E4"/>
    <mergeCell ref="F3:F4"/>
    <mergeCell ref="G3:G4"/>
    <mergeCell ref="H3:H4"/>
    <mergeCell ref="I3:L3"/>
    <mergeCell ref="M3:P3"/>
    <mergeCell ref="Q3:T3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S16" sqref="S16"/>
    </sheetView>
  </sheetViews>
  <sheetFormatPr defaultColWidth="8.75390625" defaultRowHeight="12.75"/>
  <cols>
    <col min="1" max="1" width="10.625" style="43" customWidth="1"/>
    <col min="2" max="2" width="14.75390625" style="43" customWidth="1"/>
    <col min="3" max="3" width="28.25390625" style="21" bestFit="1" customWidth="1"/>
    <col min="4" max="4" width="26.875" style="21" bestFit="1" customWidth="1"/>
    <col min="5" max="5" width="10.625" style="21" bestFit="1" customWidth="1"/>
    <col min="6" max="6" width="8.375" style="21" bestFit="1" customWidth="1"/>
    <col min="7" max="7" width="24.875" style="21" customWidth="1"/>
    <col min="8" max="8" width="36.75390625" style="21" bestFit="1" customWidth="1"/>
    <col min="9" max="11" width="5.625" style="35" bestFit="1" customWidth="1"/>
    <col min="12" max="12" width="4.625" style="35" bestFit="1" customWidth="1"/>
    <col min="13" max="15" width="5.625" style="35" bestFit="1" customWidth="1"/>
    <col min="16" max="16" width="4.625" style="35" bestFit="1" customWidth="1"/>
    <col min="17" max="17" width="11.25390625" style="43" bestFit="1" customWidth="1"/>
    <col min="18" max="18" width="8.625" style="35" bestFit="1" customWidth="1"/>
    <col min="19" max="19" width="17.375" style="21" bestFit="1" customWidth="1"/>
  </cols>
  <sheetData>
    <row r="1" spans="3:19" s="1" customFormat="1" ht="15" customHeight="1">
      <c r="C1" s="204" t="s">
        <v>715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6"/>
    </row>
    <row r="2" spans="3:19" s="1" customFormat="1" ht="81" customHeight="1" thickBot="1"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6"/>
    </row>
    <row r="3" spans="1:19" s="2" customFormat="1" ht="12.75" customHeight="1">
      <c r="A3" s="232" t="s">
        <v>563</v>
      </c>
      <c r="B3" s="213" t="s">
        <v>564</v>
      </c>
      <c r="C3" s="230" t="s">
        <v>0</v>
      </c>
      <c r="D3" s="211" t="s">
        <v>5</v>
      </c>
      <c r="E3" s="213" t="s">
        <v>6</v>
      </c>
      <c r="F3" s="215" t="s">
        <v>11</v>
      </c>
      <c r="G3" s="215" t="s">
        <v>3</v>
      </c>
      <c r="H3" s="215" t="s">
        <v>7</v>
      </c>
      <c r="I3" s="215" t="s">
        <v>571</v>
      </c>
      <c r="J3" s="215"/>
      <c r="K3" s="215"/>
      <c r="L3" s="215"/>
      <c r="M3" s="215" t="s">
        <v>572</v>
      </c>
      <c r="N3" s="215"/>
      <c r="O3" s="215"/>
      <c r="P3" s="215"/>
      <c r="Q3" s="215" t="s">
        <v>737</v>
      </c>
      <c r="R3" s="215" t="s">
        <v>2</v>
      </c>
      <c r="S3" s="219" t="s">
        <v>1</v>
      </c>
    </row>
    <row r="4" spans="1:19" s="2" customFormat="1" ht="21" customHeight="1" thickBot="1">
      <c r="A4" s="233"/>
      <c r="B4" s="214"/>
      <c r="C4" s="231"/>
      <c r="D4" s="212"/>
      <c r="E4" s="214"/>
      <c r="F4" s="212"/>
      <c r="G4" s="212"/>
      <c r="H4" s="212"/>
      <c r="I4" s="5">
        <v>1</v>
      </c>
      <c r="J4" s="5">
        <v>2</v>
      </c>
      <c r="K4" s="5">
        <v>3</v>
      </c>
      <c r="L4" s="5" t="s">
        <v>4</v>
      </c>
      <c r="M4" s="5">
        <v>1</v>
      </c>
      <c r="N4" s="5">
        <v>2</v>
      </c>
      <c r="O4" s="5">
        <v>3</v>
      </c>
      <c r="P4" s="5" t="s">
        <v>4</v>
      </c>
      <c r="Q4" s="212"/>
      <c r="R4" s="212"/>
      <c r="S4" s="220"/>
    </row>
    <row r="5" spans="1:18" ht="15.75">
      <c r="A5"/>
      <c r="B5"/>
      <c r="C5" s="234" t="s">
        <v>112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</row>
    <row r="6" spans="1:19" ht="12.75">
      <c r="A6" s="42" t="s">
        <v>560</v>
      </c>
      <c r="B6" s="42" t="s">
        <v>567</v>
      </c>
      <c r="C6" s="22" t="s">
        <v>232</v>
      </c>
      <c r="D6" s="22" t="s">
        <v>233</v>
      </c>
      <c r="E6" s="22" t="s">
        <v>234</v>
      </c>
      <c r="F6" s="22" t="str">
        <f>"0,7513"</f>
        <v>0,7513</v>
      </c>
      <c r="G6" s="22" t="s">
        <v>90</v>
      </c>
      <c r="H6" s="22" t="s">
        <v>680</v>
      </c>
      <c r="I6" s="107" t="s">
        <v>110</v>
      </c>
      <c r="J6" s="106" t="s">
        <v>110</v>
      </c>
      <c r="K6" s="107" t="s">
        <v>115</v>
      </c>
      <c r="L6" s="108"/>
      <c r="M6" s="106" t="s">
        <v>236</v>
      </c>
      <c r="N6" s="107" t="s">
        <v>188</v>
      </c>
      <c r="O6" s="106" t="s">
        <v>188</v>
      </c>
      <c r="P6" s="108"/>
      <c r="Q6" s="42">
        <v>312.5</v>
      </c>
      <c r="R6" s="109" t="str">
        <f>"234,7656"</f>
        <v>234,7656</v>
      </c>
      <c r="S6" s="22" t="s">
        <v>872</v>
      </c>
    </row>
    <row r="7" spans="1:19" ht="12.75">
      <c r="A7" s="79"/>
      <c r="B7" s="79"/>
      <c r="C7" s="33"/>
      <c r="D7" s="33"/>
      <c r="E7" s="33"/>
      <c r="F7" s="33"/>
      <c r="G7" s="33"/>
      <c r="H7" s="33"/>
      <c r="I7" s="165"/>
      <c r="J7" s="165"/>
      <c r="K7" s="165"/>
      <c r="L7" s="165"/>
      <c r="M7" s="165"/>
      <c r="N7" s="165"/>
      <c r="O7" s="165"/>
      <c r="P7" s="165"/>
      <c r="Q7" s="79"/>
      <c r="R7" s="165"/>
      <c r="S7" s="33"/>
    </row>
    <row r="8" spans="1:18" ht="15.75">
      <c r="A8"/>
      <c r="B8"/>
      <c r="C8" s="234" t="s">
        <v>122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</row>
    <row r="9" spans="1:19" ht="12.75">
      <c r="A9" s="42" t="s">
        <v>560</v>
      </c>
      <c r="B9" s="42"/>
      <c r="C9" s="22" t="s">
        <v>158</v>
      </c>
      <c r="D9" s="22" t="s">
        <v>159</v>
      </c>
      <c r="E9" s="22" t="s">
        <v>160</v>
      </c>
      <c r="F9" s="22" t="str">
        <f>"0,7322"</f>
        <v>0,7322</v>
      </c>
      <c r="G9" s="22" t="s">
        <v>41</v>
      </c>
      <c r="H9" s="22" t="s">
        <v>161</v>
      </c>
      <c r="I9" s="106" t="s">
        <v>70</v>
      </c>
      <c r="J9" s="106" t="s">
        <v>92</v>
      </c>
      <c r="K9" s="108"/>
      <c r="L9" s="108"/>
      <c r="M9" s="106" t="s">
        <v>154</v>
      </c>
      <c r="N9" s="106" t="s">
        <v>119</v>
      </c>
      <c r="O9" s="106" t="s">
        <v>111</v>
      </c>
      <c r="P9" s="108"/>
      <c r="Q9" s="42">
        <v>192.5</v>
      </c>
      <c r="R9" s="109" t="str">
        <f>"188,8710"</f>
        <v>188,8710</v>
      </c>
      <c r="S9" s="22" t="s">
        <v>162</v>
      </c>
    </row>
    <row r="11" spans="1:18" ht="15.75">
      <c r="A11"/>
      <c r="B11"/>
      <c r="C11" s="216" t="s">
        <v>163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</row>
    <row r="12" spans="1:19" ht="12.75">
      <c r="A12" s="40" t="s">
        <v>560</v>
      </c>
      <c r="B12" s="40" t="s">
        <v>567</v>
      </c>
      <c r="C12" s="24" t="s">
        <v>768</v>
      </c>
      <c r="D12" s="24" t="s">
        <v>527</v>
      </c>
      <c r="E12" s="24" t="s">
        <v>528</v>
      </c>
      <c r="F12" s="24" t="str">
        <f>"0,6600"</f>
        <v>0,6600</v>
      </c>
      <c r="G12" s="24" t="s">
        <v>29</v>
      </c>
      <c r="H12" s="24" t="s">
        <v>251</v>
      </c>
      <c r="I12" s="110" t="s">
        <v>115</v>
      </c>
      <c r="J12" s="111" t="s">
        <v>111</v>
      </c>
      <c r="K12" s="110" t="s">
        <v>111</v>
      </c>
      <c r="L12" s="112"/>
      <c r="M12" s="110" t="s">
        <v>32</v>
      </c>
      <c r="N12" s="110" t="s">
        <v>169</v>
      </c>
      <c r="O12" s="110" t="s">
        <v>19</v>
      </c>
      <c r="P12" s="112"/>
      <c r="Q12" s="40">
        <v>352.5</v>
      </c>
      <c r="R12" s="113" t="str">
        <f>"232,6676"</f>
        <v>232,6676</v>
      </c>
      <c r="S12" s="24" t="s">
        <v>872</v>
      </c>
    </row>
    <row r="13" spans="1:19" ht="12.75">
      <c r="A13" s="41" t="s">
        <v>561</v>
      </c>
      <c r="B13" s="41"/>
      <c r="C13" s="26" t="s">
        <v>190</v>
      </c>
      <c r="D13" s="26" t="s">
        <v>191</v>
      </c>
      <c r="E13" s="26" t="s">
        <v>192</v>
      </c>
      <c r="F13" s="26" t="str">
        <f>"0,6529"</f>
        <v>0,6529</v>
      </c>
      <c r="G13" s="26" t="s">
        <v>41</v>
      </c>
      <c r="H13" s="26" t="s">
        <v>193</v>
      </c>
      <c r="I13" s="119" t="s">
        <v>150</v>
      </c>
      <c r="J13" s="118" t="s">
        <v>150</v>
      </c>
      <c r="K13" s="119" t="s">
        <v>85</v>
      </c>
      <c r="L13" s="120"/>
      <c r="M13" s="118" t="s">
        <v>170</v>
      </c>
      <c r="N13" s="119" t="s">
        <v>36</v>
      </c>
      <c r="O13" s="119" t="s">
        <v>36</v>
      </c>
      <c r="P13" s="120"/>
      <c r="Q13" s="41">
        <v>332.5</v>
      </c>
      <c r="R13" s="121" t="str">
        <f>"217,0892"</f>
        <v>217,0892</v>
      </c>
      <c r="S13" s="26" t="s">
        <v>872</v>
      </c>
    </row>
    <row r="15" spans="1:18" ht="15.75">
      <c r="A15"/>
      <c r="B15"/>
      <c r="C15" s="216" t="s">
        <v>194</v>
      </c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</row>
    <row r="16" spans="1:19" ht="12.75">
      <c r="A16" s="42" t="s">
        <v>560</v>
      </c>
      <c r="B16" s="42"/>
      <c r="C16" s="22" t="s">
        <v>769</v>
      </c>
      <c r="D16" s="22" t="s">
        <v>550</v>
      </c>
      <c r="E16" s="22" t="s">
        <v>409</v>
      </c>
      <c r="F16" s="22" t="str">
        <f>"0,6173"</f>
        <v>0,6173</v>
      </c>
      <c r="G16" s="22" t="s">
        <v>41</v>
      </c>
      <c r="H16" s="22" t="s">
        <v>161</v>
      </c>
      <c r="I16" s="106" t="s">
        <v>297</v>
      </c>
      <c r="J16" s="106" t="s">
        <v>111</v>
      </c>
      <c r="K16" s="106" t="s">
        <v>403</v>
      </c>
      <c r="L16" s="108"/>
      <c r="M16" s="106" t="s">
        <v>221</v>
      </c>
      <c r="N16" s="106" t="s">
        <v>35</v>
      </c>
      <c r="O16" s="106" t="s">
        <v>36</v>
      </c>
      <c r="P16" s="108"/>
      <c r="Q16" s="42">
        <v>382.5</v>
      </c>
      <c r="R16" s="109" t="str">
        <f>"236,1172"</f>
        <v>236,1172</v>
      </c>
      <c r="S16" s="22" t="s">
        <v>872</v>
      </c>
    </row>
  </sheetData>
  <sheetProtection/>
  <mergeCells count="18">
    <mergeCell ref="B3:B4"/>
    <mergeCell ref="A3:A4"/>
    <mergeCell ref="C5:R5"/>
    <mergeCell ref="Q3:Q4"/>
    <mergeCell ref="R3:R4"/>
    <mergeCell ref="S3:S4"/>
    <mergeCell ref="I3:L3"/>
    <mergeCell ref="M3:P3"/>
    <mergeCell ref="C8:R8"/>
    <mergeCell ref="C11:R11"/>
    <mergeCell ref="C15:R15"/>
    <mergeCell ref="C1:S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C1">
      <selection activeCell="H21" sqref="H21"/>
    </sheetView>
  </sheetViews>
  <sheetFormatPr defaultColWidth="8.75390625" defaultRowHeight="12.75"/>
  <cols>
    <col min="1" max="1" width="11.25390625" style="43" bestFit="1" customWidth="1"/>
    <col min="2" max="2" width="15.875" style="43" customWidth="1"/>
    <col min="3" max="3" width="26.00390625" style="21" bestFit="1" customWidth="1"/>
    <col min="4" max="4" width="27.125" style="21" customWidth="1"/>
    <col min="5" max="5" width="10.625" style="21" bestFit="1" customWidth="1"/>
    <col min="6" max="6" width="8.375" style="21" bestFit="1" customWidth="1"/>
    <col min="7" max="7" width="21.375" style="21" customWidth="1"/>
    <col min="8" max="8" width="28.125" style="21" bestFit="1" customWidth="1"/>
    <col min="9" max="15" width="5.625" style="35" bestFit="1" customWidth="1"/>
    <col min="16" max="16" width="4.625" style="35" bestFit="1" customWidth="1"/>
    <col min="17" max="17" width="11.25390625" style="43" bestFit="1" customWidth="1"/>
    <col min="18" max="18" width="8.625" style="35" bestFit="1" customWidth="1"/>
    <col min="19" max="19" width="27.375" style="21" customWidth="1"/>
  </cols>
  <sheetData>
    <row r="1" spans="3:19" s="1" customFormat="1" ht="15" customHeight="1">
      <c r="C1" s="204" t="s">
        <v>881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6"/>
    </row>
    <row r="2" spans="3:19" s="1" customFormat="1" ht="89.25" customHeight="1" thickBot="1"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8"/>
    </row>
    <row r="3" spans="1:19" s="2" customFormat="1" ht="12.75" customHeight="1">
      <c r="A3" s="224" t="s">
        <v>563</v>
      </c>
      <c r="B3" s="222" t="s">
        <v>564</v>
      </c>
      <c r="C3" s="209" t="s">
        <v>0</v>
      </c>
      <c r="D3" s="211" t="s">
        <v>5</v>
      </c>
      <c r="E3" s="213" t="s">
        <v>6</v>
      </c>
      <c r="F3" s="215" t="s">
        <v>11</v>
      </c>
      <c r="G3" s="215" t="s">
        <v>3</v>
      </c>
      <c r="H3" s="215" t="s">
        <v>7</v>
      </c>
      <c r="I3" s="215" t="s">
        <v>571</v>
      </c>
      <c r="J3" s="215"/>
      <c r="K3" s="215"/>
      <c r="L3" s="215"/>
      <c r="M3" s="215" t="s">
        <v>572</v>
      </c>
      <c r="N3" s="215"/>
      <c r="O3" s="215"/>
      <c r="P3" s="215"/>
      <c r="Q3" s="215" t="s">
        <v>737</v>
      </c>
      <c r="R3" s="215" t="s">
        <v>2</v>
      </c>
      <c r="S3" s="219" t="s">
        <v>1</v>
      </c>
    </row>
    <row r="4" spans="1:19" s="2" customFormat="1" ht="21" customHeight="1" thickBot="1">
      <c r="A4" s="225"/>
      <c r="B4" s="223"/>
      <c r="C4" s="210"/>
      <c r="D4" s="212"/>
      <c r="E4" s="214"/>
      <c r="F4" s="212"/>
      <c r="G4" s="212"/>
      <c r="H4" s="212"/>
      <c r="I4" s="5">
        <v>1</v>
      </c>
      <c r="J4" s="5">
        <v>2</v>
      </c>
      <c r="K4" s="5">
        <v>3</v>
      </c>
      <c r="L4" s="5" t="s">
        <v>4</v>
      </c>
      <c r="M4" s="5">
        <v>1</v>
      </c>
      <c r="N4" s="5">
        <v>2</v>
      </c>
      <c r="O4" s="5">
        <v>3</v>
      </c>
      <c r="P4" s="5" t="s">
        <v>4</v>
      </c>
      <c r="Q4" s="212"/>
      <c r="R4" s="212"/>
      <c r="S4" s="220"/>
    </row>
    <row r="5" spans="1:18" ht="15.75">
      <c r="A5"/>
      <c r="B5"/>
      <c r="C5" s="221" t="s">
        <v>112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</row>
    <row r="6" spans="1:19" ht="12.75">
      <c r="A6" s="42" t="s">
        <v>560</v>
      </c>
      <c r="B6" s="42" t="s">
        <v>568</v>
      </c>
      <c r="C6" s="22" t="s">
        <v>232</v>
      </c>
      <c r="D6" s="22" t="s">
        <v>233</v>
      </c>
      <c r="E6" s="22" t="s">
        <v>234</v>
      </c>
      <c r="F6" s="22" t="str">
        <f>"0,7513"</f>
        <v>0,7513</v>
      </c>
      <c r="G6" s="22" t="s">
        <v>90</v>
      </c>
      <c r="H6" s="22" t="s">
        <v>682</v>
      </c>
      <c r="I6" s="107" t="s">
        <v>110</v>
      </c>
      <c r="J6" s="106" t="s">
        <v>110</v>
      </c>
      <c r="K6" s="107" t="s">
        <v>115</v>
      </c>
      <c r="L6" s="108"/>
      <c r="M6" s="106" t="s">
        <v>236</v>
      </c>
      <c r="N6" s="107" t="s">
        <v>188</v>
      </c>
      <c r="O6" s="106" t="s">
        <v>188</v>
      </c>
      <c r="P6" s="108"/>
      <c r="Q6" s="42">
        <v>312.5</v>
      </c>
      <c r="R6" s="109" t="str">
        <f>"234,7656"</f>
        <v>234,7656</v>
      </c>
      <c r="S6" s="22" t="s">
        <v>872</v>
      </c>
    </row>
    <row r="8" spans="1:18" ht="15.75">
      <c r="A8"/>
      <c r="B8"/>
      <c r="C8" s="216" t="s">
        <v>194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</row>
    <row r="9" spans="1:19" ht="12.75">
      <c r="A9" s="40" t="s">
        <v>560</v>
      </c>
      <c r="B9" s="84" t="s">
        <v>568</v>
      </c>
      <c r="C9" s="24" t="s">
        <v>770</v>
      </c>
      <c r="D9" s="85" t="s">
        <v>547</v>
      </c>
      <c r="E9" s="24" t="s">
        <v>405</v>
      </c>
      <c r="F9" s="24" t="str">
        <f>"0,6119"</f>
        <v>0,6119</v>
      </c>
      <c r="G9" s="24" t="s">
        <v>90</v>
      </c>
      <c r="H9" s="24" t="s">
        <v>30</v>
      </c>
      <c r="I9" s="110" t="s">
        <v>84</v>
      </c>
      <c r="J9" s="110" t="s">
        <v>154</v>
      </c>
      <c r="K9" s="110" t="s">
        <v>240</v>
      </c>
      <c r="L9" s="110" t="s">
        <v>119</v>
      </c>
      <c r="M9" s="110" t="s">
        <v>145</v>
      </c>
      <c r="N9" s="110" t="s">
        <v>53</v>
      </c>
      <c r="O9" s="110" t="s">
        <v>32</v>
      </c>
      <c r="P9" s="112"/>
      <c r="Q9" s="40">
        <v>317.5</v>
      </c>
      <c r="R9" s="113" t="str">
        <f>"194,2624"</f>
        <v>194,2624</v>
      </c>
      <c r="S9" s="24" t="s">
        <v>116</v>
      </c>
    </row>
    <row r="10" spans="1:19" ht="12.75">
      <c r="A10" s="41" t="s">
        <v>560</v>
      </c>
      <c r="B10" s="95" t="s">
        <v>568</v>
      </c>
      <c r="C10" s="26" t="s">
        <v>770</v>
      </c>
      <c r="D10" s="92" t="s">
        <v>548</v>
      </c>
      <c r="E10" s="26" t="s">
        <v>405</v>
      </c>
      <c r="F10" s="26" t="str">
        <f>"0,6119"</f>
        <v>0,6119</v>
      </c>
      <c r="G10" s="26" t="s">
        <v>90</v>
      </c>
      <c r="H10" s="26" t="s">
        <v>30</v>
      </c>
      <c r="I10" s="118" t="s">
        <v>84</v>
      </c>
      <c r="J10" s="118" t="s">
        <v>154</v>
      </c>
      <c r="K10" s="118" t="s">
        <v>240</v>
      </c>
      <c r="L10" s="118" t="s">
        <v>119</v>
      </c>
      <c r="M10" s="118" t="s">
        <v>145</v>
      </c>
      <c r="N10" s="118" t="s">
        <v>53</v>
      </c>
      <c r="O10" s="118" t="s">
        <v>32</v>
      </c>
      <c r="P10" s="120"/>
      <c r="Q10" s="41">
        <v>317.5</v>
      </c>
      <c r="R10" s="121" t="str">
        <f>"194,2624"</f>
        <v>194,2624</v>
      </c>
      <c r="S10" s="26" t="s">
        <v>116</v>
      </c>
    </row>
    <row r="12" spans="1:18" ht="15.75">
      <c r="A12"/>
      <c r="B12"/>
      <c r="C12" s="216" t="s">
        <v>12</v>
      </c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</row>
    <row r="13" spans="1:19" ht="12.75">
      <c r="A13" s="40" t="s">
        <v>560</v>
      </c>
      <c r="B13" s="40" t="s">
        <v>567</v>
      </c>
      <c r="C13" s="24" t="s">
        <v>256</v>
      </c>
      <c r="D13" s="24" t="s">
        <v>257</v>
      </c>
      <c r="E13" s="24" t="s">
        <v>258</v>
      </c>
      <c r="F13" s="24" t="str">
        <f>"0,5968"</f>
        <v>0,5968</v>
      </c>
      <c r="G13" s="24" t="s">
        <v>90</v>
      </c>
      <c r="H13" s="24" t="s">
        <v>30</v>
      </c>
      <c r="I13" s="110" t="s">
        <v>53</v>
      </c>
      <c r="J13" s="110" t="s">
        <v>460</v>
      </c>
      <c r="K13" s="110" t="s">
        <v>53</v>
      </c>
      <c r="L13" s="166"/>
      <c r="M13" s="167" t="s">
        <v>262</v>
      </c>
      <c r="N13" s="168" t="s">
        <v>263</v>
      </c>
      <c r="O13" s="169" t="s">
        <v>264</v>
      </c>
      <c r="P13" s="170"/>
      <c r="Q13" s="40">
        <v>487.5</v>
      </c>
      <c r="R13" s="113" t="str">
        <f>"290,9156"</f>
        <v>290,9156</v>
      </c>
      <c r="S13" s="24" t="s">
        <v>681</v>
      </c>
    </row>
    <row r="14" spans="1:19" ht="12.75">
      <c r="A14" s="41" t="s">
        <v>561</v>
      </c>
      <c r="B14" s="41" t="s">
        <v>573</v>
      </c>
      <c r="C14" s="26" t="s">
        <v>771</v>
      </c>
      <c r="D14" s="26" t="s">
        <v>549</v>
      </c>
      <c r="E14" s="26" t="s">
        <v>28</v>
      </c>
      <c r="F14" s="26" t="str">
        <f>"0,5911"</f>
        <v>0,5911</v>
      </c>
      <c r="G14" s="26" t="s">
        <v>90</v>
      </c>
      <c r="H14" s="26" t="s">
        <v>30</v>
      </c>
      <c r="I14" s="118" t="s">
        <v>111</v>
      </c>
      <c r="J14" s="118" t="s">
        <v>33</v>
      </c>
      <c r="K14" s="118" t="s">
        <v>208</v>
      </c>
      <c r="L14" s="171"/>
      <c r="M14" s="172" t="s">
        <v>170</v>
      </c>
      <c r="N14" s="173" t="s">
        <v>36</v>
      </c>
      <c r="O14" s="174" t="s">
        <v>36</v>
      </c>
      <c r="P14" s="175"/>
      <c r="Q14" s="41">
        <v>377.5</v>
      </c>
      <c r="R14" s="121" t="str">
        <f>"223,1402"</f>
        <v>223,1402</v>
      </c>
      <c r="S14" s="26" t="s">
        <v>872</v>
      </c>
    </row>
  </sheetData>
  <sheetProtection/>
  <mergeCells count="17">
    <mergeCell ref="B3:B4"/>
    <mergeCell ref="A3:A4"/>
    <mergeCell ref="Q3:Q4"/>
    <mergeCell ref="R3:R4"/>
    <mergeCell ref="S3:S4"/>
    <mergeCell ref="C5:R5"/>
    <mergeCell ref="M3:P3"/>
    <mergeCell ref="C8:R8"/>
    <mergeCell ref="C12:R12"/>
    <mergeCell ref="C1:S2"/>
    <mergeCell ref="C3:C4"/>
    <mergeCell ref="D3:D4"/>
    <mergeCell ref="E3:E4"/>
    <mergeCell ref="F3:F4"/>
    <mergeCell ref="G3:G4"/>
    <mergeCell ref="H3:H4"/>
    <mergeCell ref="I3:L3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D1">
      <selection activeCell="O7" sqref="O7"/>
    </sheetView>
  </sheetViews>
  <sheetFormatPr defaultColWidth="8.75390625" defaultRowHeight="12.75"/>
  <cols>
    <col min="1" max="1" width="8.125" style="36" customWidth="1"/>
    <col min="2" max="2" width="13.375" style="39" customWidth="1"/>
    <col min="3" max="3" width="23.25390625" style="21" customWidth="1"/>
    <col min="4" max="4" width="27.125" style="21" customWidth="1"/>
    <col min="5" max="5" width="10.625" style="21" bestFit="1" customWidth="1"/>
    <col min="6" max="6" width="8.375" style="21" bestFit="1" customWidth="1"/>
    <col min="7" max="7" width="22.75390625" style="21" bestFit="1" customWidth="1"/>
    <col min="8" max="8" width="28.125" style="21" bestFit="1" customWidth="1"/>
    <col min="9" max="11" width="5.625" style="35" bestFit="1" customWidth="1"/>
    <col min="12" max="12" width="9.125" style="35" customWidth="1"/>
    <col min="13" max="13" width="11.25390625" style="47" bestFit="1" customWidth="1"/>
    <col min="14" max="14" width="8.625" style="35" bestFit="1" customWidth="1"/>
    <col min="15" max="15" width="15.375" style="21" bestFit="1" customWidth="1"/>
  </cols>
  <sheetData>
    <row r="1" spans="2:15" s="1" customFormat="1" ht="15" customHeight="1">
      <c r="B1" s="37"/>
      <c r="C1" s="204" t="s">
        <v>716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6"/>
    </row>
    <row r="2" spans="2:15" s="1" customFormat="1" ht="114" customHeight="1" thickBot="1">
      <c r="B2" s="3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8"/>
    </row>
    <row r="3" spans="1:15" s="2" customFormat="1" ht="12.75" customHeight="1">
      <c r="A3" s="232" t="s">
        <v>563</v>
      </c>
      <c r="B3" s="213" t="s">
        <v>564</v>
      </c>
      <c r="C3" s="230" t="s">
        <v>0</v>
      </c>
      <c r="D3" s="211" t="s">
        <v>5</v>
      </c>
      <c r="E3" s="213" t="s">
        <v>6</v>
      </c>
      <c r="F3" s="215" t="s">
        <v>11</v>
      </c>
      <c r="G3" s="215" t="s">
        <v>3</v>
      </c>
      <c r="H3" s="215" t="s">
        <v>7</v>
      </c>
      <c r="I3" s="215" t="s">
        <v>559</v>
      </c>
      <c r="J3" s="215"/>
      <c r="K3" s="215"/>
      <c r="L3" s="215"/>
      <c r="M3" s="217" t="s">
        <v>9</v>
      </c>
      <c r="N3" s="215" t="s">
        <v>2</v>
      </c>
      <c r="O3" s="219" t="s">
        <v>1</v>
      </c>
    </row>
    <row r="4" spans="1:15" s="2" customFormat="1" ht="21" customHeight="1" thickBot="1">
      <c r="A4" s="233"/>
      <c r="B4" s="214"/>
      <c r="C4" s="231"/>
      <c r="D4" s="212"/>
      <c r="E4" s="214"/>
      <c r="F4" s="212"/>
      <c r="G4" s="212"/>
      <c r="H4" s="212"/>
      <c r="I4" s="5" t="s">
        <v>560</v>
      </c>
      <c r="J4" s="5" t="s">
        <v>561</v>
      </c>
      <c r="K4" s="5" t="s">
        <v>562</v>
      </c>
      <c r="L4" s="5" t="s">
        <v>4</v>
      </c>
      <c r="M4" s="218"/>
      <c r="N4" s="212"/>
      <c r="O4" s="220"/>
    </row>
    <row r="5" spans="1:14" ht="15.75">
      <c r="A5"/>
      <c r="B5" s="38"/>
      <c r="C5" s="221" t="s">
        <v>112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</row>
    <row r="6" spans="1:15" ht="12.75">
      <c r="A6" s="40" t="s">
        <v>560</v>
      </c>
      <c r="B6" s="74" t="s">
        <v>565</v>
      </c>
      <c r="C6" s="24" t="s">
        <v>232</v>
      </c>
      <c r="D6" s="24" t="s">
        <v>233</v>
      </c>
      <c r="E6" s="24" t="s">
        <v>234</v>
      </c>
      <c r="F6" s="24" t="str">
        <f>"0,7513"</f>
        <v>0,7513</v>
      </c>
      <c r="G6" s="24" t="s">
        <v>90</v>
      </c>
      <c r="H6" s="24" t="s">
        <v>680</v>
      </c>
      <c r="I6" s="110" t="s">
        <v>156</v>
      </c>
      <c r="J6" s="110" t="s">
        <v>235</v>
      </c>
      <c r="K6" s="111" t="s">
        <v>244</v>
      </c>
      <c r="L6" s="112"/>
      <c r="M6" s="44">
        <v>217.5</v>
      </c>
      <c r="N6" s="113" t="str">
        <f>"163,3969"</f>
        <v>163,3969</v>
      </c>
      <c r="O6" s="24" t="s">
        <v>872</v>
      </c>
    </row>
    <row r="7" spans="1:15" ht="12.75">
      <c r="A7" s="41" t="s">
        <v>561</v>
      </c>
      <c r="B7" s="75" t="s">
        <v>566</v>
      </c>
      <c r="C7" s="26" t="s">
        <v>772</v>
      </c>
      <c r="D7" s="26" t="s">
        <v>557</v>
      </c>
      <c r="E7" s="26" t="s">
        <v>558</v>
      </c>
      <c r="F7" s="26" t="str">
        <f>"0,7484"</f>
        <v>0,7484</v>
      </c>
      <c r="G7" s="26" t="s">
        <v>29</v>
      </c>
      <c r="H7" s="26" t="s">
        <v>30</v>
      </c>
      <c r="I7" s="119" t="s">
        <v>31</v>
      </c>
      <c r="J7" s="119" t="s">
        <v>31</v>
      </c>
      <c r="K7" s="118" t="s">
        <v>31</v>
      </c>
      <c r="L7" s="120"/>
      <c r="M7" s="45">
        <v>190</v>
      </c>
      <c r="N7" s="121" t="str">
        <f>"142,1960"</f>
        <v>142,1960</v>
      </c>
      <c r="O7" s="26" t="s">
        <v>872</v>
      </c>
    </row>
  </sheetData>
  <sheetProtection/>
  <mergeCells count="14">
    <mergeCell ref="B3:B4"/>
    <mergeCell ref="A3:A4"/>
    <mergeCell ref="C1:O2"/>
    <mergeCell ref="C3:C4"/>
    <mergeCell ref="D3:D4"/>
    <mergeCell ref="E3:E4"/>
    <mergeCell ref="F3:F4"/>
    <mergeCell ref="G3:G4"/>
    <mergeCell ref="H3:H4"/>
    <mergeCell ref="I3:L3"/>
    <mergeCell ref="M3:M4"/>
    <mergeCell ref="N3:N4"/>
    <mergeCell ref="O3:O4"/>
    <mergeCell ref="C5:N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B1">
      <selection activeCell="O12" sqref="O12"/>
    </sheetView>
  </sheetViews>
  <sheetFormatPr defaultColWidth="8.75390625" defaultRowHeight="12.75"/>
  <cols>
    <col min="1" max="1" width="9.75390625" style="43" customWidth="1"/>
    <col min="2" max="2" width="14.125" style="43" customWidth="1"/>
    <col min="3" max="3" width="24.00390625" style="21" customWidth="1"/>
    <col min="4" max="4" width="27.125" style="21" customWidth="1"/>
    <col min="5" max="5" width="10.625" style="21" bestFit="1" customWidth="1"/>
    <col min="6" max="6" width="8.375" style="21" bestFit="1" customWidth="1"/>
    <col min="7" max="7" width="22.75390625" style="21" bestFit="1" customWidth="1"/>
    <col min="8" max="8" width="32.375" style="21" customWidth="1"/>
    <col min="9" max="11" width="5.625" style="35" bestFit="1" customWidth="1"/>
    <col min="12" max="12" width="7.75390625" style="35" customWidth="1"/>
    <col min="13" max="13" width="11.25390625" style="47" bestFit="1" customWidth="1"/>
    <col min="14" max="14" width="8.625" style="35" bestFit="1" customWidth="1"/>
    <col min="15" max="15" width="29.875" style="21" bestFit="1" customWidth="1"/>
  </cols>
  <sheetData>
    <row r="1" spans="3:15" s="1" customFormat="1" ht="15" customHeight="1">
      <c r="C1" s="204" t="s">
        <v>717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6"/>
    </row>
    <row r="2" spans="3:15" s="1" customFormat="1" ht="83.25" customHeight="1" thickBot="1"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8"/>
    </row>
    <row r="3" spans="1:15" s="2" customFormat="1" ht="12.75" customHeight="1">
      <c r="A3" s="232" t="s">
        <v>563</v>
      </c>
      <c r="B3" s="213" t="s">
        <v>564</v>
      </c>
      <c r="C3" s="230" t="s">
        <v>0</v>
      </c>
      <c r="D3" s="211" t="s">
        <v>5</v>
      </c>
      <c r="E3" s="213" t="s">
        <v>6</v>
      </c>
      <c r="F3" s="215" t="s">
        <v>11</v>
      </c>
      <c r="G3" s="215" t="s">
        <v>3</v>
      </c>
      <c r="H3" s="215" t="s">
        <v>7</v>
      </c>
      <c r="I3" s="215" t="s">
        <v>559</v>
      </c>
      <c r="J3" s="215"/>
      <c r="K3" s="215"/>
      <c r="L3" s="215"/>
      <c r="M3" s="217" t="s">
        <v>9</v>
      </c>
      <c r="N3" s="215" t="s">
        <v>2</v>
      </c>
      <c r="O3" s="219" t="s">
        <v>1</v>
      </c>
    </row>
    <row r="4" spans="1:15" s="2" customFormat="1" ht="21" customHeight="1" thickBot="1">
      <c r="A4" s="233"/>
      <c r="B4" s="214"/>
      <c r="C4" s="231"/>
      <c r="D4" s="212"/>
      <c r="E4" s="214"/>
      <c r="F4" s="212"/>
      <c r="G4" s="212"/>
      <c r="H4" s="212"/>
      <c r="I4" s="5" t="s">
        <v>560</v>
      </c>
      <c r="J4" s="5" t="s">
        <v>561</v>
      </c>
      <c r="K4" s="5" t="s">
        <v>562</v>
      </c>
      <c r="L4" s="5" t="s">
        <v>4</v>
      </c>
      <c r="M4" s="218"/>
      <c r="N4" s="212"/>
      <c r="O4" s="220"/>
    </row>
    <row r="5" spans="1:14" ht="15.75">
      <c r="A5"/>
      <c r="B5"/>
      <c r="C5" s="221" t="s">
        <v>112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</row>
    <row r="6" spans="1:15" ht="12.75">
      <c r="A6" s="42" t="s">
        <v>560</v>
      </c>
      <c r="B6" s="42" t="s">
        <v>567</v>
      </c>
      <c r="C6" s="22" t="s">
        <v>232</v>
      </c>
      <c r="D6" s="22" t="s">
        <v>233</v>
      </c>
      <c r="E6" s="22" t="s">
        <v>234</v>
      </c>
      <c r="F6" s="22" t="str">
        <f>"0,7513"</f>
        <v>0,7513</v>
      </c>
      <c r="G6" s="22" t="s">
        <v>90</v>
      </c>
      <c r="H6" s="22" t="s">
        <v>680</v>
      </c>
      <c r="I6" s="110" t="s">
        <v>156</v>
      </c>
      <c r="J6" s="110" t="s">
        <v>235</v>
      </c>
      <c r="K6" s="107" t="s">
        <v>244</v>
      </c>
      <c r="L6" s="108"/>
      <c r="M6" s="46">
        <v>217.5</v>
      </c>
      <c r="N6" s="109" t="str">
        <f>"163,3969"</f>
        <v>163,3969</v>
      </c>
      <c r="O6" s="22" t="s">
        <v>872</v>
      </c>
    </row>
    <row r="8" spans="1:14" ht="15.75">
      <c r="A8"/>
      <c r="B8"/>
      <c r="C8" s="216" t="s">
        <v>194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</row>
    <row r="9" spans="1:15" ht="12.75">
      <c r="A9" s="42" t="s">
        <v>560</v>
      </c>
      <c r="B9" s="42" t="s">
        <v>568</v>
      </c>
      <c r="C9" s="22" t="s">
        <v>763</v>
      </c>
      <c r="D9" s="22" t="s">
        <v>249</v>
      </c>
      <c r="E9" s="22" t="s">
        <v>250</v>
      </c>
      <c r="F9" s="22" t="str">
        <f>"0,6165"</f>
        <v>0,6165</v>
      </c>
      <c r="G9" s="22" t="s">
        <v>29</v>
      </c>
      <c r="H9" s="22" t="s">
        <v>251</v>
      </c>
      <c r="I9" s="106" t="s">
        <v>32</v>
      </c>
      <c r="J9" s="106" t="s">
        <v>18</v>
      </c>
      <c r="K9" s="106" t="s">
        <v>19</v>
      </c>
      <c r="L9" s="108"/>
      <c r="M9" s="46">
        <v>222.5</v>
      </c>
      <c r="N9" s="109" t="str">
        <f>"137,1601"</f>
        <v>137,1601</v>
      </c>
      <c r="O9" s="22" t="s">
        <v>872</v>
      </c>
    </row>
    <row r="11" spans="1:14" ht="15.75">
      <c r="A11"/>
      <c r="B11"/>
      <c r="C11" s="216" t="s">
        <v>12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</row>
    <row r="12" spans="1:15" ht="12.75">
      <c r="A12" s="40" t="s">
        <v>560</v>
      </c>
      <c r="B12" s="40"/>
      <c r="C12" s="24" t="s">
        <v>773</v>
      </c>
      <c r="D12" s="24" t="s">
        <v>312</v>
      </c>
      <c r="E12" s="24" t="s">
        <v>313</v>
      </c>
      <c r="F12" s="24" t="str">
        <f>"0,5865"</f>
        <v>0,5865</v>
      </c>
      <c r="G12" s="24" t="s">
        <v>41</v>
      </c>
      <c r="H12" s="86" t="s">
        <v>569</v>
      </c>
      <c r="I12" s="167" t="s">
        <v>35</v>
      </c>
      <c r="J12" s="111" t="s">
        <v>556</v>
      </c>
      <c r="K12" s="176" t="s">
        <v>556</v>
      </c>
      <c r="L12" s="170"/>
      <c r="M12" s="44">
        <v>240</v>
      </c>
      <c r="N12" s="113" t="str">
        <f>"140,7600"</f>
        <v>140,7600</v>
      </c>
      <c r="O12" s="24" t="s">
        <v>872</v>
      </c>
    </row>
    <row r="13" spans="1:15" ht="12.75">
      <c r="A13" s="41" t="s">
        <v>560</v>
      </c>
      <c r="B13" s="41" t="s">
        <v>567</v>
      </c>
      <c r="C13" s="26" t="s">
        <v>256</v>
      </c>
      <c r="D13" s="26" t="s">
        <v>257</v>
      </c>
      <c r="E13" s="26" t="s">
        <v>258</v>
      </c>
      <c r="F13" s="26" t="str">
        <f>"0,5968"</f>
        <v>0,5968</v>
      </c>
      <c r="G13" s="26" t="s">
        <v>90</v>
      </c>
      <c r="H13" s="88" t="s">
        <v>30</v>
      </c>
      <c r="I13" s="172" t="s">
        <v>259</v>
      </c>
      <c r="J13" s="118" t="s">
        <v>260</v>
      </c>
      <c r="K13" s="174" t="s">
        <v>261</v>
      </c>
      <c r="L13" s="175"/>
      <c r="M13" s="45">
        <v>302.5</v>
      </c>
      <c r="N13" s="121" t="str">
        <f>"180,5169"</f>
        <v>180,5169</v>
      </c>
      <c r="O13" s="26" t="s">
        <v>681</v>
      </c>
    </row>
    <row r="15" ht="15.75">
      <c r="G15" s="27"/>
    </row>
  </sheetData>
  <sheetProtection/>
  <mergeCells count="16">
    <mergeCell ref="B3:B4"/>
    <mergeCell ref="A3:A4"/>
    <mergeCell ref="M3:M4"/>
    <mergeCell ref="N3:N4"/>
    <mergeCell ref="O3:O4"/>
    <mergeCell ref="C5:N5"/>
    <mergeCell ref="C8:N8"/>
    <mergeCell ref="C11:N11"/>
    <mergeCell ref="C1:O2"/>
    <mergeCell ref="C3:C4"/>
    <mergeCell ref="D3:D4"/>
    <mergeCell ref="E3:E4"/>
    <mergeCell ref="F3:F4"/>
    <mergeCell ref="G3:G4"/>
    <mergeCell ref="H3:H4"/>
    <mergeCell ref="I3:L3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2017-01-09T23:01:41Z</dcterms:modified>
  <cp:category/>
  <cp:version/>
  <cp:contentType/>
  <cp:contentStatus/>
</cp:coreProperties>
</file>