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705" firstSheet="24" activeTab="27"/>
  </bookViews>
  <sheets>
    <sheet name="Присед в бинтах" sheetId="1" r:id="rId1"/>
    <sheet name="Присед без экипировки ДК" sheetId="2" r:id="rId2"/>
    <sheet name="Присед без экипировки" sheetId="3" r:id="rId3"/>
    <sheet name="Силовое двоеборье без эк.ДК" sheetId="4" r:id="rId4"/>
    <sheet name="Силовое двоеборье без эк." sheetId="5" r:id="rId5"/>
    <sheet name="Становая тяга в экипировке ДК" sheetId="6" r:id="rId6"/>
    <sheet name="Становая тяга в экипировке" sheetId="7" r:id="rId7"/>
    <sheet name="Становая тяга без экипировке ДК" sheetId="8" r:id="rId8"/>
    <sheet name="Становая тяга без экипировки" sheetId="9" r:id="rId9"/>
    <sheet name="Пауэрлифтинг в бинтах ДК" sheetId="10" r:id="rId10"/>
    <sheet name="Пауэрлифтинг в бинтах" sheetId="11" r:id="rId11"/>
    <sheet name="Пауэрлифтинг без экипировки ДК" sheetId="12" r:id="rId12"/>
    <sheet name="Пауэрлифтинг без экипировки " sheetId="13" r:id="rId13"/>
    <sheet name="Пауэрлифтинг в односл.экип." sheetId="14" r:id="rId14"/>
    <sheet name="Жим лежа в односл.экип. ДК" sheetId="15" r:id="rId15"/>
    <sheet name="Жим лежа без экипировки ДК" sheetId="16" r:id="rId16"/>
    <sheet name="Жим лежа без экипировки" sheetId="17" r:id="rId17"/>
    <sheet name="Жим лежа SOFT экипировка ДК" sheetId="18" r:id="rId18"/>
    <sheet name="Жим лежа SOFT экипировка" sheetId="19" r:id="rId19"/>
    <sheet name="Excalibur" sheetId="20" r:id="rId20"/>
    <sheet name="Grip block" sheetId="21" r:id="rId21"/>
    <sheet name="Hub" sheetId="22" r:id="rId22"/>
    <sheet name="Apollon's Axle" sheetId="23" r:id="rId23"/>
    <sheet name="Rolling Thunder" sheetId="24" r:id="rId24"/>
    <sheet name="Народный жим 1 вес ДК" sheetId="25" r:id="rId25"/>
    <sheet name="Народный жим 1 вес" sheetId="26" r:id="rId26"/>
    <sheet name="Народный жим 1_2 веса ДК" sheetId="27" r:id="rId27"/>
    <sheet name="Пауэрспорт ДК" sheetId="28" r:id="rId28"/>
    <sheet name="Пауэрспорт" sheetId="29" r:id="rId29"/>
    <sheet name="ЖД Любители Жим на макс. ДК" sheetId="30" r:id="rId30"/>
    <sheet name="ЖД Любители Многоповтор ДК" sheetId="31" r:id="rId31"/>
    <sheet name="ЖД Любители многоповтор" sheetId="32" r:id="rId32"/>
    <sheet name="ЖД Любители Жим на макс." sheetId="33" r:id="rId33"/>
    <sheet name="ЖД Армейский жим на макс." sheetId="34" r:id="rId34"/>
    <sheet name="ЖД Армейский жим многоповтор" sheetId="35" r:id="rId35"/>
    <sheet name="ЖД Армейское двоеборье" sheetId="36" r:id="rId36"/>
    <sheet name="ЖД SOFT Жим на максимум" sheetId="37" r:id="rId37"/>
  </sheets>
  <definedNames/>
  <calcPr fullCalcOnLoad="1"/>
</workbook>
</file>

<file path=xl/sharedStrings.xml><?xml version="1.0" encoding="utf-8"?>
<sst xmlns="http://schemas.openxmlformats.org/spreadsheetml/2006/main" count="3947" uniqueCount="1047">
  <si>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</si>
  <si>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</si>
  <si>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</si>
  <si>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</si>
  <si>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</si>
  <si>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</si>
  <si>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</si>
  <si>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</si>
  <si>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</si>
  <si>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</si>
  <si>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</si>
  <si>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Мусина Анна</t>
  </si>
  <si>
    <t>Open (04.11.1988)/27</t>
  </si>
  <si>
    <t>53,70</t>
  </si>
  <si>
    <t xml:space="preserve">Лично </t>
  </si>
  <si>
    <t xml:space="preserve">Псков/Псковская область </t>
  </si>
  <si>
    <t>60,0</t>
  </si>
  <si>
    <t>72,5</t>
  </si>
  <si>
    <t>ВЕСОВАЯ КАТЕГОРИЯ   67.5</t>
  </si>
  <si>
    <t>Галич Инна</t>
  </si>
  <si>
    <t>Open (18.01.1970)/46</t>
  </si>
  <si>
    <t>66,00</t>
  </si>
  <si>
    <t xml:space="preserve">РООСФиС </t>
  </si>
  <si>
    <t xml:space="preserve">Санкт-Петербург/Санкт-Петербур </t>
  </si>
  <si>
    <t>82,5</t>
  </si>
  <si>
    <t>87,5</t>
  </si>
  <si>
    <t>90,0</t>
  </si>
  <si>
    <t xml:space="preserve">Грахов Ю.П. </t>
  </si>
  <si>
    <t>ВЕСОВАЯ КАТЕГОРИЯ   75</t>
  </si>
  <si>
    <t>Чернина Элина</t>
  </si>
  <si>
    <t>Open (10.06.1987)/29</t>
  </si>
  <si>
    <t>74,30</t>
  </si>
  <si>
    <t xml:space="preserve">Арена </t>
  </si>
  <si>
    <t>77,5</t>
  </si>
  <si>
    <t>80,0</t>
  </si>
  <si>
    <t>Меркулова Лилия</t>
  </si>
  <si>
    <t>Open (10.07.1977)/39</t>
  </si>
  <si>
    <t>74,20</t>
  </si>
  <si>
    <t xml:space="preserve">А 1 </t>
  </si>
  <si>
    <t>75,0</t>
  </si>
  <si>
    <t>ВЕСОВАЯ КАТЕГОРИЯ   82.5</t>
  </si>
  <si>
    <t>Виноградова Елена</t>
  </si>
  <si>
    <t>Open (03.02.1986)/30</t>
  </si>
  <si>
    <t>75,80</t>
  </si>
  <si>
    <t>85,0</t>
  </si>
  <si>
    <t>92,5</t>
  </si>
  <si>
    <t>Чернышев Тимофей</t>
  </si>
  <si>
    <t>Teenage 15-19 (16.02.2004)/12</t>
  </si>
  <si>
    <t>53,80</t>
  </si>
  <si>
    <t>45,0</t>
  </si>
  <si>
    <t>52,5</t>
  </si>
  <si>
    <t>Шляхов Максим</t>
  </si>
  <si>
    <t>Teenage 15-19 (25.02.2000)/16</t>
  </si>
  <si>
    <t>67,00</t>
  </si>
  <si>
    <t xml:space="preserve">Выборг/Ленинградская область </t>
  </si>
  <si>
    <t>70,0</t>
  </si>
  <si>
    <t>Алимов Михаил</t>
  </si>
  <si>
    <t>Open (05.03.1987)/29</t>
  </si>
  <si>
    <t>81,10</t>
  </si>
  <si>
    <t xml:space="preserve">д атлетик </t>
  </si>
  <si>
    <t>185,0</t>
  </si>
  <si>
    <t>192,5</t>
  </si>
  <si>
    <t>200,0</t>
  </si>
  <si>
    <t xml:space="preserve">Самостоятельно </t>
  </si>
  <si>
    <t>Антонян Альберт</t>
  </si>
  <si>
    <t>Open (25.10.1988)/27</t>
  </si>
  <si>
    <t>80,50</t>
  </si>
  <si>
    <t>135,0</t>
  </si>
  <si>
    <t>142,5</t>
  </si>
  <si>
    <t>150,0</t>
  </si>
  <si>
    <t>Лихонин Михаил</t>
  </si>
  <si>
    <t>Open (07.11.1991)/24</t>
  </si>
  <si>
    <t>160,0</t>
  </si>
  <si>
    <t>Тенишев Валериан</t>
  </si>
  <si>
    <t>Masters 50-54 (17.11.1963)/52</t>
  </si>
  <si>
    <t>80,80</t>
  </si>
  <si>
    <t>145,0</t>
  </si>
  <si>
    <t>155,0</t>
  </si>
  <si>
    <t>ВЕСОВАЯ КАТЕГОРИЯ   90</t>
  </si>
  <si>
    <t>Савченко Тимофей</t>
  </si>
  <si>
    <t>Juniors 20-23 (13.10.1993)/22</t>
  </si>
  <si>
    <t>89,50</t>
  </si>
  <si>
    <t xml:space="preserve">Гатчина/Ленинградская область </t>
  </si>
  <si>
    <t>162,5</t>
  </si>
  <si>
    <t>165,0</t>
  </si>
  <si>
    <t>Киселев Сергей</t>
  </si>
  <si>
    <t>Open (27.05.1985)/31</t>
  </si>
  <si>
    <t>88,60</t>
  </si>
  <si>
    <t>170,0</t>
  </si>
  <si>
    <t>175,0</t>
  </si>
  <si>
    <t>Тихоновский Олег</t>
  </si>
  <si>
    <t>Open (04.08.1978)/38</t>
  </si>
  <si>
    <t>87,50</t>
  </si>
  <si>
    <t>Ермолович Кирилл</t>
  </si>
  <si>
    <t>Open (28.01.1987)/29</t>
  </si>
  <si>
    <t>87,00</t>
  </si>
  <si>
    <t xml:space="preserve">феррум фитнес </t>
  </si>
  <si>
    <t>Карандашев Владимир</t>
  </si>
  <si>
    <t>Masters 40-44 (12.03.1972)/44</t>
  </si>
  <si>
    <t>87,40</t>
  </si>
  <si>
    <t>152,5</t>
  </si>
  <si>
    <t>157,5</t>
  </si>
  <si>
    <t>Царев Евгений</t>
  </si>
  <si>
    <t>Masters 50-54 (04.11.1962)/53</t>
  </si>
  <si>
    <t>86,60</t>
  </si>
  <si>
    <t>110,0</t>
  </si>
  <si>
    <t>120,0</t>
  </si>
  <si>
    <t>130,0</t>
  </si>
  <si>
    <t>ВЕСОВАЯ КАТЕГОРИЯ   100</t>
  </si>
  <si>
    <t>Багаутдинов Богдан</t>
  </si>
  <si>
    <t>Juniors 20-23 (28.07.1995)/21</t>
  </si>
  <si>
    <t>95,70</t>
  </si>
  <si>
    <t>195,0</t>
  </si>
  <si>
    <t>Калининский Иван</t>
  </si>
  <si>
    <t>Open (15.06.1990)/26</t>
  </si>
  <si>
    <t>96,50</t>
  </si>
  <si>
    <t xml:space="preserve">Радужный/Владимирская область </t>
  </si>
  <si>
    <t>205,0</t>
  </si>
  <si>
    <t>217,5</t>
  </si>
  <si>
    <t>220,0</t>
  </si>
  <si>
    <t>Гончарук Вячеслав</t>
  </si>
  <si>
    <t>Open (11.02.1984)/32</t>
  </si>
  <si>
    <t>98,20</t>
  </si>
  <si>
    <t xml:space="preserve">Петрозаводск/Карелия </t>
  </si>
  <si>
    <t>Волков Андрей</t>
  </si>
  <si>
    <t>Open (29.09.1975)/41</t>
  </si>
  <si>
    <t>94,60</t>
  </si>
  <si>
    <t>180,0</t>
  </si>
  <si>
    <t>197,5</t>
  </si>
  <si>
    <t>Стариков Алексей</t>
  </si>
  <si>
    <t>Open (09.03.1988)/28</t>
  </si>
  <si>
    <t>96,80</t>
  </si>
  <si>
    <t>187,5</t>
  </si>
  <si>
    <t>Хоменко Андрей</t>
  </si>
  <si>
    <t>Open (20.06.1985)/31</t>
  </si>
  <si>
    <t>99,10</t>
  </si>
  <si>
    <t>Masters 40-44 (29.09.1975)/41</t>
  </si>
  <si>
    <t>ВЕСОВАЯ КАТЕГОРИЯ   110</t>
  </si>
  <si>
    <t>Дерягин Денис</t>
  </si>
  <si>
    <t>Open (28.02.1980)/36</t>
  </si>
  <si>
    <t>108,80</t>
  </si>
  <si>
    <t>207,5</t>
  </si>
  <si>
    <t>Маркитантов Василий</t>
  </si>
  <si>
    <t>Open (21.02.1980)/36</t>
  </si>
  <si>
    <t>103,70</t>
  </si>
  <si>
    <t>Тимофеев Ян</t>
  </si>
  <si>
    <t>Open (14.02.1992)/24</t>
  </si>
  <si>
    <t>110,00</t>
  </si>
  <si>
    <t>Хаткевич Алексей</t>
  </si>
  <si>
    <t>Open (28.11.1988)/27</t>
  </si>
  <si>
    <t>108,50</t>
  </si>
  <si>
    <t>190,0</t>
  </si>
  <si>
    <t>Орлов Андрей</t>
  </si>
  <si>
    <t>Open (03.12.1991)/24</t>
  </si>
  <si>
    <t>103,10</t>
  </si>
  <si>
    <t>167,5</t>
  </si>
  <si>
    <t>Писаренко Александр</t>
  </si>
  <si>
    <t>Masters 55-59 (27.09.1959)/57</t>
  </si>
  <si>
    <t>102,30</t>
  </si>
  <si>
    <t>Шевнин Владимир</t>
  </si>
  <si>
    <t>Masters 60-64 (06.08.1953)/63</t>
  </si>
  <si>
    <t>105,20</t>
  </si>
  <si>
    <t xml:space="preserve">Сборная Кронштадта </t>
  </si>
  <si>
    <t xml:space="preserve">Кронштадт/Санкт-Петербург </t>
  </si>
  <si>
    <t>140,0</t>
  </si>
  <si>
    <t>ВЕСОВАЯ КАТЕГОРИЯ   125</t>
  </si>
  <si>
    <t>Педченко Александр</t>
  </si>
  <si>
    <t>Juniors 20-23 (20.05.1993)/23</t>
  </si>
  <si>
    <t>118,40</t>
  </si>
  <si>
    <t>230,0</t>
  </si>
  <si>
    <t>235,0</t>
  </si>
  <si>
    <t>242,5</t>
  </si>
  <si>
    <t>ВЕСОВАЯ КАТЕГОРИЯ   140+</t>
  </si>
  <si>
    <t>Алексеев Дмитрий</t>
  </si>
  <si>
    <t>Open (15.07.1981)/35</t>
  </si>
  <si>
    <t>145,10</t>
  </si>
  <si>
    <t>215,0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</si>
  <si>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</si>
  <si>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</si>
  <si>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</si>
  <si>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</si>
  <si>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</si>
  <si>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</si>
  <si>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</si>
  <si>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</si>
  <si>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135,3800</t>
  </si>
  <si>
    <t>126,6285</t>
  </si>
  <si>
    <t>123,0820</t>
  </si>
  <si>
    <t xml:space="preserve">Мастера </t>
  </si>
  <si>
    <t xml:space="preserve">Мастера 40 - 44 </t>
  </si>
  <si>
    <t>ВЕСОВАЯ КАТЕГОРИЯ   52</t>
  </si>
  <si>
    <t>Букалова Екатерина</t>
  </si>
  <si>
    <t>Teenage 15-19 (18.01.2003)/13</t>
  </si>
  <si>
    <t>51,60</t>
  </si>
  <si>
    <t>30,0</t>
  </si>
  <si>
    <t>35,0</t>
  </si>
  <si>
    <t>Картушина Маргарита</t>
  </si>
  <si>
    <t>Open (27.07.1990)/26</t>
  </si>
  <si>
    <t>51,40</t>
  </si>
  <si>
    <t>50,0</t>
  </si>
  <si>
    <t>55,0</t>
  </si>
  <si>
    <t>Егорова Елена</t>
  </si>
  <si>
    <t>Open (13.01.1974)/42</t>
  </si>
  <si>
    <t>50,90</t>
  </si>
  <si>
    <t xml:space="preserve">Фонбет </t>
  </si>
  <si>
    <t>40,0</t>
  </si>
  <si>
    <t>42,5</t>
  </si>
  <si>
    <t>Субботина Елена</t>
  </si>
  <si>
    <t>Open (03.07.1984)/32</t>
  </si>
  <si>
    <t>50,70</t>
  </si>
  <si>
    <t>ВЕСОВАЯ КАТЕГОРИЯ   60</t>
  </si>
  <si>
    <t>Разумова Елена</t>
  </si>
  <si>
    <t>Open (24.02.1977)/39</t>
  </si>
  <si>
    <t>58,70</t>
  </si>
  <si>
    <t>65,0</t>
  </si>
  <si>
    <t>Иванова Светлана</t>
  </si>
  <si>
    <t>Masters 40-44 (17.07.1975)/41</t>
  </si>
  <si>
    <t>58,00</t>
  </si>
  <si>
    <t>67,5</t>
  </si>
  <si>
    <t>Никитинский Иван</t>
  </si>
  <si>
    <t>Teenage 15-19 (07.07.2004)/12</t>
  </si>
  <si>
    <t>42,50</t>
  </si>
  <si>
    <t xml:space="preserve">Тихвин/Ленинградская область </t>
  </si>
  <si>
    <t>25,0</t>
  </si>
  <si>
    <t>27,5</t>
  </si>
  <si>
    <t>31,5</t>
  </si>
  <si>
    <t>Томилов Никита</t>
  </si>
  <si>
    <t>Teenage 15-19 (16.11.1999)/16</t>
  </si>
  <si>
    <t>63,20</t>
  </si>
  <si>
    <t>Басов Артем</t>
  </si>
  <si>
    <t>Open (20.07.1989)/27</t>
  </si>
  <si>
    <t>65,80</t>
  </si>
  <si>
    <t>Абраменко Никита</t>
  </si>
  <si>
    <t>Juniors 20-23 (24.03.1995)/21</t>
  </si>
  <si>
    <t>72,30</t>
  </si>
  <si>
    <t xml:space="preserve">Виит </t>
  </si>
  <si>
    <t>125,0</t>
  </si>
  <si>
    <t>132,5</t>
  </si>
  <si>
    <t xml:space="preserve">Живодёров А. В. </t>
  </si>
  <si>
    <t>Евсюков Олег</t>
  </si>
  <si>
    <t>Juniors 20-23 (14.10.1995)/20</t>
  </si>
  <si>
    <t>71,90</t>
  </si>
  <si>
    <t xml:space="preserve">Тихвин </t>
  </si>
  <si>
    <t>97,5</t>
  </si>
  <si>
    <t>105,0</t>
  </si>
  <si>
    <t>Варшавский Илья</t>
  </si>
  <si>
    <t>Open (03.11.1991)/24</t>
  </si>
  <si>
    <t>73,90</t>
  </si>
  <si>
    <t xml:space="preserve">Stronger </t>
  </si>
  <si>
    <t>177,5</t>
  </si>
  <si>
    <t>Гринев Роман</t>
  </si>
  <si>
    <t>Open (15.11.1984)/31</t>
  </si>
  <si>
    <t>71,50</t>
  </si>
  <si>
    <t xml:space="preserve">Никитинский А. </t>
  </si>
  <si>
    <t>Смуров Андрей</t>
  </si>
  <si>
    <t>Open (23.04.1990)/26</t>
  </si>
  <si>
    <t>73,20</t>
  </si>
  <si>
    <t>147,5</t>
  </si>
  <si>
    <t>Муминов Раис</t>
  </si>
  <si>
    <t>Open (30.09.1992)/24</t>
  </si>
  <si>
    <t>74,80</t>
  </si>
  <si>
    <t xml:space="preserve">Вегетарианская сила </t>
  </si>
  <si>
    <t>95,0</t>
  </si>
  <si>
    <t>Кочеров Игорь</t>
  </si>
  <si>
    <t>Open (25.08.1980)/36</t>
  </si>
  <si>
    <t>Панкратов Илья</t>
  </si>
  <si>
    <t>Open (09.12.1986)/29</t>
  </si>
  <si>
    <t>80,70</t>
  </si>
  <si>
    <t>212,5</t>
  </si>
  <si>
    <t>Литвиненко Юрий</t>
  </si>
  <si>
    <t>Open (24.08.1989)/27</t>
  </si>
  <si>
    <t>Хабаров Артем</t>
  </si>
  <si>
    <t>Open (14.04.1985)/31</t>
  </si>
  <si>
    <t>81,40</t>
  </si>
  <si>
    <t xml:space="preserve">Гринёв Р., Никитинский А </t>
  </si>
  <si>
    <t>Сорокин Евгений</t>
  </si>
  <si>
    <t>Open (11.02.1977)/39</t>
  </si>
  <si>
    <t>80,60</t>
  </si>
  <si>
    <t xml:space="preserve">Североморск/Мурманская область </t>
  </si>
  <si>
    <t>Шкитин Алексей</t>
  </si>
  <si>
    <t>Open (26.03.1989)/27</t>
  </si>
  <si>
    <t>127,5</t>
  </si>
  <si>
    <t>Клюквин Дмитрий</t>
  </si>
  <si>
    <t>Open (08.06.1977)/39</t>
  </si>
  <si>
    <t>82,00</t>
  </si>
  <si>
    <t>115,0</t>
  </si>
  <si>
    <t>122,5</t>
  </si>
  <si>
    <t>Лифинский Максим</t>
  </si>
  <si>
    <t>Open (15.02.1983)/33</t>
  </si>
  <si>
    <t>81,60</t>
  </si>
  <si>
    <t>Писарев Олег</t>
  </si>
  <si>
    <t>Open (02.04.1982)/34</t>
  </si>
  <si>
    <t>77,80</t>
  </si>
  <si>
    <t>100,0</t>
  </si>
  <si>
    <t>Тучин Андрей</t>
  </si>
  <si>
    <t>Masters 40-44 (05.02.1974)/42</t>
  </si>
  <si>
    <t>Яковлев Андрей</t>
  </si>
  <si>
    <t>Masters 40-44 (17.08.1976)/40</t>
  </si>
  <si>
    <t>79,80</t>
  </si>
  <si>
    <t>0,0</t>
  </si>
  <si>
    <t>Дьячков Юрий</t>
  </si>
  <si>
    <t>Teenage 15-19 (03.10.1999)/16</t>
  </si>
  <si>
    <t>88,90</t>
  </si>
  <si>
    <t>Нестеров Дмитрий</t>
  </si>
  <si>
    <t>Juniors 20-23 (08.03.1994)/22</t>
  </si>
  <si>
    <t>86,00</t>
  </si>
  <si>
    <t>137,5</t>
  </si>
  <si>
    <t>Лучкин Василий</t>
  </si>
  <si>
    <t>Open (08.08.1989)/27</t>
  </si>
  <si>
    <t>89,30</t>
  </si>
  <si>
    <t>Горшков Илья</t>
  </si>
  <si>
    <t>Open (16.09.1989)/27</t>
  </si>
  <si>
    <t>89,70</t>
  </si>
  <si>
    <t>Букалов Алексей</t>
  </si>
  <si>
    <t>Open (10.12.1976)/39</t>
  </si>
  <si>
    <t>Лилимберг Виталий</t>
  </si>
  <si>
    <t>Open (04.03.1991)/25</t>
  </si>
  <si>
    <t>88,40</t>
  </si>
  <si>
    <t>Петров Александр</t>
  </si>
  <si>
    <t>Open (03.03.1984)/32</t>
  </si>
  <si>
    <t>Бирюков Ильдар</t>
  </si>
  <si>
    <t>Open (24.11.1982)/33</t>
  </si>
  <si>
    <t>89,40</t>
  </si>
  <si>
    <t>Ефремов Юрий</t>
  </si>
  <si>
    <t>Masters 40-44 (05.04.1972)/44</t>
  </si>
  <si>
    <t>88,30</t>
  </si>
  <si>
    <t>Стеценко Дмитрий</t>
  </si>
  <si>
    <t>Masters 40-44 (03.08.1972)/44</t>
  </si>
  <si>
    <t>88,70</t>
  </si>
  <si>
    <t>Шипицын Сергей</t>
  </si>
  <si>
    <t>Masters 40-44 (05.05.1974)/42</t>
  </si>
  <si>
    <t>87,90</t>
  </si>
  <si>
    <t>Степанов Константин</t>
  </si>
  <si>
    <t>Masters 40-44 (26.10.1975)/40</t>
  </si>
  <si>
    <t>Хапов Виктор</t>
  </si>
  <si>
    <t>Masters 50-54 (20.07.1966)/50</t>
  </si>
  <si>
    <t>87,60</t>
  </si>
  <si>
    <t>Чанцев Виктор</t>
  </si>
  <si>
    <t>Masters 55-59 (02.09.1957)/59</t>
  </si>
  <si>
    <t>117,5</t>
  </si>
  <si>
    <t>Рыков Вячеслав</t>
  </si>
  <si>
    <t>Masters 55-59 (10.12.1957)/58</t>
  </si>
  <si>
    <t>85,60</t>
  </si>
  <si>
    <t>107,5</t>
  </si>
  <si>
    <t>112,5</t>
  </si>
  <si>
    <t>Плотников Артем</t>
  </si>
  <si>
    <t>Juniors 20-23 (09.11.1992)/23</t>
  </si>
  <si>
    <t>Сулейманов Ильдар</t>
  </si>
  <si>
    <t>Juniors 20-23 (29.11.1992)/23</t>
  </si>
  <si>
    <t>97,00</t>
  </si>
  <si>
    <t>Волошин Евгений</t>
  </si>
  <si>
    <t>Open (17.08.1982)/34</t>
  </si>
  <si>
    <t>100,00</t>
  </si>
  <si>
    <t xml:space="preserve">Архангельск/Архангельская область </t>
  </si>
  <si>
    <t>Каракашев Василий</t>
  </si>
  <si>
    <t>Open (21.12.1988)/27</t>
  </si>
  <si>
    <t>97,80</t>
  </si>
  <si>
    <t>Лифатов Сергей</t>
  </si>
  <si>
    <t>Open (20.10.1989)/26</t>
  </si>
  <si>
    <t>92,40</t>
  </si>
  <si>
    <t>Сыропятов Александр</t>
  </si>
  <si>
    <t>Masters 40-44 (29.04.1973)/43</t>
  </si>
  <si>
    <t>90,50</t>
  </si>
  <si>
    <t>Петров Андрей</t>
  </si>
  <si>
    <t>Open (29.01.1983)/33</t>
  </si>
  <si>
    <t>109,50</t>
  </si>
  <si>
    <t>182,5</t>
  </si>
  <si>
    <t>Саитов Алексей</t>
  </si>
  <si>
    <t>Open (05.09.1973)/43</t>
  </si>
  <si>
    <t>107,70</t>
  </si>
  <si>
    <t>Лысенко Дмитрий</t>
  </si>
  <si>
    <t>Open (07.04.1986)/30</t>
  </si>
  <si>
    <t>102,50</t>
  </si>
  <si>
    <t>Савченко Денис</t>
  </si>
  <si>
    <t>Open (03.12.1982)/33</t>
  </si>
  <si>
    <t>108,30</t>
  </si>
  <si>
    <t>Лобанов Андрей</t>
  </si>
  <si>
    <t>Open (13.06.1984)/32</t>
  </si>
  <si>
    <t>108,00</t>
  </si>
  <si>
    <t>Masters 40-44 (05.09.1973)/43</t>
  </si>
  <si>
    <t>Иванов Михаил</t>
  </si>
  <si>
    <t>Masters 40-44 (02.07.1976)/40</t>
  </si>
  <si>
    <t>109,00</t>
  </si>
  <si>
    <t xml:space="preserve">Таранухин Г.Ю. </t>
  </si>
  <si>
    <t>Коробко Вадим</t>
  </si>
  <si>
    <t>Masters 45-49 (14.02.1968)/48</t>
  </si>
  <si>
    <t>106,50</t>
  </si>
  <si>
    <t>Фёдоров Андрей</t>
  </si>
  <si>
    <t>Masters 50-54 (16.10.1965)/50</t>
  </si>
  <si>
    <t>104,70</t>
  </si>
  <si>
    <t>Золотов Анатолий</t>
  </si>
  <si>
    <t>Open (13.04.1972)/44</t>
  </si>
  <si>
    <t>119,60</t>
  </si>
  <si>
    <t xml:space="preserve">Фёдоров А.Ю. </t>
  </si>
  <si>
    <t>Куликов Антон</t>
  </si>
  <si>
    <t>Open (22.12.1982)/33</t>
  </si>
  <si>
    <t>112,70</t>
  </si>
  <si>
    <t>Кирьянов Андрей</t>
  </si>
  <si>
    <t>Open (21.05.1974)/42</t>
  </si>
  <si>
    <t>122,50</t>
  </si>
  <si>
    <t>Masters 40-44 (13.04.1972)/44</t>
  </si>
  <si>
    <t>ВЕСОВАЯ КАТЕГОРИЯ   140</t>
  </si>
  <si>
    <t>Безинских Максим</t>
  </si>
  <si>
    <t>Open (18.05.1986)/30</t>
  </si>
  <si>
    <t>130,50</t>
  </si>
  <si>
    <t>172,5</t>
  </si>
  <si>
    <t>139,1950</t>
  </si>
  <si>
    <t>126,0000</t>
  </si>
  <si>
    <t>120,1985</t>
  </si>
  <si>
    <t>120,1435</t>
  </si>
  <si>
    <t>117,7867</t>
  </si>
  <si>
    <t>109,6177</t>
  </si>
  <si>
    <t>Чайка Александр</t>
  </si>
  <si>
    <t>Open (12.12.1986)/29</t>
  </si>
  <si>
    <t>113,40</t>
  </si>
  <si>
    <t>210,0</t>
  </si>
  <si>
    <t xml:space="preserve">Длужневский С.С </t>
  </si>
  <si>
    <t>Кончаков Владимир</t>
  </si>
  <si>
    <t>Open (25.05.1973)/43</t>
  </si>
  <si>
    <t>89,90</t>
  </si>
  <si>
    <t>240,0</t>
  </si>
  <si>
    <t>250,0</t>
  </si>
  <si>
    <t>Masters 40-44 (25.05.1973)/43</t>
  </si>
  <si>
    <t>Куликов Станислав</t>
  </si>
  <si>
    <t>Open (29.11.1978)/37</t>
  </si>
  <si>
    <t>92,80</t>
  </si>
  <si>
    <t xml:space="preserve">Саратов/Саратовская область </t>
  </si>
  <si>
    <t>Голубев Петр</t>
  </si>
  <si>
    <t>Open (03.07.1990)/26</t>
  </si>
  <si>
    <t>91,60</t>
  </si>
  <si>
    <t>Романова Анна</t>
  </si>
  <si>
    <t>Open (16.10.1983)/32</t>
  </si>
  <si>
    <t>56,00</t>
  </si>
  <si>
    <t>47,5</t>
  </si>
  <si>
    <t>Беляева Полина</t>
  </si>
  <si>
    <t>Open (26.02.1987)/29</t>
  </si>
  <si>
    <t>58,10</t>
  </si>
  <si>
    <t>Дога Виктория</t>
  </si>
  <si>
    <t>Open (04.09.1982)/34</t>
  </si>
  <si>
    <t>78,00</t>
  </si>
  <si>
    <t xml:space="preserve">Таранухин Г.Ю </t>
  </si>
  <si>
    <t>Двойников Олег</t>
  </si>
  <si>
    <t>Open (08.10.1960)/55</t>
  </si>
  <si>
    <t xml:space="preserve">Великий Устюг/Вологодская область </t>
  </si>
  <si>
    <t>Бучин Владимир</t>
  </si>
  <si>
    <t>Juniors 20-23 (12.11.1993)/22</t>
  </si>
  <si>
    <t>80,90</t>
  </si>
  <si>
    <t>Шефф Павел</t>
  </si>
  <si>
    <t>Open (09.07.1993)/23</t>
  </si>
  <si>
    <t>78,40</t>
  </si>
  <si>
    <t>257,5</t>
  </si>
  <si>
    <t>Соловьев Ким</t>
  </si>
  <si>
    <t>Open (24.11.1987)/28</t>
  </si>
  <si>
    <t>112,6</t>
  </si>
  <si>
    <t>Михайлов Александр</t>
  </si>
  <si>
    <t>Masters 55-59 (09.12.1958)/57</t>
  </si>
  <si>
    <t>81,20</t>
  </si>
  <si>
    <t>Кобелев Павел</t>
  </si>
  <si>
    <t>Open (04.08.1989)/27</t>
  </si>
  <si>
    <t>300,0</t>
  </si>
  <si>
    <t>320,0</t>
  </si>
  <si>
    <t>340,0</t>
  </si>
  <si>
    <t>Бельцов Артур</t>
  </si>
  <si>
    <t>Open (04.03.1982)/34</t>
  </si>
  <si>
    <t>96,60</t>
  </si>
  <si>
    <t>260,0</t>
  </si>
  <si>
    <t>275,0</t>
  </si>
  <si>
    <t>282,5</t>
  </si>
  <si>
    <t>202,5</t>
  </si>
  <si>
    <t>287,5</t>
  </si>
  <si>
    <t>Русаленко Антон</t>
  </si>
  <si>
    <t>Open (22.10.1987)/28</t>
  </si>
  <si>
    <t>225,0</t>
  </si>
  <si>
    <t>255,0</t>
  </si>
  <si>
    <t>Алешин Михаил</t>
  </si>
  <si>
    <t>Open (22.02.1987)/29</t>
  </si>
  <si>
    <t>95,20</t>
  </si>
  <si>
    <t xml:space="preserve">Калуга/Калужская область </t>
  </si>
  <si>
    <t>Чернышев Дмитрий</t>
  </si>
  <si>
    <t>Masters 40-44 (22.01.1974)/42</t>
  </si>
  <si>
    <t>93,80</t>
  </si>
  <si>
    <t>270,0</t>
  </si>
  <si>
    <t>Холяпин Сергей</t>
  </si>
  <si>
    <t>Masters 40-44 (14.02.1975)/41</t>
  </si>
  <si>
    <t>96,90</t>
  </si>
  <si>
    <t>Шаталов Дмитрий</t>
  </si>
  <si>
    <t>Masters 40-44 (03.03.1972)/44</t>
  </si>
  <si>
    <t>91,50</t>
  </si>
  <si>
    <t>222,5</t>
  </si>
  <si>
    <t>Пезиков Иван</t>
  </si>
  <si>
    <t>Juniors 20-23 (24.04.1994)/22</t>
  </si>
  <si>
    <t>105,30</t>
  </si>
  <si>
    <t>285,0</t>
  </si>
  <si>
    <t>Максимов Эдуард</t>
  </si>
  <si>
    <t>Masters 40-44 (20.11.1971)/44</t>
  </si>
  <si>
    <t>104,20</t>
  </si>
  <si>
    <t>245,0</t>
  </si>
  <si>
    <t>252,5</t>
  </si>
  <si>
    <t>Кузнецов Роман</t>
  </si>
  <si>
    <t>112,30</t>
  </si>
  <si>
    <t xml:space="preserve">Мурманск/Мурманская область </t>
  </si>
  <si>
    <t>Баруздин Максим</t>
  </si>
  <si>
    <t>Open (20.05.1982)/34</t>
  </si>
  <si>
    <t>128,00</t>
  </si>
  <si>
    <t>280,0</t>
  </si>
  <si>
    <t>Николаев Илья</t>
  </si>
  <si>
    <t>Masters 40-44 (24.07.1975)/41</t>
  </si>
  <si>
    <t>152,50</t>
  </si>
  <si>
    <t>380,0</t>
  </si>
  <si>
    <t>720,0</t>
  </si>
  <si>
    <t>466,4880</t>
  </si>
  <si>
    <t>750,0</t>
  </si>
  <si>
    <t>463,0500</t>
  </si>
  <si>
    <t>577,5</t>
  </si>
  <si>
    <t>399,3990</t>
  </si>
  <si>
    <t>330,0</t>
  </si>
  <si>
    <t>Баранюк Алена</t>
  </si>
  <si>
    <t>Open (25.07.1989)/27</t>
  </si>
  <si>
    <t>Гостюхина Мария</t>
  </si>
  <si>
    <t>Open (16.09.1990)/26</t>
  </si>
  <si>
    <t>55,80</t>
  </si>
  <si>
    <t xml:space="preserve">Вологда/Вологодская область </t>
  </si>
  <si>
    <t>Сафронова Дарья</t>
  </si>
  <si>
    <t>Open (13.08.1992)/24</t>
  </si>
  <si>
    <t>64,50</t>
  </si>
  <si>
    <t>102,5</t>
  </si>
  <si>
    <t>Одинаева Елена</t>
  </si>
  <si>
    <t>Open (09.03.1986)/30</t>
  </si>
  <si>
    <t>62,00</t>
  </si>
  <si>
    <t xml:space="preserve">Пудож/Карелия </t>
  </si>
  <si>
    <t>Лутченко Екатерина</t>
  </si>
  <si>
    <t>Open (02.04.1984)/32</t>
  </si>
  <si>
    <t>71,60</t>
  </si>
  <si>
    <t>Просовиков Никита</t>
  </si>
  <si>
    <t>Teenage 15-19 (08.05.2001)/15</t>
  </si>
  <si>
    <t>73,40</t>
  </si>
  <si>
    <t>Бухман Павел</t>
  </si>
  <si>
    <t>Open (12.05.1990)/26</t>
  </si>
  <si>
    <t>73,80</t>
  </si>
  <si>
    <t>Новиков Максим</t>
  </si>
  <si>
    <t>Teenage 15-19 (10.01.1998)/18</t>
  </si>
  <si>
    <t>Автомонов Юрий</t>
  </si>
  <si>
    <t>Teenage 15-19 (20.11.1998)/17</t>
  </si>
  <si>
    <t>Open (10.01.1998)/18</t>
  </si>
  <si>
    <t>Белов Станислав</t>
  </si>
  <si>
    <t>Open (11.11.1990)/25</t>
  </si>
  <si>
    <t>Грязев Антон</t>
  </si>
  <si>
    <t>Open (05.06.1987)/29</t>
  </si>
  <si>
    <t>Педан Михаил</t>
  </si>
  <si>
    <t>Open (08.05.1989)/27</t>
  </si>
  <si>
    <t>89,60</t>
  </si>
  <si>
    <t>Одинаев Александр</t>
  </si>
  <si>
    <t>Open (11.09.1982)/34</t>
  </si>
  <si>
    <t>94,20</t>
  </si>
  <si>
    <t>Наумов Владимир</t>
  </si>
  <si>
    <t>Open (30.10.1980)/35</t>
  </si>
  <si>
    <t>98,60</t>
  </si>
  <si>
    <t>Анчуков Михаил</t>
  </si>
  <si>
    <t>Open (11.03.1987)/29</t>
  </si>
  <si>
    <t>Бухман Антон</t>
  </si>
  <si>
    <t>Open (22.08.1988)/28</t>
  </si>
  <si>
    <t>109,70</t>
  </si>
  <si>
    <t>297,5</t>
  </si>
  <si>
    <t>Белый Руслан</t>
  </si>
  <si>
    <t>Masters 40-44 (05.01.1976)/40</t>
  </si>
  <si>
    <t>120,50</t>
  </si>
  <si>
    <t>Смирнов Игорь</t>
  </si>
  <si>
    <t>Masters 50-54 (21.04.1965)/51</t>
  </si>
  <si>
    <t>113,90</t>
  </si>
  <si>
    <t>557,5</t>
  </si>
  <si>
    <t>378,5425</t>
  </si>
  <si>
    <t>737,5</t>
  </si>
  <si>
    <t>434,3875</t>
  </si>
  <si>
    <t>600,0</t>
  </si>
  <si>
    <t>374,6400</t>
  </si>
  <si>
    <t>Сметанюк Андрей</t>
  </si>
  <si>
    <t>Open (15.08.1981)/35</t>
  </si>
  <si>
    <t>77,00</t>
  </si>
  <si>
    <t>247,5</t>
  </si>
  <si>
    <t>Калинин Максим</t>
  </si>
  <si>
    <t>Open (29.03.1987)/29</t>
  </si>
  <si>
    <t>81,80</t>
  </si>
  <si>
    <t>Якушевич Алексей</t>
  </si>
  <si>
    <t>Open (02.07.1991)/25</t>
  </si>
  <si>
    <t>90,00</t>
  </si>
  <si>
    <t>295,0</t>
  </si>
  <si>
    <t>305,0</t>
  </si>
  <si>
    <t>Смирнов Сергей</t>
  </si>
  <si>
    <t>Open (27.09.1990)/26</t>
  </si>
  <si>
    <t>84,10</t>
  </si>
  <si>
    <t>Иванов Андрей</t>
  </si>
  <si>
    <t>Masters 45-49 (14.01.1971)/45</t>
  </si>
  <si>
    <t xml:space="preserve">Тверь/Тверская область </t>
  </si>
  <si>
    <t>Кузнецов Руслан</t>
  </si>
  <si>
    <t>Juniors 20-23 (26.01.1995)/21</t>
  </si>
  <si>
    <t>91,80</t>
  </si>
  <si>
    <t>265,0</t>
  </si>
  <si>
    <t>277,5</t>
  </si>
  <si>
    <t>Open (26.01.1995)/21</t>
  </si>
  <si>
    <t>Золотаренок Андрей</t>
  </si>
  <si>
    <t>Open (23.11.1978)/37</t>
  </si>
  <si>
    <t>107,30</t>
  </si>
  <si>
    <t>Лузанов Александр</t>
  </si>
  <si>
    <t>Juniors 20-23 (30.09.1993)/23</t>
  </si>
  <si>
    <t>124,00</t>
  </si>
  <si>
    <t>Хлопчур Николай</t>
  </si>
  <si>
    <t>Open (18.09.1987)/29</t>
  </si>
  <si>
    <t>115,10</t>
  </si>
  <si>
    <t>290,0</t>
  </si>
  <si>
    <t>Зиновский Роман</t>
  </si>
  <si>
    <t>Open (08.03.1984)/32</t>
  </si>
  <si>
    <t>122,80</t>
  </si>
  <si>
    <t>310,0</t>
  </si>
  <si>
    <t>272,5</t>
  </si>
  <si>
    <t>Комков Александр</t>
  </si>
  <si>
    <t>Open (26.11.1983)/32</t>
  </si>
  <si>
    <t>119,00</t>
  </si>
  <si>
    <t>Open (30.09.1993)/23</t>
  </si>
  <si>
    <t>Кончакова Наталья</t>
  </si>
  <si>
    <t>Open (14.08.1977)/39</t>
  </si>
  <si>
    <t>51,50</t>
  </si>
  <si>
    <t xml:space="preserve">Новосибирск/Новосибирская область </t>
  </si>
  <si>
    <t>57,5</t>
  </si>
  <si>
    <t>62,5</t>
  </si>
  <si>
    <t>Герман Алексей</t>
  </si>
  <si>
    <t>Open (12.10.1989)/26</t>
  </si>
  <si>
    <t>73,70</t>
  </si>
  <si>
    <t>Таранухин Георгий</t>
  </si>
  <si>
    <t>Masters 45-49 (19.01.1968)/48</t>
  </si>
  <si>
    <t>271,0</t>
  </si>
  <si>
    <t>Алиев Эмиль</t>
  </si>
  <si>
    <t>Teenage 15-19 (20.11.1996)/19</t>
  </si>
  <si>
    <t>97,20</t>
  </si>
  <si>
    <t>250,5</t>
  </si>
  <si>
    <t>260,5</t>
  </si>
  <si>
    <t>262,5</t>
  </si>
  <si>
    <t>Подволокин Алексей</t>
  </si>
  <si>
    <t>Open (26.12.1991)/24</t>
  </si>
  <si>
    <t>Open (20.11.1996)/19</t>
  </si>
  <si>
    <t>Гнатко Виталий</t>
  </si>
  <si>
    <t>Masters 55-59 (30.07.1961)/55</t>
  </si>
  <si>
    <t>93,70</t>
  </si>
  <si>
    <t>Сотов Алексей</t>
  </si>
  <si>
    <t>Open (04.10.1989)/26</t>
  </si>
  <si>
    <t>109,40</t>
  </si>
  <si>
    <t>322,5</t>
  </si>
  <si>
    <t>Шмарыкин Алексей</t>
  </si>
  <si>
    <t>Open (14.06.1979)/37</t>
  </si>
  <si>
    <t>106,40</t>
  </si>
  <si>
    <t>Москвичев Алексей</t>
  </si>
  <si>
    <t>Open (02.03.1982)/34</t>
  </si>
  <si>
    <t>116,00</t>
  </si>
  <si>
    <t>360,0</t>
  </si>
  <si>
    <t>390,0</t>
  </si>
  <si>
    <t>226,0830</t>
  </si>
  <si>
    <t>207,3280</t>
  </si>
  <si>
    <t>194,7120</t>
  </si>
  <si>
    <t>Мосякова Юлия</t>
  </si>
  <si>
    <t>Juniors 20-23 (11.08.1994)/22</t>
  </si>
  <si>
    <t>49,80</t>
  </si>
  <si>
    <t>Степанова Анна</t>
  </si>
  <si>
    <t>Masters 55-59 (15.02.1957)/59</t>
  </si>
  <si>
    <t>Григорян Ашот</t>
  </si>
  <si>
    <t>Open (28.08.1986)/30</t>
  </si>
  <si>
    <t>78,50</t>
  </si>
  <si>
    <t>Леванов Михаил</t>
  </si>
  <si>
    <t>Open (08.12.1989)/26</t>
  </si>
  <si>
    <t>81,00</t>
  </si>
  <si>
    <t>Бармин Михаил</t>
  </si>
  <si>
    <t>Open (20.11.1993)/22</t>
  </si>
  <si>
    <t>88,50</t>
  </si>
  <si>
    <t xml:space="preserve">Сортавала/Карелия </t>
  </si>
  <si>
    <t>Чуваткин Алексей</t>
  </si>
  <si>
    <t>Masters 40-44 (21.12.1974)/41</t>
  </si>
  <si>
    <t>97,90</t>
  </si>
  <si>
    <t>94,50</t>
  </si>
  <si>
    <t>Нагибин Денис</t>
  </si>
  <si>
    <t>Open (14.08.1986)/30</t>
  </si>
  <si>
    <t>126,50</t>
  </si>
  <si>
    <t>Сизова Анастасия</t>
  </si>
  <si>
    <t>Juniors 20-23 (07.05.1994)/22</t>
  </si>
  <si>
    <t>51,90</t>
  </si>
  <si>
    <t>Барышников Валерий</t>
  </si>
  <si>
    <t>Open (29.11.1986)/29</t>
  </si>
  <si>
    <t>61,00</t>
  </si>
  <si>
    <t>ВЕСОВАЯ КАТЕГОРИЯ   48</t>
  </si>
  <si>
    <t>Суслопарова Светлана</t>
  </si>
  <si>
    <t>Open (07.12.1990)/25</t>
  </si>
  <si>
    <t>48,00</t>
  </si>
  <si>
    <t>Ковтун Евгений</t>
  </si>
  <si>
    <t>Open (21.09.1982)/34</t>
  </si>
  <si>
    <t>Gloss</t>
  </si>
  <si>
    <t>4</t>
  </si>
  <si>
    <t>5</t>
  </si>
  <si>
    <t>6</t>
  </si>
  <si>
    <t>Ефимовский Владислав</t>
  </si>
  <si>
    <t>Open (06.04.1982)/34</t>
  </si>
  <si>
    <t>Маликов Александр</t>
  </si>
  <si>
    <t>Open (21.12.1972)/43</t>
  </si>
  <si>
    <t>98,30</t>
  </si>
  <si>
    <t>Боготопов Сергей</t>
  </si>
  <si>
    <t>Open (24.05.1978)/38</t>
  </si>
  <si>
    <t>110,20</t>
  </si>
  <si>
    <t>Пиликов Вячеслав</t>
  </si>
  <si>
    <t>Open (28.10.1980)/35</t>
  </si>
  <si>
    <t>112,20</t>
  </si>
  <si>
    <t>ВЕСОВАЯ КАТЕГОРИЯ   90+</t>
  </si>
  <si>
    <t>Master 40+ (21.12.1972)/43</t>
  </si>
  <si>
    <t>Грахов Юлий</t>
  </si>
  <si>
    <t>Master 50+ (17.08.1963)/53</t>
  </si>
  <si>
    <t>96,20</t>
  </si>
  <si>
    <t>81,5</t>
  </si>
  <si>
    <t>Назаренко Александр</t>
  </si>
  <si>
    <t>Master 50+ (16.03.1966)/50</t>
  </si>
  <si>
    <t>106,90</t>
  </si>
  <si>
    <t>Сенькина Любовь</t>
  </si>
  <si>
    <t>Open (01.10.1986)/30</t>
  </si>
  <si>
    <t>58,50</t>
  </si>
  <si>
    <t>24,0</t>
  </si>
  <si>
    <t>29,0</t>
  </si>
  <si>
    <t>34,0</t>
  </si>
  <si>
    <t xml:space="preserve">Васильев А. В. </t>
  </si>
  <si>
    <t>Кузнецова Ольга</t>
  </si>
  <si>
    <t>Open (27.08.1983)/33</t>
  </si>
  <si>
    <t>59,30</t>
  </si>
  <si>
    <t xml:space="preserve">Васильев А.в. </t>
  </si>
  <si>
    <t>44,0</t>
  </si>
  <si>
    <t>49,0</t>
  </si>
  <si>
    <t>51,5</t>
  </si>
  <si>
    <t>36,5</t>
  </si>
  <si>
    <t>56,5</t>
  </si>
  <si>
    <t>61,5</t>
  </si>
  <si>
    <t>66,5</t>
  </si>
  <si>
    <t>69,0</t>
  </si>
  <si>
    <t>72,0</t>
  </si>
  <si>
    <t>Кулясов Сергей</t>
  </si>
  <si>
    <t>99,70</t>
  </si>
  <si>
    <t xml:space="preserve">Пенза/Пензенская область </t>
  </si>
  <si>
    <t>59,0</t>
  </si>
  <si>
    <t>86,5</t>
  </si>
  <si>
    <t>Васильев Алексей</t>
  </si>
  <si>
    <t>Open (07.05.1971)/45</t>
  </si>
  <si>
    <t>105,60</t>
  </si>
  <si>
    <t>64,0</t>
  </si>
  <si>
    <t>Богомолов Владимир</t>
  </si>
  <si>
    <t>Open (14.08.1982)/34</t>
  </si>
  <si>
    <t>113,00</t>
  </si>
  <si>
    <t>74,0</t>
  </si>
  <si>
    <t>84,0</t>
  </si>
  <si>
    <t>94,0</t>
  </si>
  <si>
    <t>99,0</t>
  </si>
  <si>
    <t>Кравченко Альберт</t>
  </si>
  <si>
    <t>Master 50+ (06.08.1965)/51</t>
  </si>
  <si>
    <t>97,30</t>
  </si>
  <si>
    <t>71,5</t>
  </si>
  <si>
    <t>17,5</t>
  </si>
  <si>
    <t>20,0</t>
  </si>
  <si>
    <t>Андреев Александр</t>
  </si>
  <si>
    <t>Master 40+ (22.01.1972)/44</t>
  </si>
  <si>
    <t>85,30</t>
  </si>
  <si>
    <t>22,5</t>
  </si>
  <si>
    <t>23,8</t>
  </si>
  <si>
    <t>Open (17.08.1963)/53</t>
  </si>
  <si>
    <t>Короткова Ульяна</t>
  </si>
  <si>
    <t>Open (10.08.1983)/33</t>
  </si>
  <si>
    <t>74,60</t>
  </si>
  <si>
    <t>Белугин Иван</t>
  </si>
  <si>
    <t>Open (25.04.1988)/28</t>
  </si>
  <si>
    <t>83,30</t>
  </si>
  <si>
    <t>Минко Алексей</t>
  </si>
  <si>
    <t>Open (20.11.1980)/35</t>
  </si>
  <si>
    <t>88,00</t>
  </si>
  <si>
    <t>Щербаков Максим</t>
  </si>
  <si>
    <t>Open (10.01.1986)/30</t>
  </si>
  <si>
    <t>84,60</t>
  </si>
  <si>
    <t>Василисков Игорь</t>
  </si>
  <si>
    <t>Open (18.06.1985)/31</t>
  </si>
  <si>
    <t>Тюкалов Алексей</t>
  </si>
  <si>
    <t>Open (09.11.1978)/37</t>
  </si>
  <si>
    <t>41,5</t>
  </si>
  <si>
    <t>41.50</t>
  </si>
  <si>
    <t>Junior (03.10.1999)/16</t>
  </si>
  <si>
    <t>61.50</t>
  </si>
  <si>
    <t>66.50</t>
  </si>
  <si>
    <t>54,0</t>
  </si>
  <si>
    <t>54.00</t>
  </si>
  <si>
    <t>96,5</t>
  </si>
  <si>
    <t>94.00</t>
  </si>
  <si>
    <t>76,5</t>
  </si>
  <si>
    <t>76.50</t>
  </si>
  <si>
    <t>69.00</t>
  </si>
  <si>
    <t>Вес</t>
  </si>
  <si>
    <t>Повторы</t>
  </si>
  <si>
    <t>Рыбкин Александр</t>
  </si>
  <si>
    <t>Open (30.07.1991)/25</t>
  </si>
  <si>
    <t>75,50</t>
  </si>
  <si>
    <t xml:space="preserve">Гуково/Ростовская область </t>
  </si>
  <si>
    <t>Морозов Владислав</t>
  </si>
  <si>
    <t>Open (17.04.1976)/40</t>
  </si>
  <si>
    <t>Masters 40-49 (17.04.1976)/40</t>
  </si>
  <si>
    <t>Ефимчук Алексей</t>
  </si>
  <si>
    <t>Open (08.08.1991)/25</t>
  </si>
  <si>
    <t>Masters 40-49 (12.03.1972)/44</t>
  </si>
  <si>
    <t>Носенко Михаил</t>
  </si>
  <si>
    <t>Open (25.08.1981)/35</t>
  </si>
  <si>
    <t>96,10</t>
  </si>
  <si>
    <t xml:space="preserve">Ахтубинск/Астраханская область </t>
  </si>
  <si>
    <t>Masters 40-49 (29.09.1975)/41</t>
  </si>
  <si>
    <t>118,20</t>
  </si>
  <si>
    <t xml:space="preserve">Gloss </t>
  </si>
  <si>
    <t>4095,0</t>
  </si>
  <si>
    <t>2418,0975</t>
  </si>
  <si>
    <t>3895,0</t>
  </si>
  <si>
    <t>2322,0042</t>
  </si>
  <si>
    <t>3705,0</t>
  </si>
  <si>
    <t>2192,0633</t>
  </si>
  <si>
    <t>Teen 13-19 (18.01.2003)/13</t>
  </si>
  <si>
    <t>51,00</t>
  </si>
  <si>
    <t>Masters 40-49 (13.01.1974)/42</t>
  </si>
  <si>
    <t>50,80</t>
  </si>
  <si>
    <t>Скопцова Надежда</t>
  </si>
  <si>
    <t>Open (19.10.1977)/38</t>
  </si>
  <si>
    <t>58,80</t>
  </si>
  <si>
    <t>Гринев Руслан</t>
  </si>
  <si>
    <t>Open (14.03.1980)/36</t>
  </si>
  <si>
    <t>71,20</t>
  </si>
  <si>
    <t>Афанасьев Вячеслав</t>
  </si>
  <si>
    <t>Open (11.11.1978)/37</t>
  </si>
  <si>
    <t>82,30</t>
  </si>
  <si>
    <t xml:space="preserve">Великие Луки/Псковская область </t>
  </si>
  <si>
    <t>Боярович Евгений</t>
  </si>
  <si>
    <t>Open (06.06.1985)/31</t>
  </si>
  <si>
    <t>91,40</t>
  </si>
  <si>
    <t>Подъем на бицес</t>
  </si>
  <si>
    <t>Армейский жим</t>
  </si>
  <si>
    <t>Бикчурин Ренат</t>
  </si>
  <si>
    <t>Open (18.09.1982)/34</t>
  </si>
  <si>
    <t>74,50</t>
  </si>
  <si>
    <t>Сакович Олег</t>
  </si>
  <si>
    <t>Open (21.08.1992)/24</t>
  </si>
  <si>
    <t>Кузнецов Виталий</t>
  </si>
  <si>
    <t>Open (28.09.1992)/24</t>
  </si>
  <si>
    <t>86,10</t>
  </si>
  <si>
    <t>89,80</t>
  </si>
  <si>
    <t>Соколов Евгений</t>
  </si>
  <si>
    <t>Яковенко Владимир</t>
  </si>
  <si>
    <t>Juniors 20-23 (22.09.1994)/22</t>
  </si>
  <si>
    <t>85,70</t>
  </si>
  <si>
    <t xml:space="preserve">Инта/Коми </t>
  </si>
  <si>
    <t>Марцынковский Дмитрий</t>
  </si>
  <si>
    <t>Open (12.07.1980)/36</t>
  </si>
  <si>
    <t>86,70</t>
  </si>
  <si>
    <t>Киселев Михаил</t>
  </si>
  <si>
    <t>Juniors 20-23 (20.12.1992)/23</t>
  </si>
  <si>
    <t>80,00</t>
  </si>
  <si>
    <t xml:space="preserve">Домодедово/Московская область </t>
  </si>
  <si>
    <t>90,60</t>
  </si>
  <si>
    <t>Скворцов Михаил</t>
  </si>
  <si>
    <t>Masters 40-49 (19.04.1970)/46</t>
  </si>
  <si>
    <t>96,70</t>
  </si>
  <si>
    <t>Петров Всеволод</t>
  </si>
  <si>
    <t>Open (04.08.1979)/37</t>
  </si>
  <si>
    <t>Писарев Кирилл</t>
  </si>
  <si>
    <t>Masters 40-49 (07.08.1972)/44</t>
  </si>
  <si>
    <t>123,70</t>
  </si>
  <si>
    <t xml:space="preserve">Белгород/Белгородская область </t>
  </si>
  <si>
    <t xml:space="preserve">Громов С.Л. </t>
  </si>
  <si>
    <t>ВЕСОВАЯ КАТЕГОРИЯ   70</t>
  </si>
  <si>
    <t>Белов Андрей</t>
  </si>
  <si>
    <t>Masters 45-49 (22.02.1969)/47</t>
  </si>
  <si>
    <t>70,00</t>
  </si>
  <si>
    <t>ВЕСОВАЯ КАТЕГОРИЯ   80</t>
  </si>
  <si>
    <t>Гришкин Леонид</t>
  </si>
  <si>
    <t>Junior (14.06.1996)/20</t>
  </si>
  <si>
    <t>79,20</t>
  </si>
  <si>
    <t xml:space="preserve">Всеволожск/Ленинградская область </t>
  </si>
  <si>
    <t>84,90</t>
  </si>
  <si>
    <t>Ляшенко Александр</t>
  </si>
  <si>
    <t>Open (04.05.1980)/36</t>
  </si>
  <si>
    <t>ВЕСОВАЯ КАТЕГОРИЯ   130+</t>
  </si>
  <si>
    <t>Барягин Леонид</t>
  </si>
  <si>
    <t>Open (23.08.1961)/55</t>
  </si>
  <si>
    <t>124,10</t>
  </si>
  <si>
    <t xml:space="preserve">Люберцы/Московская область </t>
  </si>
  <si>
    <t>91,00</t>
  </si>
  <si>
    <t>Родиков Юрий</t>
  </si>
  <si>
    <t>Open (31.03.1974)/42</t>
  </si>
  <si>
    <t>98,80</t>
  </si>
  <si>
    <t xml:space="preserve">Смоленск/Смоленская область </t>
  </si>
  <si>
    <t>Masters 55-59 (23.08.1961)/55</t>
  </si>
  <si>
    <t>Ермолаева Д.М.</t>
  </si>
  <si>
    <t xml:space="preserve">Горохов Е. </t>
  </si>
  <si>
    <t xml:space="preserve">Ермолаева Д.М. </t>
  </si>
  <si>
    <t>Смирнов О.А.</t>
  </si>
  <si>
    <t xml:space="preserve">Лепешенков В. </t>
  </si>
  <si>
    <t xml:space="preserve">Длужневский С.С. </t>
  </si>
  <si>
    <t>Ефимчук А.</t>
  </si>
  <si>
    <t>Карандашев В.</t>
  </si>
  <si>
    <t>Москва/Московская область</t>
  </si>
  <si>
    <t>Длужневский С.С</t>
  </si>
  <si>
    <t xml:space="preserve">Буганов С.В. </t>
  </si>
  <si>
    <t>Горохов Е.</t>
  </si>
  <si>
    <t>Самостоятельно</t>
  </si>
  <si>
    <t>Длужневский С.С.</t>
  </si>
  <si>
    <t>Понаморев В.</t>
  </si>
  <si>
    <t>Волков А.</t>
  </si>
  <si>
    <t>Великие Луки/Псковская область</t>
  </si>
  <si>
    <t>Исаков П.</t>
  </si>
  <si>
    <t>Кузнецов А.</t>
  </si>
  <si>
    <t xml:space="preserve">Кожин Б. </t>
  </si>
  <si>
    <t>Иванов Т.</t>
  </si>
  <si>
    <t xml:space="preserve">Одинаев А. </t>
  </si>
  <si>
    <t>Савченко Т.</t>
  </si>
  <si>
    <t>Бухман А.</t>
  </si>
  <si>
    <t xml:space="preserve">Новиков Ю. </t>
  </si>
  <si>
    <t>Никитинский А .</t>
  </si>
  <si>
    <t>Таранухин Г.Ю.</t>
  </si>
  <si>
    <t>Немнонов С.</t>
  </si>
  <si>
    <t>Москва/ Московская область</t>
  </si>
  <si>
    <t>Филимонов .</t>
  </si>
  <si>
    <t>Беляев В.</t>
  </si>
  <si>
    <t>Астахов Д.</t>
  </si>
  <si>
    <t>Соколов М.В.</t>
  </si>
  <si>
    <t>Москвичёв А.</t>
  </si>
  <si>
    <t>Грахов Ю.П.</t>
  </si>
  <si>
    <t>Букалов А.</t>
  </si>
  <si>
    <t>Дмитрий Р.</t>
  </si>
  <si>
    <t>Алексей Е.</t>
  </si>
  <si>
    <t>Никитинский А.</t>
  </si>
  <si>
    <t>Скворцов М.</t>
  </si>
  <si>
    <t>Волакитин В.</t>
  </si>
  <si>
    <t>Кузеев Д.</t>
  </si>
  <si>
    <t>Лилимберг В.</t>
  </si>
  <si>
    <t xml:space="preserve">Кузеев Д. </t>
  </si>
  <si>
    <t xml:space="preserve">Саитов А.С. </t>
  </si>
  <si>
    <t>Бородий В.</t>
  </si>
  <si>
    <t>Таранухин Г.Ю,</t>
  </si>
  <si>
    <t>Чернышев Д.</t>
  </si>
  <si>
    <t>Варава И.</t>
  </si>
  <si>
    <t>Желудко В.</t>
  </si>
  <si>
    <t>Алимов М.</t>
  </si>
  <si>
    <t>Тимофеев О.В.</t>
  </si>
  <si>
    <t xml:space="preserve">Абаев В.М. </t>
  </si>
  <si>
    <t>Плешаков.Н.Н.</t>
  </si>
  <si>
    <t xml:space="preserve">Скворцов М.Н. </t>
  </si>
  <si>
    <t>Боярович Л.</t>
  </si>
  <si>
    <t xml:space="preserve">Смирнов О.А. </t>
  </si>
  <si>
    <t xml:space="preserve">Москва//Московская область  </t>
  </si>
  <si>
    <t>Дроздов А.</t>
  </si>
  <si>
    <t>Заломаев С.</t>
  </si>
  <si>
    <t xml:space="preserve">Бородий В. </t>
  </si>
  <si>
    <t xml:space="preserve">Заломаев С. </t>
  </si>
  <si>
    <t>Место</t>
  </si>
  <si>
    <t>1</t>
  </si>
  <si>
    <t>2</t>
  </si>
  <si>
    <t>0</t>
  </si>
  <si>
    <t>3</t>
  </si>
  <si>
    <t>Результат</t>
  </si>
  <si>
    <t xml:space="preserve">Кингисепп/Ленинградская область </t>
  </si>
  <si>
    <t>Чемпионат России IPL 
Присед в бинтах
г.Санкт-Петербург, 30 - 02 октября-ноября 2016 г.</t>
  </si>
  <si>
    <t>Санкт-Петербург/Ленинградская область</t>
  </si>
  <si>
    <t xml:space="preserve">Санкт Петербург/Ленинградская область </t>
  </si>
  <si>
    <t xml:space="preserve">Санкт-Петербург/Ленинградская область </t>
  </si>
  <si>
    <t>Чемпионат России IPL Присед без экипировки ДК
Присед без экипировки ДК
г. Санкт-Петербург, 30 - 02 октября-ноября 2016 г.</t>
  </si>
  <si>
    <t>Чемпионат России IPL Присед без экипировки
 Присед без экипировки
г. Санкт-Петербург, 30 - 02 октября-ноября 2016 г.</t>
  </si>
  <si>
    <t>Чемпионат России IPL Силовое двоеборье без экипировки ДК
 Силовое двоеборье без экипировки ДК
г. Санкт-Петербург, 30 - 02 октября-ноября 2016 г.</t>
  </si>
  <si>
    <t>Чемпионат России IPL Силовое двоеборье без экипировки
Силовое двоеборье без экипировки
г. Санкт-Петербург, 30 - 02 октября-ноября 2016 г.</t>
  </si>
  <si>
    <t>Чемпионат России IPL 
Становая тяга в экипировке ДК
г. Санкт-Петербург, 30 - 02 октября-ноября 2016 г.</t>
  </si>
  <si>
    <t>Чемпионат России IPL 
Становая тяга в экипировке
г. Санкт-Петербург, 30 - 02 октября-ноября 2016 г.</t>
  </si>
  <si>
    <t>Чемпионат России IPL 
Становая тяга без экипировки ДК
г. Санкт-Петербург, 30 - 02 октября-ноября 2016 г.</t>
  </si>
  <si>
    <t>Чемпионат России IPL 
Становая тяга без экипировки 
г. Санкт-Петербург, 30 - 02 октября-ноября 2016 г.</t>
  </si>
  <si>
    <t>Чемпионат России IPL
 Пауэрлифтинг в бинтах ДК
г. Санкт-Петербург, 30 - 02 октября-ноября 2016 г.</t>
  </si>
  <si>
    <t>Чемпионат России IPL 
Пауэрлифтинг в бинтах
г. Санкт-Петербург, 30 - 02 октября-ноября 2016 г.</t>
  </si>
  <si>
    <t>Чемпионат России IPL
 Пауэрлифтинг без экипировки ДК
г. Санкт-Петербург, 30 - 02 октября-ноября 2016 г.</t>
  </si>
  <si>
    <t>Чемпионат России IPL 
Пауэрлифтинг без экипировки
г. Санкт-Петербург, 30 - 02 октября-ноября 2016 г.</t>
  </si>
  <si>
    <t>Чемпионат России IPL
 Жим лежа в однослойной экипировке ДК
г. Санкт-Петербург, 30 - 02 октября-ноября 2016 г.</t>
  </si>
  <si>
    <t>Чемпионат России IPL
 Жим лежа без экипировки ДК
г. Санкт-Петербург, 30 - 02 октября-ноября 2016 г.</t>
  </si>
  <si>
    <t>Чемпионат России IPL
 Жим лежа без экипировки
г. Санкт-Петербург, 30 - 02 октября-ноября 2016 г.</t>
  </si>
  <si>
    <t>Всероссийский мастерский
 Excalibur
г. Санкт-Петербург, 30 - 02 октября-ноября 2016 г.</t>
  </si>
  <si>
    <t>Всероссийский мастерский 
Two handed pinch grip block
г. Санкт-Петербург, 30 - 02 октября-ноября 2016 г.</t>
  </si>
  <si>
    <t>Всероссийский мастерский
 HUB
г. Санкт-Петербург, 30 - 02 октября-ноября 2016 г.</t>
  </si>
  <si>
    <t>Всероссийский мастерский
 Apollon Axle
г. Санкт-Петербург, 30 - 02 октября-ноября 2016 г.</t>
  </si>
  <si>
    <t>Всероссийский мастерский
 Rolling Thunder
г. Санкт-Петербург, 30 - 02 октября-ноября 2016 г.</t>
  </si>
  <si>
    <t>Чемпионат России IPL
Народный жим (1 вес)
г. Санкт-Петербург, 30 - 02 октября-ноября 2016 г.</t>
  </si>
  <si>
    <t>Чемпионат России IPL
Народный жим 1/2 веса ДК 
г. Санкт-Петербург, 30 - 02 октября-ноября 2016 г.</t>
  </si>
  <si>
    <t>Чемпионат России IPL
Народный жим (1 вес) ДК
г. Санкт-Петербург, 30 - 02 октября-ноября 2016 г.</t>
  </si>
  <si>
    <t>Чемпионат России IPL
 Пауэрспорт 
г. Санкт-Петербург, 30 - 02 октября-ноября 2016 г.</t>
  </si>
  <si>
    <t>Всероссийский мастерский
 Любители, многоповторный жим
г. Санкт-Петербург, 30 - 02 октября-ноября 2016 г.</t>
  </si>
  <si>
    <t>Всероссийский мастерский 
Любители, жим на максимум
г. Санкт-Петербург, 30 - 02 октября-ноября 2016 г.</t>
  </si>
  <si>
    <t>Всероссийский мастерский
 Армейский жим на максимум
г. Санкт-Петербург, 30 - 02 октября-ноября 2016 г.</t>
  </si>
  <si>
    <t>Всероссийский мастерский
 Армейский, многоповторный жим
г. Санкт-Петербург, 30 - 02 октября-ноября 2016 г.</t>
  </si>
  <si>
    <t>Всероссийский мастерский
 Софт экипировка, жим на максимум
г. Санкт-Петербург, 30 - 02 октября-ноября 2016 г.</t>
  </si>
  <si>
    <t>Возрастная группа               Дата рождения/возраст</t>
  </si>
  <si>
    <t>Собств. вес</t>
  </si>
  <si>
    <t>Город/область</t>
  </si>
  <si>
    <t xml:space="preserve">Санкт-Петербург/Ленинградская область  </t>
  </si>
  <si>
    <t xml:space="preserve">125,0 </t>
  </si>
  <si>
    <t xml:space="preserve">90,0 </t>
  </si>
  <si>
    <t>Сестрорецк/Ленинградская область</t>
  </si>
  <si>
    <t xml:space="preserve">110,0 </t>
  </si>
  <si>
    <t xml:space="preserve">82,5 </t>
  </si>
  <si>
    <t xml:space="preserve">100,0 </t>
  </si>
  <si>
    <t>Шлиссельбург/Ленинградская область</t>
  </si>
  <si>
    <t xml:space="preserve">Кронштадт/Ленинградская область </t>
  </si>
  <si>
    <t xml:space="preserve">Сестрорецк/Ленинградская область </t>
  </si>
  <si>
    <t xml:space="preserve">Белый ручей/Вологодская область </t>
  </si>
  <si>
    <t xml:space="preserve">пос.им.Морозова/Ленинградская область </t>
  </si>
  <si>
    <t xml:space="preserve">75,0 </t>
  </si>
  <si>
    <t>Чемпионат России IPL
 Пауэрлифтинг в однослойной экипировке 
г. Санкт-Петербург, 30 - 02 октября-ноября 2016 г.</t>
  </si>
  <si>
    <t xml:space="preserve">Шлиссельбург/Ленинградская область </t>
  </si>
  <si>
    <t>Рошино/Ленинградская область</t>
  </si>
  <si>
    <t>Кронштадт/Ленинградская область</t>
  </si>
  <si>
    <t>Рек.</t>
  </si>
  <si>
    <t>Лично</t>
  </si>
  <si>
    <t>Тоннаж</t>
  </si>
  <si>
    <t xml:space="preserve">Сосновый Бор/Ленинградская область </t>
  </si>
  <si>
    <t>Санкт Петербург/Ленинградская область</t>
  </si>
  <si>
    <t>Санкт-Петребург/Ленинградская область</t>
  </si>
  <si>
    <t>20</t>
  </si>
  <si>
    <t>17</t>
  </si>
  <si>
    <t>28</t>
  </si>
  <si>
    <t>22</t>
  </si>
  <si>
    <t>29</t>
  </si>
  <si>
    <t>35</t>
  </si>
  <si>
    <t>19</t>
  </si>
  <si>
    <t>1595,0</t>
  </si>
  <si>
    <t>2392,5</t>
  </si>
  <si>
    <t>2310,0</t>
  </si>
  <si>
    <t>2610,0</t>
  </si>
  <si>
    <t>3237,5</t>
  </si>
  <si>
    <t>1757,5</t>
  </si>
  <si>
    <t xml:space="preserve">Зеленоградск/Калининградская область </t>
  </si>
  <si>
    <t>Чемпионат России IPL
 Пауэрспорт ДК
г. Санкт-Петербург, 30 - 02 октября-ноября 2016 г.</t>
  </si>
  <si>
    <t>Чемпионат России IPL
Жим лежа в SOFT экипировке ДК
г. Санкт-Петербург, 30 - 02 октября-ноября 2016 г.</t>
  </si>
  <si>
    <t>Чемпионат России IPL
Жим лежа в SOFT экипировке 
г. Санкт-Петербург, 30 - 02 октября-ноября 2016 г.</t>
  </si>
  <si>
    <t>Всероссийский мастерский 
Любители ДК, жим на максимум
г. Санкт-Петербург, 30 - 02 октября-ноября 2016 г.</t>
  </si>
  <si>
    <t>Всероссийский мастерский
 Любители ДК, многоповторный жим
г. Санкт-Петербург, 30 - 02 октября-ноября 2016 г.</t>
  </si>
  <si>
    <t>24</t>
  </si>
  <si>
    <t>33</t>
  </si>
  <si>
    <t>Жим 1</t>
  </si>
  <si>
    <t>Жим 2</t>
  </si>
  <si>
    <t>Повтор</t>
  </si>
  <si>
    <t>Всероссийский мастерский
 Армейское двоеборье
г. Санкт-Петербург, 30 - 02 октября-ноября 2016 г.</t>
  </si>
  <si>
    <t>Баллы</t>
  </si>
  <si>
    <t>40</t>
  </si>
  <si>
    <t>1485,0</t>
  </si>
  <si>
    <t>DQ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</si>
</sst>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52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8"/>
      <name val="Arial Cyr"/>
      <family val="0"/>
    </font>
    <font>
      <b/>
      <strike/>
      <sz val="10"/>
      <color indexed="10"/>
      <name val="Arial Cyr"/>
      <family val="0"/>
    </font>
    <font>
      <b/>
      <strike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0" fillId="0" borderId="18" xfId="0" applyNumberFormat="1" applyFill="1" applyBorder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4" fillId="33" borderId="0" xfId="0" applyNumberFormat="1" applyFont="1" applyFill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49" fontId="2" fillId="34" borderId="12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49" fontId="2" fillId="35" borderId="0" xfId="0" applyNumberFormat="1" applyFont="1" applyFill="1" applyAlignment="1">
      <alignment horizontal="center"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15" fillId="34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11" xfId="0" applyNumberFormat="1" applyFill="1" applyBorder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/>
    </xf>
    <xf numFmtId="49" fontId="1" fillId="33" borderId="31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 vertical="center"/>
    </xf>
    <xf numFmtId="49" fontId="1" fillId="33" borderId="33" xfId="0" applyNumberFormat="1" applyFont="1" applyFill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 vertical="center"/>
    </xf>
    <xf numFmtId="172" fontId="1" fillId="0" borderId="31" xfId="0" applyNumberFormat="1" applyFont="1" applyFill="1" applyBorder="1" applyAlignment="1">
      <alignment horizontal="center" vertical="center"/>
    </xf>
    <xf numFmtId="172" fontId="1" fillId="0" borderId="32" xfId="0" applyNumberFormat="1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center" vertical="center"/>
    </xf>
    <xf numFmtId="172" fontId="1" fillId="0" borderId="34" xfId="0" applyNumberFormat="1" applyFont="1" applyFill="1" applyBorder="1" applyAlignment="1">
      <alignment horizontal="center" vertical="center"/>
    </xf>
    <xf numFmtId="172" fontId="3" fillId="0" borderId="24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7" fillId="0" borderId="29" xfId="0" applyNumberFormat="1" applyFont="1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3" width="26.0039062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1.00390625" style="13" bestFit="1" customWidth="1"/>
    <col min="8" max="8" width="5.625" style="13" bestFit="1" customWidth="1"/>
    <col min="9" max="9" width="5.875" style="13" customWidth="1"/>
    <col min="10" max="10" width="5.625" style="13" customWidth="1"/>
    <col min="11" max="11" width="6.875" style="13" customWidth="1"/>
    <col min="12" max="12" width="12.00390625" style="13" customWidth="1"/>
    <col min="13" max="13" width="8.625" style="13" bestFit="1" customWidth="1"/>
    <col min="14" max="14" width="15.375" style="13" bestFit="1" customWidth="1"/>
  </cols>
  <sheetData>
    <row r="1" spans="1:14" s="1" customFormat="1" ht="15" customHeight="1">
      <c r="A1" s="50"/>
      <c r="B1" s="149" t="s">
        <v>959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7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165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3">
        <v>1</v>
      </c>
      <c r="B6" s="16" t="s">
        <v>602</v>
      </c>
      <c r="C6" s="16" t="s">
        <v>603</v>
      </c>
      <c r="D6" s="16" t="s">
        <v>604</v>
      </c>
      <c r="E6" s="16" t="str">
        <f>"0,5708"</f>
        <v>0,5708</v>
      </c>
      <c r="F6" s="16" t="s">
        <v>14</v>
      </c>
      <c r="G6" s="16" t="s">
        <v>958</v>
      </c>
      <c r="H6" s="129" t="s">
        <v>465</v>
      </c>
      <c r="I6" s="17"/>
      <c r="J6" s="17"/>
      <c r="K6" s="17"/>
      <c r="L6" s="55">
        <v>260</v>
      </c>
      <c r="M6" s="56" t="str">
        <f>"148,4080"</f>
        <v>148,4080</v>
      </c>
      <c r="N6" s="16" t="s">
        <v>63</v>
      </c>
    </row>
    <row r="7" spans="1:14" ht="12.75">
      <c r="A7" s="54">
        <v>1</v>
      </c>
      <c r="B7" s="19" t="s">
        <v>602</v>
      </c>
      <c r="C7" s="19" t="s">
        <v>617</v>
      </c>
      <c r="D7" s="19" t="s">
        <v>604</v>
      </c>
      <c r="E7" s="19" t="str">
        <f>"0,5708"</f>
        <v>0,5708</v>
      </c>
      <c r="F7" s="19" t="s">
        <v>14</v>
      </c>
      <c r="G7" s="19" t="s">
        <v>958</v>
      </c>
      <c r="H7" s="130" t="s">
        <v>465</v>
      </c>
      <c r="I7" s="20"/>
      <c r="J7" s="20"/>
      <c r="K7" s="20"/>
      <c r="L7" s="57">
        <v>260</v>
      </c>
      <c r="M7" s="58" t="str">
        <f>"148,4080"</f>
        <v>148,4080</v>
      </c>
      <c r="N7" s="19" t="s">
        <v>63</v>
      </c>
    </row>
    <row r="9" ht="15">
      <c r="F9" s="14"/>
    </row>
    <row r="11" ht="12.75">
      <c r="B11" s="28"/>
    </row>
    <row r="22" ht="12.75">
      <c r="C22" s="32"/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7.75390625" style="52" customWidth="1"/>
    <col min="2" max="2" width="19.125" style="13" customWidth="1"/>
    <col min="3" max="3" width="26.25390625" style="13" customWidth="1"/>
    <col min="4" max="4" width="10.625" style="13" bestFit="1" customWidth="1"/>
    <col min="5" max="5" width="8.375" style="13" bestFit="1" customWidth="1"/>
    <col min="6" max="6" width="13.375" style="13" customWidth="1"/>
    <col min="7" max="7" width="34.625" style="13" bestFit="1" customWidth="1"/>
    <col min="8" max="10" width="5.625" style="67" bestFit="1" customWidth="1"/>
    <col min="11" max="11" width="4.625" style="67" bestFit="1" customWidth="1"/>
    <col min="12" max="14" width="5.625" style="67" bestFit="1" customWidth="1"/>
    <col min="15" max="15" width="4.625" style="67" bestFit="1" customWidth="1"/>
    <col min="16" max="18" width="5.625" style="67" bestFit="1" customWidth="1"/>
    <col min="19" max="19" width="4.625" style="67" bestFit="1" customWidth="1"/>
    <col min="20" max="20" width="7.875" style="67" bestFit="1" customWidth="1"/>
    <col min="21" max="21" width="8.625" style="67" bestFit="1" customWidth="1"/>
    <col min="22" max="22" width="15.375" style="13" bestFit="1" customWidth="1"/>
  </cols>
  <sheetData>
    <row r="1" spans="1:22" s="1" customFormat="1" ht="15" customHeight="1">
      <c r="A1" s="50"/>
      <c r="B1" s="149" t="s">
        <v>971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1:22" s="1" customFormat="1" ht="83.2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6" t="s">
        <v>5</v>
      </c>
    </row>
    <row r="4" spans="1:22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7"/>
    </row>
    <row r="5" spans="2:21" ht="15">
      <c r="B5" s="148" t="s">
        <v>190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2" ht="12.75">
      <c r="A6" s="59">
        <v>1</v>
      </c>
      <c r="B6" s="21" t="s">
        <v>618</v>
      </c>
      <c r="C6" s="21" t="s">
        <v>619</v>
      </c>
      <c r="D6" s="21" t="s">
        <v>620</v>
      </c>
      <c r="E6" s="21" t="str">
        <f>"1,2560"</f>
        <v>1,2560</v>
      </c>
      <c r="F6" s="21" t="s">
        <v>14</v>
      </c>
      <c r="G6" s="21" t="s">
        <v>621</v>
      </c>
      <c r="H6" s="89" t="s">
        <v>105</v>
      </c>
      <c r="I6" s="89" t="s">
        <v>339</v>
      </c>
      <c r="J6" s="89" t="s">
        <v>286</v>
      </c>
      <c r="K6" s="66"/>
      <c r="L6" s="65" t="s">
        <v>622</v>
      </c>
      <c r="M6" s="89" t="s">
        <v>622</v>
      </c>
      <c r="N6" s="65" t="s">
        <v>623</v>
      </c>
      <c r="O6" s="66"/>
      <c r="P6" s="89" t="s">
        <v>107</v>
      </c>
      <c r="Q6" s="89" t="s">
        <v>164</v>
      </c>
      <c r="R6" s="90" t="s">
        <v>69</v>
      </c>
      <c r="S6" s="66"/>
      <c r="T6" s="64">
        <v>320</v>
      </c>
      <c r="U6" s="62" t="str">
        <f>"401,9200"</f>
        <v>401,9200</v>
      </c>
      <c r="V6" s="21" t="s">
        <v>907</v>
      </c>
    </row>
    <row r="8" spans="2:21" ht="15">
      <c r="B8" s="160" t="s">
        <v>28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2" ht="12.75">
      <c r="A9" s="59">
        <v>1</v>
      </c>
      <c r="B9" s="21" t="s">
        <v>624</v>
      </c>
      <c r="C9" s="21" t="s">
        <v>625</v>
      </c>
      <c r="D9" s="21" t="s">
        <v>626</v>
      </c>
      <c r="E9" s="21" t="str">
        <f>"0,7214"</f>
        <v>0,7214</v>
      </c>
      <c r="F9" s="21" t="s">
        <v>14</v>
      </c>
      <c r="G9" s="21" t="s">
        <v>906</v>
      </c>
      <c r="H9" s="89" t="s">
        <v>127</v>
      </c>
      <c r="I9" s="65" t="s">
        <v>62</v>
      </c>
      <c r="J9" s="65" t="s">
        <v>62</v>
      </c>
      <c r="K9" s="66"/>
      <c r="L9" s="89" t="s">
        <v>105</v>
      </c>
      <c r="M9" s="89" t="s">
        <v>285</v>
      </c>
      <c r="N9" s="65" t="s">
        <v>106</v>
      </c>
      <c r="O9" s="66"/>
      <c r="P9" s="89" t="s">
        <v>127</v>
      </c>
      <c r="Q9" s="89" t="s">
        <v>62</v>
      </c>
      <c r="R9" s="89" t="s">
        <v>141</v>
      </c>
      <c r="S9" s="66"/>
      <c r="T9" s="62">
        <v>502.5</v>
      </c>
      <c r="U9" s="62" t="str">
        <f>"362,5035"</f>
        <v>362,5035</v>
      </c>
      <c r="V9" s="21" t="s">
        <v>63</v>
      </c>
    </row>
  </sheetData>
  <sheetProtection/>
  <mergeCells count="16">
    <mergeCell ref="B5:U5"/>
    <mergeCell ref="B8:U8"/>
    <mergeCell ref="B1:V2"/>
    <mergeCell ref="B3:B4"/>
    <mergeCell ref="C3:C4"/>
    <mergeCell ref="D3:D4"/>
    <mergeCell ref="E3:E4"/>
    <mergeCell ref="P3:S3"/>
    <mergeCell ref="T3:T4"/>
    <mergeCell ref="U3:U4"/>
    <mergeCell ref="A3:A4"/>
    <mergeCell ref="V3:V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6.375" style="13" customWidth="1"/>
    <col min="8" max="10" width="5.625" style="67" bestFit="1" customWidth="1"/>
    <col min="11" max="11" width="4.625" style="67" bestFit="1" customWidth="1"/>
    <col min="12" max="14" width="5.625" style="67" bestFit="1" customWidth="1"/>
    <col min="15" max="15" width="4.625" style="67" bestFit="1" customWidth="1"/>
    <col min="16" max="19" width="5.625" style="67" bestFit="1" customWidth="1"/>
    <col min="20" max="20" width="7.875" style="67" bestFit="1" customWidth="1"/>
    <col min="21" max="21" width="8.625" style="67" bestFit="1" customWidth="1"/>
    <col min="22" max="22" width="19.75390625" style="13" bestFit="1" customWidth="1"/>
  </cols>
  <sheetData>
    <row r="1" spans="1:22" s="1" customFormat="1" ht="15" customHeight="1">
      <c r="A1" s="50"/>
      <c r="B1" s="149" t="s">
        <v>972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1:22" s="1" customFormat="1" ht="87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6" t="s">
        <v>5</v>
      </c>
    </row>
    <row r="4" spans="1:22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7"/>
    </row>
    <row r="5" spans="2:21" ht="15">
      <c r="B5" s="148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2" ht="12.75">
      <c r="A6" s="53">
        <v>1</v>
      </c>
      <c r="B6" s="16" t="s">
        <v>575</v>
      </c>
      <c r="C6" s="16" t="s">
        <v>576</v>
      </c>
      <c r="D6" s="16" t="s">
        <v>577</v>
      </c>
      <c r="E6" s="16" t="str">
        <f>"0,6999"</f>
        <v>0,6999</v>
      </c>
      <c r="F6" s="16" t="s">
        <v>14</v>
      </c>
      <c r="G6" s="16" t="s">
        <v>958</v>
      </c>
      <c r="H6" s="133" t="s">
        <v>151</v>
      </c>
      <c r="I6" s="68" t="s">
        <v>62</v>
      </c>
      <c r="J6" s="68" t="s">
        <v>62</v>
      </c>
      <c r="K6" s="69"/>
      <c r="L6" s="68" t="s">
        <v>106</v>
      </c>
      <c r="M6" s="133" t="s">
        <v>106</v>
      </c>
      <c r="N6" s="68" t="s">
        <v>236</v>
      </c>
      <c r="O6" s="69"/>
      <c r="P6" s="133" t="s">
        <v>169</v>
      </c>
      <c r="Q6" s="133" t="s">
        <v>420</v>
      </c>
      <c r="R6" s="68" t="s">
        <v>578</v>
      </c>
      <c r="S6" s="69"/>
      <c r="T6" s="55">
        <v>550</v>
      </c>
      <c r="U6" s="70" t="str">
        <f>"384,9450"</f>
        <v>384,9450</v>
      </c>
      <c r="V6" s="16" t="s">
        <v>63</v>
      </c>
    </row>
    <row r="7" spans="1:22" ht="12.75">
      <c r="A7" s="54">
        <v>2</v>
      </c>
      <c r="B7" s="19" t="s">
        <v>579</v>
      </c>
      <c r="C7" s="19" t="s">
        <v>580</v>
      </c>
      <c r="D7" s="19" t="s">
        <v>581</v>
      </c>
      <c r="E7" s="19" t="str">
        <f>"0,6734"</f>
        <v>0,6734</v>
      </c>
      <c r="F7" s="19" t="s">
        <v>14</v>
      </c>
      <c r="G7" s="19" t="s">
        <v>23</v>
      </c>
      <c r="H7" s="134" t="s">
        <v>62</v>
      </c>
      <c r="I7" s="134" t="s">
        <v>415</v>
      </c>
      <c r="J7" s="71" t="s">
        <v>119</v>
      </c>
      <c r="K7" s="72"/>
      <c r="L7" s="134" t="s">
        <v>106</v>
      </c>
      <c r="M7" s="71" t="s">
        <v>107</v>
      </c>
      <c r="N7" s="71" t="s">
        <v>107</v>
      </c>
      <c r="O7" s="72"/>
      <c r="P7" s="71" t="s">
        <v>62</v>
      </c>
      <c r="Q7" s="134" t="s">
        <v>415</v>
      </c>
      <c r="R7" s="134" t="s">
        <v>176</v>
      </c>
      <c r="S7" s="72"/>
      <c r="T7" s="57">
        <v>545</v>
      </c>
      <c r="U7" s="73" t="str">
        <f>"367,0030"</f>
        <v>367,0030</v>
      </c>
      <c r="V7" s="19" t="s">
        <v>908</v>
      </c>
    </row>
    <row r="9" spans="2:21" ht="15">
      <c r="B9" s="160" t="s">
        <v>78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22" ht="12.75">
      <c r="A10" s="53">
        <v>1</v>
      </c>
      <c r="B10" s="16" t="s">
        <v>582</v>
      </c>
      <c r="C10" s="16" t="s">
        <v>583</v>
      </c>
      <c r="D10" s="16" t="s">
        <v>584</v>
      </c>
      <c r="E10" s="16" t="str">
        <f>"0,6384"</f>
        <v>0,6384</v>
      </c>
      <c r="F10" s="16" t="s">
        <v>14</v>
      </c>
      <c r="G10" s="16" t="s">
        <v>521</v>
      </c>
      <c r="H10" s="133" t="s">
        <v>465</v>
      </c>
      <c r="I10" s="133" t="s">
        <v>504</v>
      </c>
      <c r="J10" s="133" t="s">
        <v>585</v>
      </c>
      <c r="K10" s="69"/>
      <c r="L10" s="133" t="s">
        <v>155</v>
      </c>
      <c r="M10" s="133" t="s">
        <v>127</v>
      </c>
      <c r="N10" s="68" t="s">
        <v>132</v>
      </c>
      <c r="O10" s="69"/>
      <c r="P10" s="133" t="s">
        <v>504</v>
      </c>
      <c r="Q10" s="133" t="s">
        <v>459</v>
      </c>
      <c r="R10" s="133" t="s">
        <v>586</v>
      </c>
      <c r="S10" s="69"/>
      <c r="T10" s="55">
        <v>780</v>
      </c>
      <c r="U10" s="70" t="str">
        <f>"497,9520"</f>
        <v>497,9520</v>
      </c>
      <c r="V10" s="16" t="s">
        <v>903</v>
      </c>
    </row>
    <row r="11" spans="1:22" ht="12.75">
      <c r="A11" s="74"/>
      <c r="B11" s="18" t="s">
        <v>587</v>
      </c>
      <c r="C11" s="18" t="s">
        <v>588</v>
      </c>
      <c r="D11" s="18" t="s">
        <v>589</v>
      </c>
      <c r="E11" s="18" t="str">
        <f>"0,6624"</f>
        <v>0,6624</v>
      </c>
      <c r="F11" s="18" t="s">
        <v>14</v>
      </c>
      <c r="G11" s="18" t="s">
        <v>958</v>
      </c>
      <c r="H11" s="79" t="s">
        <v>62</v>
      </c>
      <c r="I11" s="79" t="s">
        <v>62</v>
      </c>
      <c r="J11" s="79" t="s">
        <v>415</v>
      </c>
      <c r="K11" s="77"/>
      <c r="L11" s="79"/>
      <c r="M11" s="77"/>
      <c r="N11" s="77"/>
      <c r="O11" s="77"/>
      <c r="P11" s="79"/>
      <c r="Q11" s="77"/>
      <c r="R11" s="77"/>
      <c r="S11" s="77"/>
      <c r="T11" s="85">
        <v>0</v>
      </c>
      <c r="U11" s="78" t="s">
        <v>955</v>
      </c>
      <c r="V11" s="18" t="s">
        <v>63</v>
      </c>
    </row>
    <row r="12" spans="1:22" ht="12.75">
      <c r="A12" s="54">
        <v>1</v>
      </c>
      <c r="B12" s="19" t="s">
        <v>590</v>
      </c>
      <c r="C12" s="19" t="s">
        <v>591</v>
      </c>
      <c r="D12" s="19" t="s">
        <v>309</v>
      </c>
      <c r="E12" s="19" t="str">
        <f>"0,6410"</f>
        <v>0,6410</v>
      </c>
      <c r="F12" s="19" t="s">
        <v>14</v>
      </c>
      <c r="G12" s="19" t="s">
        <v>592</v>
      </c>
      <c r="H12" s="134" t="s">
        <v>88</v>
      </c>
      <c r="I12" s="71" t="s">
        <v>151</v>
      </c>
      <c r="J12" s="71" t="s">
        <v>62</v>
      </c>
      <c r="K12" s="72"/>
      <c r="L12" s="134" t="s">
        <v>105</v>
      </c>
      <c r="M12" s="71" t="s">
        <v>106</v>
      </c>
      <c r="N12" s="71" t="s">
        <v>106</v>
      </c>
      <c r="O12" s="72"/>
      <c r="P12" s="81" t="s">
        <v>127</v>
      </c>
      <c r="Q12" s="134" t="s">
        <v>151</v>
      </c>
      <c r="R12" s="71" t="s">
        <v>62</v>
      </c>
      <c r="S12" s="72"/>
      <c r="T12" s="57">
        <v>470</v>
      </c>
      <c r="U12" s="73" t="str">
        <f>"319,3462"</f>
        <v>319,3462</v>
      </c>
      <c r="V12" s="19" t="s">
        <v>63</v>
      </c>
    </row>
    <row r="14" spans="2:21" ht="15">
      <c r="B14" s="160" t="s">
        <v>108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</row>
    <row r="15" spans="1:22" ht="12.75">
      <c r="A15" s="53">
        <v>1</v>
      </c>
      <c r="B15" s="16" t="s">
        <v>593</v>
      </c>
      <c r="C15" s="16" t="s">
        <v>594</v>
      </c>
      <c r="D15" s="16" t="s">
        <v>595</v>
      </c>
      <c r="E15" s="16" t="str">
        <f>"0,6321"</f>
        <v>0,6321</v>
      </c>
      <c r="F15" s="16" t="s">
        <v>14</v>
      </c>
      <c r="G15" s="16" t="s">
        <v>521</v>
      </c>
      <c r="H15" s="133" t="s">
        <v>596</v>
      </c>
      <c r="I15" s="133" t="s">
        <v>466</v>
      </c>
      <c r="J15" s="133" t="s">
        <v>492</v>
      </c>
      <c r="K15" s="69"/>
      <c r="L15" s="133" t="s">
        <v>76</v>
      </c>
      <c r="M15" s="133" t="s">
        <v>100</v>
      </c>
      <c r="N15" s="68" t="s">
        <v>77</v>
      </c>
      <c r="O15" s="69"/>
      <c r="P15" s="133" t="s">
        <v>578</v>
      </c>
      <c r="Q15" s="133" t="s">
        <v>465</v>
      </c>
      <c r="R15" s="133" t="s">
        <v>481</v>
      </c>
      <c r="S15" s="133" t="s">
        <v>597</v>
      </c>
      <c r="T15" s="55">
        <v>707.5</v>
      </c>
      <c r="U15" s="70" t="str">
        <f>"447,2107"</f>
        <v>447,2107</v>
      </c>
      <c r="V15" s="16" t="s">
        <v>895</v>
      </c>
    </row>
    <row r="16" spans="1:22" ht="12.75">
      <c r="A16" s="54">
        <v>1</v>
      </c>
      <c r="B16" s="19" t="s">
        <v>593</v>
      </c>
      <c r="C16" s="19" t="s">
        <v>598</v>
      </c>
      <c r="D16" s="19" t="s">
        <v>595</v>
      </c>
      <c r="E16" s="19" t="str">
        <f>"0,6321"</f>
        <v>0,6321</v>
      </c>
      <c r="F16" s="19" t="s">
        <v>14</v>
      </c>
      <c r="G16" s="19" t="s">
        <v>521</v>
      </c>
      <c r="H16" s="89" t="s">
        <v>596</v>
      </c>
      <c r="I16" s="89" t="s">
        <v>466</v>
      </c>
      <c r="J16" s="89" t="s">
        <v>492</v>
      </c>
      <c r="K16" s="66"/>
      <c r="L16" s="89" t="s">
        <v>76</v>
      </c>
      <c r="M16" s="89" t="s">
        <v>100</v>
      </c>
      <c r="N16" s="65" t="s">
        <v>77</v>
      </c>
      <c r="O16" s="66"/>
      <c r="P16" s="89" t="s">
        <v>578</v>
      </c>
      <c r="Q16" s="89" t="s">
        <v>465</v>
      </c>
      <c r="R16" s="89" t="s">
        <v>481</v>
      </c>
      <c r="S16" s="89" t="s">
        <v>597</v>
      </c>
      <c r="T16" s="64">
        <v>707.5</v>
      </c>
      <c r="U16" s="62" t="str">
        <f>"447,2107"</f>
        <v>447,2107</v>
      </c>
      <c r="V16" s="19" t="s">
        <v>895</v>
      </c>
    </row>
    <row r="18" spans="2:21" ht="15">
      <c r="B18" s="160" t="s">
        <v>137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</row>
    <row r="19" spans="1:22" ht="12.75">
      <c r="A19" s="59">
        <v>1</v>
      </c>
      <c r="B19" s="21" t="s">
        <v>599</v>
      </c>
      <c r="C19" s="21" t="s">
        <v>600</v>
      </c>
      <c r="D19" s="21" t="s">
        <v>601</v>
      </c>
      <c r="E19" s="21" t="str">
        <f>"0,5932"</f>
        <v>0,5932</v>
      </c>
      <c r="F19" s="21" t="s">
        <v>204</v>
      </c>
      <c r="G19" s="21" t="s">
        <v>898</v>
      </c>
      <c r="H19" s="89" t="s">
        <v>62</v>
      </c>
      <c r="I19" s="89" t="s">
        <v>415</v>
      </c>
      <c r="J19" s="89" t="s">
        <v>119</v>
      </c>
      <c r="K19" s="66"/>
      <c r="L19" s="89" t="s">
        <v>69</v>
      </c>
      <c r="M19" s="89" t="s">
        <v>72</v>
      </c>
      <c r="N19" s="89" t="s">
        <v>88</v>
      </c>
      <c r="O19" s="66"/>
      <c r="P19" s="66"/>
      <c r="Q19" s="89" t="s">
        <v>415</v>
      </c>
      <c r="R19" s="89" t="s">
        <v>119</v>
      </c>
      <c r="S19" s="66"/>
      <c r="T19" s="64">
        <v>610</v>
      </c>
      <c r="U19" s="62" t="str">
        <f>"361,8520"</f>
        <v>361,8520</v>
      </c>
      <c r="V19" s="21" t="s">
        <v>904</v>
      </c>
    </row>
    <row r="21" spans="2:21" ht="15">
      <c r="B21" s="160" t="s">
        <v>165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</row>
    <row r="22" spans="1:22" ht="12.75">
      <c r="A22" s="53"/>
      <c r="B22" s="16" t="s">
        <v>602</v>
      </c>
      <c r="C22" s="16" t="s">
        <v>603</v>
      </c>
      <c r="D22" s="16" t="s">
        <v>604</v>
      </c>
      <c r="E22" s="16" t="str">
        <f>"0,5708"</f>
        <v>0,5708</v>
      </c>
      <c r="F22" s="16" t="s">
        <v>14</v>
      </c>
      <c r="G22" s="16" t="s">
        <v>958</v>
      </c>
      <c r="H22" s="68" t="s">
        <v>420</v>
      </c>
      <c r="I22" s="133" t="s">
        <v>420</v>
      </c>
      <c r="J22" s="68" t="s">
        <v>465</v>
      </c>
      <c r="K22" s="69"/>
      <c r="L22" s="68" t="s">
        <v>69</v>
      </c>
      <c r="M22" s="68" t="s">
        <v>69</v>
      </c>
      <c r="N22" s="68" t="s">
        <v>69</v>
      </c>
      <c r="O22" s="69"/>
      <c r="P22" s="82"/>
      <c r="Q22" s="69"/>
      <c r="R22" s="69"/>
      <c r="S22" s="69"/>
      <c r="T22" s="84">
        <v>0</v>
      </c>
      <c r="U22" s="70" t="str">
        <f>"0,0000"</f>
        <v>0,0000</v>
      </c>
      <c r="V22" s="16" t="s">
        <v>63</v>
      </c>
    </row>
    <row r="23" spans="1:22" ht="12.75">
      <c r="A23" s="74">
        <v>1</v>
      </c>
      <c r="B23" s="18" t="s">
        <v>605</v>
      </c>
      <c r="C23" s="18" t="s">
        <v>606</v>
      </c>
      <c r="D23" s="18" t="s">
        <v>607</v>
      </c>
      <c r="E23" s="18" t="str">
        <f>"0,5809"</f>
        <v>0,5809</v>
      </c>
      <c r="F23" s="18" t="s">
        <v>14</v>
      </c>
      <c r="G23" s="18" t="s">
        <v>500</v>
      </c>
      <c r="H23" s="135" t="s">
        <v>481</v>
      </c>
      <c r="I23" s="135" t="s">
        <v>504</v>
      </c>
      <c r="J23" s="135" t="s">
        <v>608</v>
      </c>
      <c r="K23" s="77"/>
      <c r="L23" s="135" t="s">
        <v>72</v>
      </c>
      <c r="M23" s="135" t="s">
        <v>405</v>
      </c>
      <c r="N23" s="135" t="s">
        <v>127</v>
      </c>
      <c r="O23" s="77"/>
      <c r="P23" s="135" t="s">
        <v>586</v>
      </c>
      <c r="Q23" s="135" t="s">
        <v>460</v>
      </c>
      <c r="R23" s="135" t="s">
        <v>515</v>
      </c>
      <c r="S23" s="77"/>
      <c r="T23" s="76">
        <v>800</v>
      </c>
      <c r="U23" s="78" t="str">
        <f>"464,7200"</f>
        <v>464,7200</v>
      </c>
      <c r="V23" s="18" t="s">
        <v>63</v>
      </c>
    </row>
    <row r="24" spans="1:22" ht="12.75">
      <c r="A24" s="74">
        <v>2</v>
      </c>
      <c r="B24" s="18" t="s">
        <v>609</v>
      </c>
      <c r="C24" s="18" t="s">
        <v>610</v>
      </c>
      <c r="D24" s="18" t="s">
        <v>611</v>
      </c>
      <c r="E24" s="18" t="str">
        <f>"0,5720"</f>
        <v>0,5720</v>
      </c>
      <c r="F24" s="18" t="s">
        <v>14</v>
      </c>
      <c r="G24" s="18" t="s">
        <v>960</v>
      </c>
      <c r="H24" s="135" t="s">
        <v>608</v>
      </c>
      <c r="I24" s="135" t="s">
        <v>459</v>
      </c>
      <c r="J24" s="79" t="s">
        <v>612</v>
      </c>
      <c r="K24" s="77"/>
      <c r="L24" s="135" t="s">
        <v>127</v>
      </c>
      <c r="M24" s="79" t="s">
        <v>151</v>
      </c>
      <c r="N24" s="79" t="s">
        <v>151</v>
      </c>
      <c r="O24" s="77"/>
      <c r="P24" s="135" t="s">
        <v>613</v>
      </c>
      <c r="Q24" s="135" t="s">
        <v>504</v>
      </c>
      <c r="R24" s="77"/>
      <c r="S24" s="77"/>
      <c r="T24" s="76">
        <v>760</v>
      </c>
      <c r="U24" s="78" t="str">
        <f>"434,7200"</f>
        <v>434,7200</v>
      </c>
      <c r="V24" s="18" t="s">
        <v>63</v>
      </c>
    </row>
    <row r="25" spans="1:22" ht="12.75">
      <c r="A25" s="74"/>
      <c r="B25" s="18" t="s">
        <v>614</v>
      </c>
      <c r="C25" s="18" t="s">
        <v>615</v>
      </c>
      <c r="D25" s="18" t="s">
        <v>616</v>
      </c>
      <c r="E25" s="18" t="str">
        <f>"0,5761"</f>
        <v>0,5761</v>
      </c>
      <c r="F25" s="18" t="s">
        <v>14</v>
      </c>
      <c r="G25" s="18" t="s">
        <v>962</v>
      </c>
      <c r="H25" s="79" t="s">
        <v>459</v>
      </c>
      <c r="I25" s="77"/>
      <c r="J25" s="79" t="s">
        <v>460</v>
      </c>
      <c r="K25" s="77"/>
      <c r="L25" s="79" t="s">
        <v>62</v>
      </c>
      <c r="M25" s="79" t="s">
        <v>62</v>
      </c>
      <c r="N25" s="79" t="s">
        <v>62</v>
      </c>
      <c r="O25" s="77"/>
      <c r="P25" s="77"/>
      <c r="Q25" s="77"/>
      <c r="R25" s="77"/>
      <c r="S25" s="77"/>
      <c r="T25" s="85">
        <v>0</v>
      </c>
      <c r="U25" s="78" t="s">
        <v>955</v>
      </c>
      <c r="V25" s="18" t="s">
        <v>63</v>
      </c>
    </row>
    <row r="26" spans="1:22" ht="12.75">
      <c r="A26" s="54"/>
      <c r="B26" s="19" t="s">
        <v>602</v>
      </c>
      <c r="C26" s="19" t="s">
        <v>617</v>
      </c>
      <c r="D26" s="19" t="s">
        <v>604</v>
      </c>
      <c r="E26" s="19" t="str">
        <f>"0,5708"</f>
        <v>0,5708</v>
      </c>
      <c r="F26" s="19" t="s">
        <v>14</v>
      </c>
      <c r="G26" s="19" t="s">
        <v>958</v>
      </c>
      <c r="H26" s="71" t="s">
        <v>420</v>
      </c>
      <c r="I26" s="134" t="s">
        <v>420</v>
      </c>
      <c r="J26" s="71" t="s">
        <v>465</v>
      </c>
      <c r="K26" s="72"/>
      <c r="L26" s="71" t="s">
        <v>69</v>
      </c>
      <c r="M26" s="71" t="s">
        <v>69</v>
      </c>
      <c r="N26" s="71" t="s">
        <v>69</v>
      </c>
      <c r="O26" s="72"/>
      <c r="P26" s="83"/>
      <c r="Q26" s="72"/>
      <c r="R26" s="72"/>
      <c r="S26" s="72"/>
      <c r="T26" s="80">
        <v>0</v>
      </c>
      <c r="U26" s="73" t="s">
        <v>955</v>
      </c>
      <c r="V26" s="19" t="s">
        <v>63</v>
      </c>
    </row>
  </sheetData>
  <sheetProtection/>
  <mergeCells count="19">
    <mergeCell ref="P3:S3"/>
    <mergeCell ref="B18:U18"/>
    <mergeCell ref="B21:U21"/>
    <mergeCell ref="T3:T4"/>
    <mergeCell ref="U3:U4"/>
    <mergeCell ref="V3:V4"/>
    <mergeCell ref="B5:U5"/>
    <mergeCell ref="B9:U9"/>
    <mergeCell ref="B14:U14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7.12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6.75390625" style="13" customWidth="1"/>
    <col min="8" max="10" width="5.625" style="67" bestFit="1" customWidth="1"/>
    <col min="11" max="11" width="4.625" style="67" bestFit="1" customWidth="1"/>
    <col min="12" max="14" width="5.625" style="67" bestFit="1" customWidth="1"/>
    <col min="15" max="15" width="4.625" style="67" bestFit="1" customWidth="1"/>
    <col min="16" max="18" width="5.625" style="67" bestFit="1" customWidth="1"/>
    <col min="19" max="19" width="4.625" style="67" bestFit="1" customWidth="1"/>
    <col min="20" max="20" width="7.875" style="67" bestFit="1" customWidth="1"/>
    <col min="21" max="21" width="8.625" style="67" bestFit="1" customWidth="1"/>
    <col min="22" max="22" width="19.25390625" style="13" bestFit="1" customWidth="1"/>
  </cols>
  <sheetData>
    <row r="1" spans="1:22" s="1" customFormat="1" ht="15" customHeight="1">
      <c r="A1" s="50"/>
      <c r="B1" s="149" t="s">
        <v>973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1:22" s="1" customFormat="1" ht="76.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6" t="s">
        <v>5</v>
      </c>
    </row>
    <row r="4" spans="1:22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7"/>
    </row>
    <row r="5" spans="2:21" ht="15">
      <c r="B5" s="148" t="s">
        <v>190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2" ht="12.75">
      <c r="A6" s="53">
        <v>1</v>
      </c>
      <c r="B6" s="30" t="s">
        <v>516</v>
      </c>
      <c r="C6" s="16" t="s">
        <v>517</v>
      </c>
      <c r="D6" s="16" t="s">
        <v>203</v>
      </c>
      <c r="E6" s="16" t="str">
        <f>"1,2673"</f>
        <v>1,2673</v>
      </c>
      <c r="F6" s="16" t="s">
        <v>14</v>
      </c>
      <c r="G6" s="16" t="s">
        <v>960</v>
      </c>
      <c r="H6" s="133" t="s">
        <v>262</v>
      </c>
      <c r="I6" s="133" t="s">
        <v>243</v>
      </c>
      <c r="J6" s="68" t="s">
        <v>293</v>
      </c>
      <c r="K6" s="69"/>
      <c r="L6" s="133" t="s">
        <v>199</v>
      </c>
      <c r="M6" s="133" t="s">
        <v>50</v>
      </c>
      <c r="N6" s="68" t="s">
        <v>200</v>
      </c>
      <c r="O6" s="69"/>
      <c r="P6" s="133" t="s">
        <v>262</v>
      </c>
      <c r="Q6" s="133" t="s">
        <v>293</v>
      </c>
      <c r="R6" s="68" t="s">
        <v>105</v>
      </c>
      <c r="S6" s="69"/>
      <c r="T6" s="55">
        <v>250</v>
      </c>
      <c r="U6" s="70" t="str">
        <f>"316,8250"</f>
        <v>316,8250</v>
      </c>
      <c r="V6" s="16" t="s">
        <v>909</v>
      </c>
    </row>
    <row r="7" spans="1:22" ht="12.75">
      <c r="A7" s="54">
        <v>2</v>
      </c>
      <c r="B7" s="31" t="s">
        <v>207</v>
      </c>
      <c r="C7" s="19" t="s">
        <v>208</v>
      </c>
      <c r="D7" s="19" t="s">
        <v>209</v>
      </c>
      <c r="E7" s="19" t="str">
        <f>"1,2711"</f>
        <v>1,2711</v>
      </c>
      <c r="F7" s="19" t="s">
        <v>14</v>
      </c>
      <c r="G7" s="18" t="s">
        <v>960</v>
      </c>
      <c r="H7" s="134" t="s">
        <v>199</v>
      </c>
      <c r="I7" s="134" t="s">
        <v>200</v>
      </c>
      <c r="J7" s="134" t="s">
        <v>16</v>
      </c>
      <c r="K7" s="72"/>
      <c r="L7" s="134" t="s">
        <v>205</v>
      </c>
      <c r="M7" s="71" t="s">
        <v>206</v>
      </c>
      <c r="N7" s="71" t="s">
        <v>206</v>
      </c>
      <c r="O7" s="72"/>
      <c r="P7" s="134" t="s">
        <v>214</v>
      </c>
      <c r="Q7" s="71" t="s">
        <v>55</v>
      </c>
      <c r="R7" s="71" t="s">
        <v>55</v>
      </c>
      <c r="S7" s="72"/>
      <c r="T7" s="57">
        <v>165</v>
      </c>
      <c r="U7" s="73" t="str">
        <f>"209,7315"</f>
        <v>209,7315</v>
      </c>
      <c r="V7" s="19" t="s">
        <v>910</v>
      </c>
    </row>
    <row r="8" ht="12.75">
      <c r="G8" s="35"/>
    </row>
    <row r="9" spans="2:21" ht="15">
      <c r="B9" s="160" t="s">
        <v>10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</row>
    <row r="10" spans="1:22" ht="12.75">
      <c r="A10" s="59">
        <v>1</v>
      </c>
      <c r="B10" s="29" t="s">
        <v>518</v>
      </c>
      <c r="C10" s="21" t="s">
        <v>519</v>
      </c>
      <c r="D10" s="21" t="s">
        <v>520</v>
      </c>
      <c r="E10" s="21" t="str">
        <f>"1,1799"</f>
        <v>1,1799</v>
      </c>
      <c r="F10" s="21" t="s">
        <v>14</v>
      </c>
      <c r="G10" s="21" t="s">
        <v>521</v>
      </c>
      <c r="H10" s="89" t="s">
        <v>26</v>
      </c>
      <c r="I10" s="89" t="s">
        <v>262</v>
      </c>
      <c r="J10" s="89" t="s">
        <v>293</v>
      </c>
      <c r="K10" s="66"/>
      <c r="L10" s="89" t="s">
        <v>206</v>
      </c>
      <c r="M10" s="65" t="s">
        <v>433</v>
      </c>
      <c r="N10" s="89" t="s">
        <v>199</v>
      </c>
      <c r="O10" s="66"/>
      <c r="P10" s="89" t="s">
        <v>26</v>
      </c>
      <c r="Q10" s="89" t="s">
        <v>262</v>
      </c>
      <c r="R10" s="89" t="s">
        <v>293</v>
      </c>
      <c r="S10" s="66"/>
      <c r="T10" s="64">
        <v>250</v>
      </c>
      <c r="U10" s="62" t="str">
        <f>"294,9750"</f>
        <v>294,9750</v>
      </c>
      <c r="V10" s="21" t="s">
        <v>892</v>
      </c>
    </row>
    <row r="11" ht="12.75">
      <c r="T11" s="91"/>
    </row>
    <row r="12" spans="2:21" ht="15">
      <c r="B12" s="160" t="s">
        <v>18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2" ht="12.75">
      <c r="A13" s="53">
        <v>1</v>
      </c>
      <c r="B13" s="30" t="s">
        <v>522</v>
      </c>
      <c r="C13" s="16" t="s">
        <v>523</v>
      </c>
      <c r="D13" s="16" t="s">
        <v>524</v>
      </c>
      <c r="E13" s="16" t="str">
        <f>"1,0551"</f>
        <v>1,0551</v>
      </c>
      <c r="F13" s="16" t="s">
        <v>261</v>
      </c>
      <c r="G13" s="16" t="s">
        <v>960</v>
      </c>
      <c r="H13" s="133" t="s">
        <v>17</v>
      </c>
      <c r="I13" s="68" t="s">
        <v>33</v>
      </c>
      <c r="J13" s="133" t="s">
        <v>33</v>
      </c>
      <c r="K13" s="69"/>
      <c r="L13" s="68" t="s">
        <v>205</v>
      </c>
      <c r="M13" s="133" t="s">
        <v>205</v>
      </c>
      <c r="N13" s="68" t="s">
        <v>49</v>
      </c>
      <c r="O13" s="69"/>
      <c r="P13" s="133" t="s">
        <v>26</v>
      </c>
      <c r="Q13" s="133" t="s">
        <v>262</v>
      </c>
      <c r="R13" s="133" t="s">
        <v>525</v>
      </c>
      <c r="S13" s="69"/>
      <c r="T13" s="55">
        <v>220</v>
      </c>
      <c r="U13" s="70" t="str">
        <f>"232,1220"</f>
        <v>232,1220</v>
      </c>
      <c r="V13" s="16" t="s">
        <v>893</v>
      </c>
    </row>
    <row r="14" spans="1:22" ht="12.75">
      <c r="A14" s="54">
        <v>2</v>
      </c>
      <c r="B14" s="31" t="s">
        <v>526</v>
      </c>
      <c r="C14" s="19" t="s">
        <v>527</v>
      </c>
      <c r="D14" s="19" t="s">
        <v>528</v>
      </c>
      <c r="E14" s="19" t="str">
        <f>"1,0871"</f>
        <v>1,0871</v>
      </c>
      <c r="F14" s="19" t="s">
        <v>14</v>
      </c>
      <c r="G14" s="19" t="s">
        <v>529</v>
      </c>
      <c r="H14" s="134" t="s">
        <v>205</v>
      </c>
      <c r="I14" s="71" t="s">
        <v>199</v>
      </c>
      <c r="J14" s="134" t="s">
        <v>199</v>
      </c>
      <c r="K14" s="72"/>
      <c r="L14" s="134" t="s">
        <v>194</v>
      </c>
      <c r="M14" s="134" t="s">
        <v>195</v>
      </c>
      <c r="N14" s="134" t="s">
        <v>205</v>
      </c>
      <c r="O14" s="72"/>
      <c r="P14" s="134" t="s">
        <v>16</v>
      </c>
      <c r="Q14" s="134" t="s">
        <v>55</v>
      </c>
      <c r="R14" s="71" t="s">
        <v>39</v>
      </c>
      <c r="S14" s="72"/>
      <c r="T14" s="57">
        <v>160</v>
      </c>
      <c r="U14" s="73" t="str">
        <f>"173,9360"</f>
        <v>173,9360</v>
      </c>
      <c r="V14" s="19" t="s">
        <v>911</v>
      </c>
    </row>
    <row r="16" spans="2:21" ht="15">
      <c r="B16" s="160" t="s">
        <v>28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</row>
    <row r="17" spans="1:22" ht="12.75">
      <c r="A17" s="59"/>
      <c r="B17" s="29" t="s">
        <v>530</v>
      </c>
      <c r="C17" s="21" t="s">
        <v>531</v>
      </c>
      <c r="D17" s="21" t="s">
        <v>532</v>
      </c>
      <c r="E17" s="21" t="str">
        <f>"0,9797"</f>
        <v>0,9797</v>
      </c>
      <c r="F17" s="21" t="s">
        <v>261</v>
      </c>
      <c r="G17" s="21" t="s">
        <v>962</v>
      </c>
      <c r="H17" s="65" t="s">
        <v>244</v>
      </c>
      <c r="I17" s="65" t="s">
        <v>344</v>
      </c>
      <c r="J17" s="65" t="s">
        <v>285</v>
      </c>
      <c r="K17" s="66"/>
      <c r="L17" s="65"/>
      <c r="M17" s="66"/>
      <c r="N17" s="66"/>
      <c r="O17" s="66"/>
      <c r="P17" s="65"/>
      <c r="Q17" s="66"/>
      <c r="R17" s="66"/>
      <c r="S17" s="66"/>
      <c r="T17" s="94">
        <v>0</v>
      </c>
      <c r="U17" s="62" t="s">
        <v>955</v>
      </c>
      <c r="V17" s="21" t="s">
        <v>893</v>
      </c>
    </row>
    <row r="19" spans="2:21" ht="15">
      <c r="B19" s="160" t="s">
        <v>28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</row>
    <row r="20" spans="1:22" ht="12.75">
      <c r="A20" s="53"/>
      <c r="B20" s="30" t="s">
        <v>533</v>
      </c>
      <c r="C20" s="16" t="s">
        <v>534</v>
      </c>
      <c r="D20" s="16" t="s">
        <v>535</v>
      </c>
      <c r="E20" s="16" t="str">
        <f>"0,7235"</f>
        <v>0,7235</v>
      </c>
      <c r="F20" s="16" t="s">
        <v>14</v>
      </c>
      <c r="G20" s="16" t="s">
        <v>82</v>
      </c>
      <c r="H20" s="68" t="s">
        <v>244</v>
      </c>
      <c r="I20" s="68" t="s">
        <v>244</v>
      </c>
      <c r="J20" s="69"/>
      <c r="K20" s="69"/>
      <c r="L20" s="68"/>
      <c r="M20" s="69"/>
      <c r="N20" s="69"/>
      <c r="O20" s="69"/>
      <c r="P20" s="68"/>
      <c r="Q20" s="69"/>
      <c r="R20" s="69"/>
      <c r="S20" s="69"/>
      <c r="T20" s="84">
        <v>0</v>
      </c>
      <c r="U20" s="70" t="s">
        <v>955</v>
      </c>
      <c r="V20" s="16" t="s">
        <v>912</v>
      </c>
    </row>
    <row r="21" spans="1:22" ht="12.75">
      <c r="A21" s="54">
        <v>1</v>
      </c>
      <c r="B21" s="31" t="s">
        <v>536</v>
      </c>
      <c r="C21" s="19" t="s">
        <v>537</v>
      </c>
      <c r="D21" s="19" t="s">
        <v>538</v>
      </c>
      <c r="E21" s="19" t="str">
        <f>"0,7207"</f>
        <v>0,7207</v>
      </c>
      <c r="F21" s="19" t="s">
        <v>14</v>
      </c>
      <c r="G21" s="19" t="s">
        <v>960</v>
      </c>
      <c r="H21" s="71" t="s">
        <v>76</v>
      </c>
      <c r="I21" s="134" t="s">
        <v>76</v>
      </c>
      <c r="J21" s="71" t="s">
        <v>77</v>
      </c>
      <c r="K21" s="72"/>
      <c r="L21" s="134" t="s">
        <v>25</v>
      </c>
      <c r="M21" s="134" t="s">
        <v>262</v>
      </c>
      <c r="N21" s="71" t="s">
        <v>293</v>
      </c>
      <c r="O21" s="72"/>
      <c r="P21" s="134" t="s">
        <v>69</v>
      </c>
      <c r="Q21" s="134" t="s">
        <v>72</v>
      </c>
      <c r="R21" s="71" t="s">
        <v>89</v>
      </c>
      <c r="S21" s="72"/>
      <c r="T21" s="57">
        <v>400</v>
      </c>
      <c r="U21" s="73" t="str">
        <f>"288,2800"</f>
        <v>288,2800</v>
      </c>
      <c r="V21" s="19" t="s">
        <v>913</v>
      </c>
    </row>
    <row r="23" spans="2:21" ht="15">
      <c r="B23" s="160" t="s">
        <v>40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</row>
    <row r="24" spans="1:22" ht="12.75">
      <c r="A24" s="53">
        <v>1</v>
      </c>
      <c r="B24" s="30" t="s">
        <v>539</v>
      </c>
      <c r="C24" s="16" t="s">
        <v>540</v>
      </c>
      <c r="D24" s="16" t="s">
        <v>267</v>
      </c>
      <c r="E24" s="16" t="str">
        <f>"0,6790"</f>
        <v>0,6790</v>
      </c>
      <c r="F24" s="16" t="s">
        <v>242</v>
      </c>
      <c r="G24" s="16" t="s">
        <v>222</v>
      </c>
      <c r="H24" s="133" t="s">
        <v>62</v>
      </c>
      <c r="I24" s="133" t="s">
        <v>141</v>
      </c>
      <c r="J24" s="68" t="s">
        <v>268</v>
      </c>
      <c r="K24" s="69"/>
      <c r="L24" s="133" t="s">
        <v>236</v>
      </c>
      <c r="M24" s="68" t="s">
        <v>107</v>
      </c>
      <c r="N24" s="133" t="s">
        <v>107</v>
      </c>
      <c r="O24" s="69"/>
      <c r="P24" s="133" t="s">
        <v>415</v>
      </c>
      <c r="Q24" s="133" t="s">
        <v>119</v>
      </c>
      <c r="R24" s="68" t="s">
        <v>169</v>
      </c>
      <c r="S24" s="69"/>
      <c r="T24" s="55">
        <v>557.5</v>
      </c>
      <c r="U24" s="70" t="str">
        <f>"378,5425"</f>
        <v>378,5425</v>
      </c>
      <c r="V24" s="16" t="s">
        <v>914</v>
      </c>
    </row>
    <row r="25" spans="1:22" ht="12.75">
      <c r="A25" s="74">
        <v>2</v>
      </c>
      <c r="B25" s="41" t="s">
        <v>541</v>
      </c>
      <c r="C25" s="18" t="s">
        <v>542</v>
      </c>
      <c r="D25" s="18" t="s">
        <v>273</v>
      </c>
      <c r="E25" s="18" t="str">
        <f>"0,6754"</f>
        <v>0,6754</v>
      </c>
      <c r="F25" s="18" t="s">
        <v>14</v>
      </c>
      <c r="G25" s="18" t="s">
        <v>998</v>
      </c>
      <c r="H25" s="79" t="s">
        <v>293</v>
      </c>
      <c r="I25" s="135" t="s">
        <v>343</v>
      </c>
      <c r="J25" s="135" t="s">
        <v>339</v>
      </c>
      <c r="K25" s="77"/>
      <c r="L25" s="135" t="s">
        <v>262</v>
      </c>
      <c r="M25" s="135" t="s">
        <v>293</v>
      </c>
      <c r="N25" s="135" t="s">
        <v>244</v>
      </c>
      <c r="O25" s="77"/>
      <c r="P25" s="135" t="s">
        <v>293</v>
      </c>
      <c r="Q25" s="135" t="s">
        <v>344</v>
      </c>
      <c r="R25" s="79" t="s">
        <v>286</v>
      </c>
      <c r="S25" s="77"/>
      <c r="T25" s="76">
        <v>335</v>
      </c>
      <c r="U25" s="78" t="str">
        <f>"226,2590"</f>
        <v>226,2590</v>
      </c>
      <c r="V25" s="18" t="s">
        <v>63</v>
      </c>
    </row>
    <row r="26" spans="1:22" ht="12.75">
      <c r="A26" s="54">
        <v>1</v>
      </c>
      <c r="B26" s="31" t="s">
        <v>539</v>
      </c>
      <c r="C26" s="19" t="s">
        <v>543</v>
      </c>
      <c r="D26" s="19" t="s">
        <v>267</v>
      </c>
      <c r="E26" s="19" t="str">
        <f>"0,6790"</f>
        <v>0,6790</v>
      </c>
      <c r="F26" s="19" t="s">
        <v>242</v>
      </c>
      <c r="G26" s="19" t="s">
        <v>222</v>
      </c>
      <c r="H26" s="134" t="s">
        <v>62</v>
      </c>
      <c r="I26" s="134" t="s">
        <v>141</v>
      </c>
      <c r="J26" s="71" t="s">
        <v>268</v>
      </c>
      <c r="K26" s="72"/>
      <c r="L26" s="134" t="s">
        <v>236</v>
      </c>
      <c r="M26" s="71" t="s">
        <v>107</v>
      </c>
      <c r="N26" s="134" t="s">
        <v>107</v>
      </c>
      <c r="O26" s="72"/>
      <c r="P26" s="134" t="s">
        <v>415</v>
      </c>
      <c r="Q26" s="134" t="s">
        <v>119</v>
      </c>
      <c r="R26" s="71" t="s">
        <v>169</v>
      </c>
      <c r="S26" s="72"/>
      <c r="T26" s="57">
        <v>557.5</v>
      </c>
      <c r="U26" s="73" t="str">
        <f>"378,5425"</f>
        <v>378,5425</v>
      </c>
      <c r="V26" s="19" t="s">
        <v>914</v>
      </c>
    </row>
    <row r="28" spans="2:21" ht="15">
      <c r="B28" s="160" t="s">
        <v>78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</row>
    <row r="29" spans="1:22" ht="12.75">
      <c r="A29" s="53">
        <v>1</v>
      </c>
      <c r="B29" s="30" t="s">
        <v>544</v>
      </c>
      <c r="C29" s="16" t="s">
        <v>545</v>
      </c>
      <c r="D29" s="16" t="s">
        <v>302</v>
      </c>
      <c r="E29" s="16" t="str">
        <f>"0,6424"</f>
        <v>0,6424</v>
      </c>
      <c r="F29" s="16" t="s">
        <v>14</v>
      </c>
      <c r="G29" s="16" t="s">
        <v>222</v>
      </c>
      <c r="H29" s="133" t="s">
        <v>62</v>
      </c>
      <c r="I29" s="133" t="s">
        <v>268</v>
      </c>
      <c r="J29" s="133" t="s">
        <v>472</v>
      </c>
      <c r="K29" s="69"/>
      <c r="L29" s="133" t="s">
        <v>285</v>
      </c>
      <c r="M29" s="133" t="s">
        <v>236</v>
      </c>
      <c r="N29" s="68" t="s">
        <v>67</v>
      </c>
      <c r="O29" s="69"/>
      <c r="P29" s="133" t="s">
        <v>117</v>
      </c>
      <c r="Q29" s="133" t="s">
        <v>176</v>
      </c>
      <c r="R29" s="133" t="s">
        <v>472</v>
      </c>
      <c r="S29" s="69"/>
      <c r="T29" s="55">
        <v>575</v>
      </c>
      <c r="U29" s="70" t="str">
        <f>"369,3800"</f>
        <v>369,3800</v>
      </c>
      <c r="V29" s="16" t="s">
        <v>915</v>
      </c>
    </row>
    <row r="30" spans="1:22" ht="12.75">
      <c r="A30" s="74">
        <v>2</v>
      </c>
      <c r="B30" s="41" t="s">
        <v>546</v>
      </c>
      <c r="C30" s="18" t="s">
        <v>547</v>
      </c>
      <c r="D30" s="18" t="s">
        <v>305</v>
      </c>
      <c r="E30" s="18" t="str">
        <f>"0,6540"</f>
        <v>0,6540</v>
      </c>
      <c r="F30" s="18" t="s">
        <v>14</v>
      </c>
      <c r="G30" s="18" t="s">
        <v>962</v>
      </c>
      <c r="H30" s="135" t="s">
        <v>127</v>
      </c>
      <c r="I30" s="79" t="s">
        <v>151</v>
      </c>
      <c r="J30" s="79" t="s">
        <v>112</v>
      </c>
      <c r="K30" s="77"/>
      <c r="L30" s="135" t="s">
        <v>107</v>
      </c>
      <c r="M30" s="135" t="s">
        <v>67</v>
      </c>
      <c r="N30" s="79" t="s">
        <v>164</v>
      </c>
      <c r="O30" s="77"/>
      <c r="P30" s="79" t="s">
        <v>472</v>
      </c>
      <c r="Q30" s="135" t="s">
        <v>169</v>
      </c>
      <c r="R30" s="135" t="s">
        <v>420</v>
      </c>
      <c r="S30" s="77"/>
      <c r="T30" s="76">
        <v>555</v>
      </c>
      <c r="U30" s="78" t="str">
        <f>"362,9700"</f>
        <v>362,9700</v>
      </c>
      <c r="V30" s="18" t="s">
        <v>63</v>
      </c>
    </row>
    <row r="31" spans="1:22" ht="12.75">
      <c r="A31" s="74">
        <v>3</v>
      </c>
      <c r="B31" s="41" t="s">
        <v>548</v>
      </c>
      <c r="C31" s="18" t="s">
        <v>549</v>
      </c>
      <c r="D31" s="18" t="s">
        <v>550</v>
      </c>
      <c r="E31" s="18" t="str">
        <f>"0,6398"</f>
        <v>0,6398</v>
      </c>
      <c r="F31" s="18" t="s">
        <v>261</v>
      </c>
      <c r="G31" s="18" t="s">
        <v>962</v>
      </c>
      <c r="H31" s="79" t="s">
        <v>107</v>
      </c>
      <c r="I31" s="135" t="s">
        <v>107</v>
      </c>
      <c r="J31" s="135" t="s">
        <v>164</v>
      </c>
      <c r="K31" s="77"/>
      <c r="L31" s="135" t="s">
        <v>285</v>
      </c>
      <c r="M31" s="135" t="s">
        <v>106</v>
      </c>
      <c r="N31" s="135" t="s">
        <v>286</v>
      </c>
      <c r="O31" s="77"/>
      <c r="P31" s="135" t="s">
        <v>72</v>
      </c>
      <c r="Q31" s="135" t="s">
        <v>84</v>
      </c>
      <c r="R31" s="79" t="s">
        <v>88</v>
      </c>
      <c r="S31" s="77"/>
      <c r="T31" s="76">
        <v>427.5</v>
      </c>
      <c r="U31" s="78" t="str">
        <f>"273,5145"</f>
        <v>273,5145</v>
      </c>
      <c r="V31" s="18" t="s">
        <v>893</v>
      </c>
    </row>
    <row r="32" spans="1:22" ht="12.75">
      <c r="A32" s="54"/>
      <c r="B32" s="31" t="s">
        <v>332</v>
      </c>
      <c r="C32" s="19" t="s">
        <v>333</v>
      </c>
      <c r="D32" s="19" t="s">
        <v>328</v>
      </c>
      <c r="E32" s="19" t="str">
        <f>"0,6432"</f>
        <v>0,6432</v>
      </c>
      <c r="F32" s="19" t="s">
        <v>32</v>
      </c>
      <c r="G32" s="19" t="s">
        <v>960</v>
      </c>
      <c r="H32" s="71" t="s">
        <v>69</v>
      </c>
      <c r="I32" s="71" t="s">
        <v>77</v>
      </c>
      <c r="J32" s="71" t="s">
        <v>77</v>
      </c>
      <c r="K32" s="72"/>
      <c r="L32" s="71"/>
      <c r="M32" s="72"/>
      <c r="N32" s="72"/>
      <c r="O32" s="72"/>
      <c r="P32" s="71"/>
      <c r="Q32" s="72"/>
      <c r="R32" s="72"/>
      <c r="S32" s="72"/>
      <c r="T32" s="80">
        <v>0</v>
      </c>
      <c r="U32" s="73" t="s">
        <v>955</v>
      </c>
      <c r="V32" s="19" t="s">
        <v>916</v>
      </c>
    </row>
    <row r="33" spans="8:16" ht="12.75">
      <c r="H33" s="92"/>
      <c r="P33" s="92"/>
    </row>
    <row r="34" spans="2:21" ht="15">
      <c r="B34" s="160" t="s">
        <v>108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2" ht="12.75">
      <c r="A35" s="53">
        <v>1</v>
      </c>
      <c r="B35" s="30" t="s">
        <v>347</v>
      </c>
      <c r="C35" s="16" t="s">
        <v>348</v>
      </c>
      <c r="D35" s="16" t="s">
        <v>349</v>
      </c>
      <c r="E35" s="16" t="str">
        <f>"0,6163"</f>
        <v>0,6163</v>
      </c>
      <c r="F35" s="16" t="s">
        <v>14</v>
      </c>
      <c r="G35" s="16" t="s">
        <v>962</v>
      </c>
      <c r="H35" s="68" t="s">
        <v>88</v>
      </c>
      <c r="I35" s="133" t="s">
        <v>88</v>
      </c>
      <c r="J35" s="133" t="s">
        <v>127</v>
      </c>
      <c r="K35" s="69"/>
      <c r="L35" s="68" t="s">
        <v>164</v>
      </c>
      <c r="M35" s="68" t="s">
        <v>164</v>
      </c>
      <c r="N35" s="68" t="s">
        <v>164</v>
      </c>
      <c r="O35" s="69"/>
      <c r="P35" s="68"/>
      <c r="Q35" s="69"/>
      <c r="R35" s="69"/>
      <c r="S35" s="69"/>
      <c r="T35" s="84">
        <v>0</v>
      </c>
      <c r="U35" s="70" t="s">
        <v>955</v>
      </c>
      <c r="V35" s="16" t="s">
        <v>63</v>
      </c>
    </row>
    <row r="36" spans="1:22" ht="12.75">
      <c r="A36" s="74">
        <v>1</v>
      </c>
      <c r="B36" s="41" t="s">
        <v>551</v>
      </c>
      <c r="C36" s="18" t="s">
        <v>552</v>
      </c>
      <c r="D36" s="18" t="s">
        <v>553</v>
      </c>
      <c r="E36" s="18" t="str">
        <f>"0,6244"</f>
        <v>0,6244</v>
      </c>
      <c r="F36" s="18" t="s">
        <v>14</v>
      </c>
      <c r="G36" s="18" t="s">
        <v>529</v>
      </c>
      <c r="H36" s="135" t="s">
        <v>127</v>
      </c>
      <c r="I36" s="135" t="s">
        <v>151</v>
      </c>
      <c r="J36" s="135" t="s">
        <v>62</v>
      </c>
      <c r="K36" s="77"/>
      <c r="L36" s="135" t="s">
        <v>164</v>
      </c>
      <c r="M36" s="135" t="s">
        <v>100</v>
      </c>
      <c r="N36" s="135" t="s">
        <v>72</v>
      </c>
      <c r="O36" s="77"/>
      <c r="P36" s="135" t="s">
        <v>169</v>
      </c>
      <c r="Q36" s="135" t="s">
        <v>420</v>
      </c>
      <c r="R36" s="79" t="s">
        <v>421</v>
      </c>
      <c r="S36" s="77"/>
      <c r="T36" s="76">
        <v>600</v>
      </c>
      <c r="U36" s="78" t="str">
        <f>"374,6400"</f>
        <v>374,6400</v>
      </c>
      <c r="V36" s="18" t="s">
        <v>63</v>
      </c>
    </row>
    <row r="37" spans="1:22" ht="12.75">
      <c r="A37" s="74">
        <v>2</v>
      </c>
      <c r="B37" s="41" t="s">
        <v>554</v>
      </c>
      <c r="C37" s="18" t="s">
        <v>555</v>
      </c>
      <c r="D37" s="18" t="s">
        <v>556</v>
      </c>
      <c r="E37" s="18" t="str">
        <f>"0,6121"</f>
        <v>0,6121</v>
      </c>
      <c r="F37" s="18" t="s">
        <v>14</v>
      </c>
      <c r="G37" s="18" t="s">
        <v>529</v>
      </c>
      <c r="H37" s="135" t="s">
        <v>151</v>
      </c>
      <c r="I37" s="135" t="s">
        <v>62</v>
      </c>
      <c r="J37" s="135" t="s">
        <v>117</v>
      </c>
      <c r="K37" s="77"/>
      <c r="L37" s="135" t="s">
        <v>236</v>
      </c>
      <c r="M37" s="135" t="s">
        <v>107</v>
      </c>
      <c r="N37" s="135" t="s">
        <v>67</v>
      </c>
      <c r="O37" s="77"/>
      <c r="P37" s="135" t="s">
        <v>169</v>
      </c>
      <c r="Q37" s="79" t="s">
        <v>497</v>
      </c>
      <c r="R37" s="135" t="s">
        <v>497</v>
      </c>
      <c r="S37" s="77"/>
      <c r="T37" s="76">
        <v>592.5</v>
      </c>
      <c r="U37" s="78" t="str">
        <f>"362,6693"</f>
        <v>362,6693</v>
      </c>
      <c r="V37" s="18" t="s">
        <v>63</v>
      </c>
    </row>
    <row r="38" spans="1:22" ht="12.75">
      <c r="A38" s="54">
        <v>3</v>
      </c>
      <c r="B38" s="31" t="s">
        <v>557</v>
      </c>
      <c r="C38" s="19" t="s">
        <v>558</v>
      </c>
      <c r="D38" s="19" t="s">
        <v>122</v>
      </c>
      <c r="E38" s="19" t="str">
        <f>"0,6131"</f>
        <v>0,6131</v>
      </c>
      <c r="F38" s="19" t="s">
        <v>14</v>
      </c>
      <c r="G38" s="19" t="s">
        <v>962</v>
      </c>
      <c r="H38" s="71" t="s">
        <v>69</v>
      </c>
      <c r="I38" s="71" t="s">
        <v>69</v>
      </c>
      <c r="J38" s="134" t="s">
        <v>69</v>
      </c>
      <c r="K38" s="72"/>
      <c r="L38" s="134" t="s">
        <v>293</v>
      </c>
      <c r="M38" s="71" t="s">
        <v>285</v>
      </c>
      <c r="N38" s="71" t="s">
        <v>106</v>
      </c>
      <c r="O38" s="72"/>
      <c r="P38" s="134" t="s">
        <v>69</v>
      </c>
      <c r="Q38" s="134" t="s">
        <v>84</v>
      </c>
      <c r="R38" s="134" t="s">
        <v>405</v>
      </c>
      <c r="S38" s="72"/>
      <c r="T38" s="57">
        <v>422.5</v>
      </c>
      <c r="U38" s="73" t="str">
        <f>"259,0347"</f>
        <v>259,0347</v>
      </c>
      <c r="V38" s="19" t="s">
        <v>917</v>
      </c>
    </row>
    <row r="40" spans="2:21" ht="15">
      <c r="B40" s="160" t="s">
        <v>137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</row>
    <row r="41" spans="1:22" ht="12.75">
      <c r="A41" s="59">
        <v>1</v>
      </c>
      <c r="B41" s="29" t="s">
        <v>559</v>
      </c>
      <c r="C41" s="21" t="s">
        <v>560</v>
      </c>
      <c r="D41" s="21" t="s">
        <v>561</v>
      </c>
      <c r="E41" s="21" t="str">
        <f>"0,5890"</f>
        <v>0,5890</v>
      </c>
      <c r="F41" s="21" t="s">
        <v>14</v>
      </c>
      <c r="G41" s="21" t="s">
        <v>960</v>
      </c>
      <c r="H41" s="89" t="s">
        <v>465</v>
      </c>
      <c r="I41" s="65" t="s">
        <v>481</v>
      </c>
      <c r="J41" s="65" t="s">
        <v>481</v>
      </c>
      <c r="K41" s="66"/>
      <c r="L41" s="89" t="s">
        <v>249</v>
      </c>
      <c r="M41" s="89" t="s">
        <v>60</v>
      </c>
      <c r="N41" s="89" t="s">
        <v>112</v>
      </c>
      <c r="O41" s="66"/>
      <c r="P41" s="89" t="s">
        <v>481</v>
      </c>
      <c r="Q41" s="89" t="s">
        <v>467</v>
      </c>
      <c r="R41" s="65" t="s">
        <v>562</v>
      </c>
      <c r="S41" s="66"/>
      <c r="T41" s="64">
        <v>737.5</v>
      </c>
      <c r="U41" s="62" t="str">
        <f>"434,3875"</f>
        <v>434,3875</v>
      </c>
      <c r="V41" s="21" t="s">
        <v>902</v>
      </c>
    </row>
    <row r="43" spans="2:21" ht="15">
      <c r="B43" s="160" t="s">
        <v>165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2" ht="12.75">
      <c r="A44" s="53">
        <v>1</v>
      </c>
      <c r="B44" s="30" t="s">
        <v>563</v>
      </c>
      <c r="C44" s="16" t="s">
        <v>564</v>
      </c>
      <c r="D44" s="16" t="s">
        <v>565</v>
      </c>
      <c r="E44" s="16" t="str">
        <f>"0,5744"</f>
        <v>0,5744</v>
      </c>
      <c r="F44" s="16" t="s">
        <v>22</v>
      </c>
      <c r="G44" s="16" t="s">
        <v>962</v>
      </c>
      <c r="H44" s="133" t="s">
        <v>119</v>
      </c>
      <c r="I44" s="68" t="s">
        <v>169</v>
      </c>
      <c r="J44" s="133" t="s">
        <v>169</v>
      </c>
      <c r="K44" s="69"/>
      <c r="L44" s="133" t="s">
        <v>88</v>
      </c>
      <c r="M44" s="133" t="s">
        <v>127</v>
      </c>
      <c r="N44" s="68" t="s">
        <v>60</v>
      </c>
      <c r="O44" s="69"/>
      <c r="P44" s="133" t="s">
        <v>119</v>
      </c>
      <c r="Q44" s="133" t="s">
        <v>420</v>
      </c>
      <c r="R44" s="133" t="s">
        <v>421</v>
      </c>
      <c r="S44" s="69"/>
      <c r="T44" s="55">
        <v>660</v>
      </c>
      <c r="U44" s="70" t="str">
        <f>"379,1040"</f>
        <v>379,1040</v>
      </c>
      <c r="V44" s="16" t="s">
        <v>63</v>
      </c>
    </row>
    <row r="45" spans="1:22" ht="12.75">
      <c r="A45" s="54">
        <v>1</v>
      </c>
      <c r="B45" s="31" t="s">
        <v>566</v>
      </c>
      <c r="C45" s="19" t="s">
        <v>567</v>
      </c>
      <c r="D45" s="19" t="s">
        <v>568</v>
      </c>
      <c r="E45" s="19" t="str">
        <f>"0,5826"</f>
        <v>0,5826</v>
      </c>
      <c r="F45" s="19" t="s">
        <v>22</v>
      </c>
      <c r="G45" s="19" t="s">
        <v>960</v>
      </c>
      <c r="H45" s="134" t="s">
        <v>127</v>
      </c>
      <c r="I45" s="71" t="s">
        <v>62</v>
      </c>
      <c r="J45" s="134" t="s">
        <v>62</v>
      </c>
      <c r="K45" s="72"/>
      <c r="L45" s="134" t="s">
        <v>107</v>
      </c>
      <c r="M45" s="134" t="s">
        <v>76</v>
      </c>
      <c r="N45" s="71" t="s">
        <v>69</v>
      </c>
      <c r="O45" s="72"/>
      <c r="P45" s="134" t="s">
        <v>169</v>
      </c>
      <c r="Q45" s="134" t="s">
        <v>496</v>
      </c>
      <c r="R45" s="134" t="s">
        <v>421</v>
      </c>
      <c r="S45" s="72"/>
      <c r="T45" s="57">
        <v>595</v>
      </c>
      <c r="U45" s="73" t="str">
        <f>"404,8837"</f>
        <v>404,8837</v>
      </c>
      <c r="V45" s="19" t="s">
        <v>63</v>
      </c>
    </row>
    <row r="46" spans="7:13" ht="12.75">
      <c r="G46" s="35"/>
      <c r="L46" s="93"/>
      <c r="M46" s="93"/>
    </row>
    <row r="47" spans="2:3" ht="18">
      <c r="B47" s="15" t="s">
        <v>177</v>
      </c>
      <c r="C47" s="15"/>
    </row>
    <row r="49" spans="2:3" ht="14.25">
      <c r="B49" s="24"/>
      <c r="C49" s="25" t="s">
        <v>178</v>
      </c>
    </row>
    <row r="50" spans="2:6" ht="15">
      <c r="B50" s="26" t="s">
        <v>179</v>
      </c>
      <c r="C50" s="26" t="s">
        <v>180</v>
      </c>
      <c r="D50" s="26" t="s">
        <v>181</v>
      </c>
      <c r="E50" s="26" t="s">
        <v>182</v>
      </c>
      <c r="F50" s="26" t="s">
        <v>183</v>
      </c>
    </row>
    <row r="51" spans="1:6" ht="12.75">
      <c r="A51" s="75">
        <v>1</v>
      </c>
      <c r="B51" s="23" t="s">
        <v>559</v>
      </c>
      <c r="C51" s="95" t="s">
        <v>178</v>
      </c>
      <c r="D51" s="67" t="s">
        <v>999</v>
      </c>
      <c r="E51" s="67" t="s">
        <v>571</v>
      </c>
      <c r="F51" s="67" t="s">
        <v>572</v>
      </c>
    </row>
    <row r="52" spans="1:6" ht="12.75">
      <c r="A52" s="75">
        <v>2</v>
      </c>
      <c r="B52" s="23" t="s">
        <v>539</v>
      </c>
      <c r="C52" s="95" t="s">
        <v>178</v>
      </c>
      <c r="D52" s="67" t="s">
        <v>1000</v>
      </c>
      <c r="E52" s="67" t="s">
        <v>569</v>
      </c>
      <c r="F52" s="67" t="s">
        <v>570</v>
      </c>
    </row>
    <row r="53" spans="1:6" ht="12.75">
      <c r="A53" s="75">
        <v>3</v>
      </c>
      <c r="B53" s="23" t="s">
        <v>551</v>
      </c>
      <c r="C53" s="95" t="s">
        <v>178</v>
      </c>
      <c r="D53" s="67" t="s">
        <v>1001</v>
      </c>
      <c r="E53" s="67" t="s">
        <v>573</v>
      </c>
      <c r="F53" s="67" t="s">
        <v>574</v>
      </c>
    </row>
  </sheetData>
  <sheetProtection/>
  <mergeCells count="24">
    <mergeCell ref="B12:U12"/>
    <mergeCell ref="B43:U43"/>
    <mergeCell ref="B16:U16"/>
    <mergeCell ref="B19:U19"/>
    <mergeCell ref="B23:U23"/>
    <mergeCell ref="B28:U28"/>
    <mergeCell ref="B34:U34"/>
    <mergeCell ref="B40:U40"/>
    <mergeCell ref="P3:S3"/>
    <mergeCell ref="T3:T4"/>
    <mergeCell ref="U3:U4"/>
    <mergeCell ref="V3:V4"/>
    <mergeCell ref="B5:U5"/>
    <mergeCell ref="B9:U9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7.875" style="13" customWidth="1"/>
    <col min="8" max="10" width="5.625" style="67" bestFit="1" customWidth="1"/>
    <col min="11" max="11" width="4.625" style="67" bestFit="1" customWidth="1"/>
    <col min="12" max="14" width="5.625" style="67" bestFit="1" customWidth="1"/>
    <col min="15" max="15" width="4.625" style="67" bestFit="1" customWidth="1"/>
    <col min="16" max="18" width="5.625" style="67" bestFit="1" customWidth="1"/>
    <col min="19" max="19" width="4.625" style="67" bestFit="1" customWidth="1"/>
    <col min="20" max="20" width="7.875" style="67" bestFit="1" customWidth="1"/>
    <col min="21" max="21" width="8.625" style="67" bestFit="1" customWidth="1"/>
    <col min="22" max="22" width="22.25390625" style="13" bestFit="1" customWidth="1"/>
  </cols>
  <sheetData>
    <row r="1" spans="1:22" s="1" customFormat="1" ht="15" customHeight="1">
      <c r="A1" s="50"/>
      <c r="B1" s="149" t="s">
        <v>974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1:22" s="1" customFormat="1" ht="76.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6" t="s">
        <v>5</v>
      </c>
    </row>
    <row r="4" spans="1:22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7"/>
    </row>
    <row r="5" spans="2:21" ht="15">
      <c r="B5" s="148" t="s">
        <v>10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2" ht="12.75">
      <c r="A6" s="59">
        <v>1</v>
      </c>
      <c r="B6" s="21" t="s">
        <v>430</v>
      </c>
      <c r="C6" s="21" t="s">
        <v>431</v>
      </c>
      <c r="D6" s="21" t="s">
        <v>432</v>
      </c>
      <c r="E6" s="21" t="str">
        <f>"1,1766"</f>
        <v>1,1766</v>
      </c>
      <c r="F6" s="21" t="s">
        <v>32</v>
      </c>
      <c r="G6" s="21" t="s">
        <v>960</v>
      </c>
      <c r="H6" s="65" t="s">
        <v>24</v>
      </c>
      <c r="I6" s="89" t="s">
        <v>24</v>
      </c>
      <c r="J6" s="89" t="s">
        <v>26</v>
      </c>
      <c r="K6" s="66"/>
      <c r="L6" s="89" t="s">
        <v>206</v>
      </c>
      <c r="M6" s="89" t="s">
        <v>49</v>
      </c>
      <c r="N6" s="89" t="s">
        <v>433</v>
      </c>
      <c r="O6" s="66"/>
      <c r="P6" s="89" t="s">
        <v>105</v>
      </c>
      <c r="Q6" s="89" t="s">
        <v>285</v>
      </c>
      <c r="R6" s="65" t="s">
        <v>236</v>
      </c>
      <c r="S6" s="66"/>
      <c r="T6" s="62">
        <v>252.5</v>
      </c>
      <c r="U6" s="62" t="str">
        <f>"297,0915"</f>
        <v>297,0915</v>
      </c>
      <c r="V6" s="21" t="s">
        <v>919</v>
      </c>
    </row>
    <row r="8" spans="2:21" ht="15">
      <c r="B8" s="160" t="s">
        <v>210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</row>
    <row r="9" spans="1:22" ht="12.75">
      <c r="A9" s="59">
        <v>1</v>
      </c>
      <c r="B9" s="21" t="s">
        <v>434</v>
      </c>
      <c r="C9" s="21" t="s">
        <v>435</v>
      </c>
      <c r="D9" s="21" t="s">
        <v>436</v>
      </c>
      <c r="E9" s="21" t="str">
        <f>"1,1432"</f>
        <v>1,1432</v>
      </c>
      <c r="F9" s="21" t="s">
        <v>96</v>
      </c>
      <c r="G9" s="21" t="s">
        <v>960</v>
      </c>
      <c r="H9" s="89" t="s">
        <v>34</v>
      </c>
      <c r="I9" s="89" t="s">
        <v>26</v>
      </c>
      <c r="J9" s="89" t="s">
        <v>293</v>
      </c>
      <c r="K9" s="66"/>
      <c r="L9" s="65" t="s">
        <v>16</v>
      </c>
      <c r="M9" s="89" t="s">
        <v>16</v>
      </c>
      <c r="N9" s="65" t="s">
        <v>55</v>
      </c>
      <c r="O9" s="66"/>
      <c r="P9" s="89" t="s">
        <v>293</v>
      </c>
      <c r="Q9" s="89" t="s">
        <v>105</v>
      </c>
      <c r="R9" s="65" t="s">
        <v>106</v>
      </c>
      <c r="S9" s="66"/>
      <c r="T9" s="64">
        <v>270</v>
      </c>
      <c r="U9" s="62" t="str">
        <f>"308,6640"</f>
        <v>308,6640</v>
      </c>
      <c r="V9" s="21" t="s">
        <v>920</v>
      </c>
    </row>
    <row r="11" spans="2:21" ht="15">
      <c r="B11" s="160" t="s">
        <v>40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</row>
    <row r="12" spans="1:22" ht="12.75">
      <c r="A12" s="59">
        <v>1</v>
      </c>
      <c r="B12" s="21" t="s">
        <v>437</v>
      </c>
      <c r="C12" s="21" t="s">
        <v>438</v>
      </c>
      <c r="D12" s="21" t="s">
        <v>439</v>
      </c>
      <c r="E12" s="21" t="str">
        <f>"0,9283"</f>
        <v>0,9283</v>
      </c>
      <c r="F12" s="21" t="s">
        <v>32</v>
      </c>
      <c r="G12" s="21" t="s">
        <v>960</v>
      </c>
      <c r="H12" s="89" t="s">
        <v>344</v>
      </c>
      <c r="I12" s="65" t="s">
        <v>339</v>
      </c>
      <c r="J12" s="89" t="s">
        <v>339</v>
      </c>
      <c r="K12" s="66"/>
      <c r="L12" s="89" t="s">
        <v>24</v>
      </c>
      <c r="M12" s="89" t="s">
        <v>25</v>
      </c>
      <c r="N12" s="89" t="s">
        <v>26</v>
      </c>
      <c r="O12" s="66"/>
      <c r="P12" s="89" t="s">
        <v>69</v>
      </c>
      <c r="Q12" s="89" t="s">
        <v>84</v>
      </c>
      <c r="R12" s="89" t="s">
        <v>405</v>
      </c>
      <c r="S12" s="66"/>
      <c r="T12" s="64">
        <v>380</v>
      </c>
      <c r="U12" s="62" t="str">
        <f>"352,7540"</f>
        <v>352,7540</v>
      </c>
      <c r="V12" s="21" t="s">
        <v>440</v>
      </c>
    </row>
    <row r="14" spans="2:21" ht="15">
      <c r="B14" s="160" t="s">
        <v>210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</row>
    <row r="15" spans="1:22" ht="12.75">
      <c r="A15" s="59">
        <v>1</v>
      </c>
      <c r="B15" s="21" t="s">
        <v>441</v>
      </c>
      <c r="C15" s="21" t="s">
        <v>442</v>
      </c>
      <c r="D15" s="21" t="s">
        <v>213</v>
      </c>
      <c r="E15" s="21" t="str">
        <f>"0,8703"</f>
        <v>0,8703</v>
      </c>
      <c r="F15" s="21" t="s">
        <v>14</v>
      </c>
      <c r="G15" s="21" t="s">
        <v>443</v>
      </c>
      <c r="H15" s="89" t="s">
        <v>105</v>
      </c>
      <c r="I15" s="89" t="s">
        <v>106</v>
      </c>
      <c r="J15" s="89" t="s">
        <v>236</v>
      </c>
      <c r="K15" s="66"/>
      <c r="L15" s="89" t="s">
        <v>44</v>
      </c>
      <c r="M15" s="89" t="s">
        <v>26</v>
      </c>
      <c r="N15" s="66"/>
      <c r="O15" s="66"/>
      <c r="P15" s="89" t="s">
        <v>77</v>
      </c>
      <c r="Q15" s="89" t="s">
        <v>84</v>
      </c>
      <c r="R15" s="65" t="s">
        <v>88</v>
      </c>
      <c r="S15" s="66"/>
      <c r="T15" s="64">
        <v>380</v>
      </c>
      <c r="U15" s="62" t="str">
        <f>"330,7140"</f>
        <v>330,7140</v>
      </c>
      <c r="V15" s="21" t="s">
        <v>63</v>
      </c>
    </row>
    <row r="17" spans="2:21" ht="15">
      <c r="B17" s="160" t="s">
        <v>40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</row>
    <row r="18" spans="1:22" ht="12.75">
      <c r="A18" s="53">
        <v>1</v>
      </c>
      <c r="B18" s="16" t="s">
        <v>444</v>
      </c>
      <c r="C18" s="16" t="s">
        <v>445</v>
      </c>
      <c r="D18" s="16" t="s">
        <v>446</v>
      </c>
      <c r="E18" s="16" t="str">
        <f>"0,6779"</f>
        <v>0,6779</v>
      </c>
      <c r="F18" s="16" t="s">
        <v>96</v>
      </c>
      <c r="G18" s="16" t="s">
        <v>960</v>
      </c>
      <c r="H18" s="68" t="s">
        <v>88</v>
      </c>
      <c r="I18" s="133" t="s">
        <v>60</v>
      </c>
      <c r="J18" s="68" t="s">
        <v>62</v>
      </c>
      <c r="K18" s="69"/>
      <c r="L18" s="133" t="s">
        <v>106</v>
      </c>
      <c r="M18" s="133" t="s">
        <v>236</v>
      </c>
      <c r="N18" s="133" t="s">
        <v>107</v>
      </c>
      <c r="O18" s="69"/>
      <c r="P18" s="133" t="s">
        <v>88</v>
      </c>
      <c r="Q18" s="133" t="s">
        <v>60</v>
      </c>
      <c r="R18" s="133" t="s">
        <v>112</v>
      </c>
      <c r="S18" s="69"/>
      <c r="T18" s="55">
        <v>510</v>
      </c>
      <c r="U18" s="70" t="str">
        <f>"345,7290"</f>
        <v>345,7290</v>
      </c>
      <c r="V18" s="16" t="s">
        <v>63</v>
      </c>
    </row>
    <row r="19" spans="1:22" ht="12.75">
      <c r="A19" s="74">
        <v>1</v>
      </c>
      <c r="B19" s="18" t="s">
        <v>447</v>
      </c>
      <c r="C19" s="18" t="s">
        <v>448</v>
      </c>
      <c r="D19" s="18" t="s">
        <v>449</v>
      </c>
      <c r="E19" s="18" t="str">
        <f>"0,6916"</f>
        <v>0,6916</v>
      </c>
      <c r="F19" s="18" t="s">
        <v>14</v>
      </c>
      <c r="G19" s="18" t="s">
        <v>962</v>
      </c>
      <c r="H19" s="135" t="s">
        <v>88</v>
      </c>
      <c r="I19" s="135" t="s">
        <v>366</v>
      </c>
      <c r="J19" s="135" t="s">
        <v>62</v>
      </c>
      <c r="K19" s="77"/>
      <c r="L19" s="135" t="s">
        <v>164</v>
      </c>
      <c r="M19" s="135" t="s">
        <v>257</v>
      </c>
      <c r="N19" s="79" t="s">
        <v>77</v>
      </c>
      <c r="O19" s="77"/>
      <c r="P19" s="135" t="s">
        <v>415</v>
      </c>
      <c r="Q19" s="135" t="s">
        <v>169</v>
      </c>
      <c r="R19" s="79" t="s">
        <v>450</v>
      </c>
      <c r="S19" s="77"/>
      <c r="T19" s="78">
        <v>577.5</v>
      </c>
      <c r="U19" s="78" t="str">
        <f>"399,3990"</f>
        <v>399,3990</v>
      </c>
      <c r="V19" s="18" t="s">
        <v>921</v>
      </c>
    </row>
    <row r="20" spans="1:22" ht="12.75">
      <c r="A20" s="74">
        <v>2</v>
      </c>
      <c r="B20" s="18" t="s">
        <v>451</v>
      </c>
      <c r="C20" s="18" t="s">
        <v>452</v>
      </c>
      <c r="D20" s="18" t="s">
        <v>446</v>
      </c>
      <c r="E20" s="18" t="str">
        <f>"0,6779"</f>
        <v>0,6779</v>
      </c>
      <c r="F20" s="18" t="s">
        <v>96</v>
      </c>
      <c r="G20" s="18" t="s">
        <v>960</v>
      </c>
      <c r="H20" s="135" t="s">
        <v>164</v>
      </c>
      <c r="I20" s="135" t="s">
        <v>69</v>
      </c>
      <c r="J20" s="135" t="s">
        <v>72</v>
      </c>
      <c r="K20" s="77"/>
      <c r="L20" s="135" t="s">
        <v>262</v>
      </c>
      <c r="M20" s="135" t="s">
        <v>244</v>
      </c>
      <c r="N20" s="135" t="s">
        <v>453</v>
      </c>
      <c r="O20" s="77"/>
      <c r="P20" s="135" t="s">
        <v>72</v>
      </c>
      <c r="Q20" s="135" t="s">
        <v>89</v>
      </c>
      <c r="R20" s="79" t="s">
        <v>151</v>
      </c>
      <c r="S20" s="77"/>
      <c r="T20" s="78">
        <v>447.6</v>
      </c>
      <c r="U20" s="78" t="str">
        <f>"303,4280"</f>
        <v>303,4280</v>
      </c>
      <c r="V20" s="18" t="s">
        <v>922</v>
      </c>
    </row>
    <row r="21" spans="1:22" ht="12.75">
      <c r="A21" s="96">
        <v>1</v>
      </c>
      <c r="B21" s="31" t="s">
        <v>454</v>
      </c>
      <c r="C21" s="19" t="s">
        <v>455</v>
      </c>
      <c r="D21" s="19" t="s">
        <v>456</v>
      </c>
      <c r="E21" s="19" t="str">
        <f>"0,6764"</f>
        <v>0,6764</v>
      </c>
      <c r="F21" s="19" t="s">
        <v>14</v>
      </c>
      <c r="G21" s="19" t="s">
        <v>960</v>
      </c>
      <c r="H21" s="134" t="s">
        <v>293</v>
      </c>
      <c r="I21" s="134" t="s">
        <v>105</v>
      </c>
      <c r="J21" s="134" t="s">
        <v>106</v>
      </c>
      <c r="K21" s="72"/>
      <c r="L21" s="134" t="s">
        <v>34</v>
      </c>
      <c r="M21" s="134" t="s">
        <v>44</v>
      </c>
      <c r="N21" s="134" t="s">
        <v>26</v>
      </c>
      <c r="O21" s="72"/>
      <c r="P21" s="134" t="s">
        <v>105</v>
      </c>
      <c r="Q21" s="134" t="s">
        <v>106</v>
      </c>
      <c r="R21" s="71" t="s">
        <v>107</v>
      </c>
      <c r="S21" s="72"/>
      <c r="T21" s="57">
        <v>330</v>
      </c>
      <c r="U21" s="73" t="str">
        <f>"289,5060"</f>
        <v>289,5060</v>
      </c>
      <c r="V21" s="19" t="s">
        <v>383</v>
      </c>
    </row>
    <row r="22" ht="12.75">
      <c r="R22" s="92"/>
    </row>
    <row r="23" spans="2:21" ht="15">
      <c r="B23" s="160" t="s">
        <v>78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</row>
    <row r="24" spans="1:22" ht="12.75">
      <c r="A24" s="59">
        <v>1</v>
      </c>
      <c r="B24" s="21" t="s">
        <v>457</v>
      </c>
      <c r="C24" s="21" t="s">
        <v>458</v>
      </c>
      <c r="D24" s="21" t="s">
        <v>92</v>
      </c>
      <c r="E24" s="21" t="str">
        <f>"0,6479"</f>
        <v>0,6479</v>
      </c>
      <c r="F24" s="21" t="s">
        <v>14</v>
      </c>
      <c r="G24" s="21" t="s">
        <v>960</v>
      </c>
      <c r="H24" s="89" t="s">
        <v>119</v>
      </c>
      <c r="I24" s="65" t="s">
        <v>169</v>
      </c>
      <c r="J24" s="65" t="s">
        <v>169</v>
      </c>
      <c r="K24" s="66"/>
      <c r="L24" s="65" t="s">
        <v>127</v>
      </c>
      <c r="M24" s="89" t="s">
        <v>127</v>
      </c>
      <c r="N24" s="65" t="s">
        <v>60</v>
      </c>
      <c r="O24" s="66"/>
      <c r="P24" s="89" t="s">
        <v>459</v>
      </c>
      <c r="Q24" s="89" t="s">
        <v>460</v>
      </c>
      <c r="R24" s="65" t="s">
        <v>461</v>
      </c>
      <c r="S24" s="66"/>
      <c r="T24" s="64">
        <v>720</v>
      </c>
      <c r="U24" s="62" t="str">
        <f>"466,4880"</f>
        <v>466,4880</v>
      </c>
      <c r="V24" s="21" t="s">
        <v>63</v>
      </c>
    </row>
    <row r="26" spans="2:21" ht="15">
      <c r="B26" s="160" t="s">
        <v>108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</row>
    <row r="27" spans="1:22" ht="12.75">
      <c r="A27" s="53">
        <v>1</v>
      </c>
      <c r="B27" s="16" t="s">
        <v>462</v>
      </c>
      <c r="C27" s="16" t="s">
        <v>463</v>
      </c>
      <c r="D27" s="16" t="s">
        <v>464</v>
      </c>
      <c r="E27" s="16" t="str">
        <f>"0,6174"</f>
        <v>0,6174</v>
      </c>
      <c r="F27" s="16" t="s">
        <v>32</v>
      </c>
      <c r="G27" s="16" t="s">
        <v>960</v>
      </c>
      <c r="H27" s="133" t="s">
        <v>465</v>
      </c>
      <c r="I27" s="133" t="s">
        <v>466</v>
      </c>
      <c r="J27" s="133" t="s">
        <v>467</v>
      </c>
      <c r="K27" s="69"/>
      <c r="L27" s="133" t="s">
        <v>127</v>
      </c>
      <c r="M27" s="133" t="s">
        <v>61</v>
      </c>
      <c r="N27" s="68" t="s">
        <v>468</v>
      </c>
      <c r="O27" s="69"/>
      <c r="P27" s="133" t="s">
        <v>421</v>
      </c>
      <c r="Q27" s="133" t="s">
        <v>466</v>
      </c>
      <c r="R27" s="68" t="s">
        <v>469</v>
      </c>
      <c r="S27" s="69"/>
      <c r="T27" s="55">
        <v>750</v>
      </c>
      <c r="U27" s="70" t="str">
        <f>"463,0500"</f>
        <v>463,0500</v>
      </c>
      <c r="V27" s="16" t="s">
        <v>63</v>
      </c>
    </row>
    <row r="28" spans="1:22" ht="12.75">
      <c r="A28" s="74">
        <v>2</v>
      </c>
      <c r="B28" s="18" t="s">
        <v>470</v>
      </c>
      <c r="C28" s="18" t="s">
        <v>471</v>
      </c>
      <c r="D28" s="18" t="s">
        <v>135</v>
      </c>
      <c r="E28" s="18" t="str">
        <f>"0,6108"</f>
        <v>0,6108</v>
      </c>
      <c r="F28" s="18" t="s">
        <v>32</v>
      </c>
      <c r="G28" s="18" t="s">
        <v>960</v>
      </c>
      <c r="H28" s="135" t="s">
        <v>89</v>
      </c>
      <c r="I28" s="135" t="s">
        <v>151</v>
      </c>
      <c r="J28" s="135" t="s">
        <v>468</v>
      </c>
      <c r="K28" s="77"/>
      <c r="L28" s="79" t="s">
        <v>237</v>
      </c>
      <c r="M28" s="135" t="s">
        <v>164</v>
      </c>
      <c r="N28" s="135" t="s">
        <v>257</v>
      </c>
      <c r="O28" s="77"/>
      <c r="P28" s="135" t="s">
        <v>472</v>
      </c>
      <c r="Q28" s="135" t="s">
        <v>420</v>
      </c>
      <c r="R28" s="135" t="s">
        <v>473</v>
      </c>
      <c r="S28" s="77"/>
      <c r="T28" s="76">
        <v>605</v>
      </c>
      <c r="U28" s="78" t="str">
        <f>"369,5340"</f>
        <v>369,5340</v>
      </c>
      <c r="V28" s="18" t="s">
        <v>916</v>
      </c>
    </row>
    <row r="29" spans="1:22" ht="12.75">
      <c r="A29" s="74">
        <v>3</v>
      </c>
      <c r="B29" s="18" t="s">
        <v>474</v>
      </c>
      <c r="C29" s="18" t="s">
        <v>475</v>
      </c>
      <c r="D29" s="18" t="s">
        <v>476</v>
      </c>
      <c r="E29" s="18" t="str">
        <f>"0,6214"</f>
        <v>0,6214</v>
      </c>
      <c r="F29" s="18" t="s">
        <v>14</v>
      </c>
      <c r="G29" s="18" t="s">
        <v>477</v>
      </c>
      <c r="H29" s="135" t="s">
        <v>69</v>
      </c>
      <c r="I29" s="79" t="s">
        <v>84</v>
      </c>
      <c r="J29" s="135" t="s">
        <v>88</v>
      </c>
      <c r="K29" s="77"/>
      <c r="L29" s="135" t="s">
        <v>164</v>
      </c>
      <c r="M29" s="135" t="s">
        <v>77</v>
      </c>
      <c r="N29" s="79" t="s">
        <v>72</v>
      </c>
      <c r="O29" s="77"/>
      <c r="P29" s="135" t="s">
        <v>151</v>
      </c>
      <c r="Q29" s="135" t="s">
        <v>117</v>
      </c>
      <c r="R29" s="79" t="s">
        <v>119</v>
      </c>
      <c r="S29" s="77"/>
      <c r="T29" s="76">
        <v>530</v>
      </c>
      <c r="U29" s="78" t="str">
        <f>"329,3420"</f>
        <v>329,3420</v>
      </c>
      <c r="V29" s="18" t="s">
        <v>901</v>
      </c>
    </row>
    <row r="30" spans="1:22" ht="12.75">
      <c r="A30" s="74">
        <v>1</v>
      </c>
      <c r="B30" s="18" t="s">
        <v>478</v>
      </c>
      <c r="C30" s="18" t="s">
        <v>479</v>
      </c>
      <c r="D30" s="18" t="s">
        <v>480</v>
      </c>
      <c r="E30" s="18" t="str">
        <f>"0,6257"</f>
        <v>0,6257</v>
      </c>
      <c r="F30" s="18" t="s">
        <v>14</v>
      </c>
      <c r="G30" s="18" t="s">
        <v>1002</v>
      </c>
      <c r="H30" s="135" t="s">
        <v>472</v>
      </c>
      <c r="I30" s="135" t="s">
        <v>170</v>
      </c>
      <c r="J30" s="79" t="s">
        <v>171</v>
      </c>
      <c r="K30" s="77"/>
      <c r="L30" s="135" t="s">
        <v>89</v>
      </c>
      <c r="M30" s="135" t="s">
        <v>366</v>
      </c>
      <c r="N30" s="79" t="s">
        <v>132</v>
      </c>
      <c r="O30" s="77"/>
      <c r="P30" s="135" t="s">
        <v>421</v>
      </c>
      <c r="Q30" s="135" t="s">
        <v>450</v>
      </c>
      <c r="R30" s="135" t="s">
        <v>481</v>
      </c>
      <c r="S30" s="77"/>
      <c r="T30" s="78">
        <v>687.5</v>
      </c>
      <c r="U30" s="78" t="str">
        <f>"436,1911"</f>
        <v>436,1911</v>
      </c>
      <c r="V30" s="18" t="s">
        <v>63</v>
      </c>
    </row>
    <row r="31" spans="1:22" ht="12.75">
      <c r="A31" s="74">
        <v>2</v>
      </c>
      <c r="B31" s="18" t="s">
        <v>482</v>
      </c>
      <c r="C31" s="18" t="s">
        <v>483</v>
      </c>
      <c r="D31" s="18" t="s">
        <v>484</v>
      </c>
      <c r="E31" s="18" t="str">
        <f>"0,6166"</f>
        <v>0,6166</v>
      </c>
      <c r="F31" s="18" t="s">
        <v>14</v>
      </c>
      <c r="G31" s="18" t="s">
        <v>960</v>
      </c>
      <c r="H31" s="135" t="s">
        <v>151</v>
      </c>
      <c r="I31" s="135" t="s">
        <v>117</v>
      </c>
      <c r="J31" s="79" t="s">
        <v>176</v>
      </c>
      <c r="K31" s="77"/>
      <c r="L31" s="135" t="s">
        <v>164</v>
      </c>
      <c r="M31" s="135" t="s">
        <v>69</v>
      </c>
      <c r="N31" s="79" t="s">
        <v>77</v>
      </c>
      <c r="O31" s="77"/>
      <c r="P31" s="135" t="s">
        <v>169</v>
      </c>
      <c r="Q31" s="135" t="s">
        <v>170</v>
      </c>
      <c r="R31" s="135" t="s">
        <v>420</v>
      </c>
      <c r="S31" s="77"/>
      <c r="T31" s="76">
        <v>595</v>
      </c>
      <c r="U31" s="78" t="str">
        <f>"368,7114"</f>
        <v>368,7114</v>
      </c>
      <c r="V31" s="18" t="s">
        <v>63</v>
      </c>
    </row>
    <row r="32" spans="1:22" ht="12.75">
      <c r="A32" s="54">
        <v>3</v>
      </c>
      <c r="B32" s="19" t="s">
        <v>485</v>
      </c>
      <c r="C32" s="19" t="s">
        <v>486</v>
      </c>
      <c r="D32" s="19" t="s">
        <v>487</v>
      </c>
      <c r="E32" s="19" t="str">
        <f>"0,6331"</f>
        <v>0,6331</v>
      </c>
      <c r="F32" s="19" t="s">
        <v>14</v>
      </c>
      <c r="G32" s="19" t="s">
        <v>426</v>
      </c>
      <c r="H32" s="134" t="s">
        <v>69</v>
      </c>
      <c r="I32" s="134" t="s">
        <v>72</v>
      </c>
      <c r="J32" s="134" t="s">
        <v>405</v>
      </c>
      <c r="K32" s="72"/>
      <c r="L32" s="134" t="s">
        <v>244</v>
      </c>
      <c r="M32" s="134" t="s">
        <v>285</v>
      </c>
      <c r="N32" s="81" t="s">
        <v>106</v>
      </c>
      <c r="O32" s="72"/>
      <c r="P32" s="134" t="s">
        <v>62</v>
      </c>
      <c r="Q32" s="134" t="s">
        <v>415</v>
      </c>
      <c r="R32" s="134" t="s">
        <v>488</v>
      </c>
      <c r="S32" s="72"/>
      <c r="T32" s="57">
        <v>515</v>
      </c>
      <c r="U32" s="73" t="str">
        <f>"340,3925"</f>
        <v>340,3925</v>
      </c>
      <c r="V32" s="19" t="s">
        <v>923</v>
      </c>
    </row>
    <row r="34" spans="2:21" ht="15">
      <c r="B34" s="160" t="s">
        <v>137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2" ht="12.75">
      <c r="A35" s="53">
        <v>1</v>
      </c>
      <c r="B35" s="16" t="s">
        <v>489</v>
      </c>
      <c r="C35" s="16" t="s">
        <v>490</v>
      </c>
      <c r="D35" s="16" t="s">
        <v>491</v>
      </c>
      <c r="E35" s="16" t="str">
        <f>"0,5970"</f>
        <v>0,5970</v>
      </c>
      <c r="F35" s="16" t="s">
        <v>14</v>
      </c>
      <c r="G35" s="16" t="s">
        <v>918</v>
      </c>
      <c r="H35" s="133" t="s">
        <v>421</v>
      </c>
      <c r="I35" s="68" t="s">
        <v>465</v>
      </c>
      <c r="J35" s="68" t="s">
        <v>465</v>
      </c>
      <c r="K35" s="69"/>
      <c r="L35" s="133" t="s">
        <v>84</v>
      </c>
      <c r="M35" s="68" t="s">
        <v>405</v>
      </c>
      <c r="N35" s="68" t="s">
        <v>405</v>
      </c>
      <c r="O35" s="69"/>
      <c r="P35" s="133" t="s">
        <v>473</v>
      </c>
      <c r="Q35" s="133" t="s">
        <v>481</v>
      </c>
      <c r="R35" s="68" t="s">
        <v>492</v>
      </c>
      <c r="S35" s="69"/>
      <c r="T35" s="55">
        <v>685</v>
      </c>
      <c r="U35" s="70" t="str">
        <f>"408,9450"</f>
        <v>408,9450</v>
      </c>
      <c r="V35" s="16" t="s">
        <v>63</v>
      </c>
    </row>
    <row r="36" spans="1:22" ht="12.75">
      <c r="A36" s="54">
        <v>1</v>
      </c>
      <c r="B36" s="19" t="s">
        <v>493</v>
      </c>
      <c r="C36" s="19" t="s">
        <v>494</v>
      </c>
      <c r="D36" s="19" t="s">
        <v>495</v>
      </c>
      <c r="E36" s="19" t="str">
        <f>"0,5992"</f>
        <v>0,5992</v>
      </c>
      <c r="F36" s="19" t="s">
        <v>14</v>
      </c>
      <c r="G36" s="19" t="s">
        <v>54</v>
      </c>
      <c r="H36" s="134" t="s">
        <v>496</v>
      </c>
      <c r="I36" s="71" t="s">
        <v>497</v>
      </c>
      <c r="J36" s="71" t="s">
        <v>497</v>
      </c>
      <c r="K36" s="72"/>
      <c r="L36" s="134" t="s">
        <v>89</v>
      </c>
      <c r="M36" s="134" t="s">
        <v>60</v>
      </c>
      <c r="N36" s="134" t="s">
        <v>61</v>
      </c>
      <c r="O36" s="72"/>
      <c r="P36" s="134" t="s">
        <v>169</v>
      </c>
      <c r="Q36" s="71" t="s">
        <v>420</v>
      </c>
      <c r="R36" s="72"/>
      <c r="S36" s="72"/>
      <c r="T36" s="73">
        <v>667.5</v>
      </c>
      <c r="U36" s="73" t="str">
        <f>"417,5645"</f>
        <v>417,5645</v>
      </c>
      <c r="V36" s="19" t="s">
        <v>63</v>
      </c>
    </row>
    <row r="37" ht="12.75">
      <c r="A37" s="75"/>
    </row>
    <row r="38" spans="2:21" ht="15">
      <c r="B38" s="160" t="s">
        <v>165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</row>
    <row r="39" spans="1:22" ht="12.75">
      <c r="A39" s="59">
        <v>1</v>
      </c>
      <c r="B39" s="21" t="s">
        <v>498</v>
      </c>
      <c r="C39" s="21" t="s">
        <v>174</v>
      </c>
      <c r="D39" s="21" t="s">
        <v>499</v>
      </c>
      <c r="E39" s="21" t="str">
        <f>"0,5849"</f>
        <v>0,5849</v>
      </c>
      <c r="F39" s="21" t="s">
        <v>14</v>
      </c>
      <c r="G39" s="21" t="s">
        <v>500</v>
      </c>
      <c r="H39" s="89" t="s">
        <v>119</v>
      </c>
      <c r="I39" s="89" t="s">
        <v>472</v>
      </c>
      <c r="J39" s="89" t="s">
        <v>169</v>
      </c>
      <c r="K39" s="66"/>
      <c r="L39" s="89" t="s">
        <v>84</v>
      </c>
      <c r="M39" s="89" t="s">
        <v>88</v>
      </c>
      <c r="N39" s="65" t="s">
        <v>89</v>
      </c>
      <c r="O39" s="66"/>
      <c r="P39" s="89" t="s">
        <v>465</v>
      </c>
      <c r="Q39" s="89" t="s">
        <v>481</v>
      </c>
      <c r="R39" s="89" t="s">
        <v>466</v>
      </c>
      <c r="S39" s="66"/>
      <c r="T39" s="64">
        <v>675</v>
      </c>
      <c r="U39" s="62" t="str">
        <f>"394,8075"</f>
        <v>394,8075</v>
      </c>
      <c r="V39" s="21" t="s">
        <v>63</v>
      </c>
    </row>
    <row r="41" spans="2:21" ht="15">
      <c r="B41" s="160" t="s">
        <v>401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</row>
    <row r="42" spans="1:22" ht="12.75">
      <c r="A42" s="59"/>
      <c r="B42" s="21" t="s">
        <v>501</v>
      </c>
      <c r="C42" s="21" t="s">
        <v>502</v>
      </c>
      <c r="D42" s="21" t="s">
        <v>503</v>
      </c>
      <c r="E42" s="21" t="str">
        <f>"0,5672"</f>
        <v>0,5672</v>
      </c>
      <c r="F42" s="21" t="s">
        <v>22</v>
      </c>
      <c r="G42" s="21" t="s">
        <v>960</v>
      </c>
      <c r="H42" s="65" t="s">
        <v>504</v>
      </c>
      <c r="I42" s="65" t="s">
        <v>504</v>
      </c>
      <c r="J42" s="66"/>
      <c r="K42" s="66"/>
      <c r="L42" s="65"/>
      <c r="M42" s="66"/>
      <c r="N42" s="66"/>
      <c r="O42" s="66"/>
      <c r="P42" s="65"/>
      <c r="Q42" s="66"/>
      <c r="R42" s="66"/>
      <c r="S42" s="66"/>
      <c r="T42" s="64">
        <v>0</v>
      </c>
      <c r="U42" s="62" t="str">
        <f>"0,0000"</f>
        <v>0,0000</v>
      </c>
      <c r="V42" s="21" t="s">
        <v>924</v>
      </c>
    </row>
    <row r="44" spans="2:21" ht="15">
      <c r="B44" s="160" t="s">
        <v>172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</row>
    <row r="45" spans="1:22" ht="12.75">
      <c r="A45" s="59">
        <v>1</v>
      </c>
      <c r="B45" s="21" t="s">
        <v>505</v>
      </c>
      <c r="C45" s="21" t="s">
        <v>506</v>
      </c>
      <c r="D45" s="21" t="s">
        <v>507</v>
      </c>
      <c r="E45" s="21" t="str">
        <f>"0,5520"</f>
        <v>0,5520</v>
      </c>
      <c r="F45" s="21" t="s">
        <v>14</v>
      </c>
      <c r="G45" s="21" t="s">
        <v>960</v>
      </c>
      <c r="H45" s="89" t="s">
        <v>473</v>
      </c>
      <c r="I45" s="65" t="s">
        <v>465</v>
      </c>
      <c r="J45" s="65" t="s">
        <v>465</v>
      </c>
      <c r="K45" s="66"/>
      <c r="L45" s="89" t="s">
        <v>60</v>
      </c>
      <c r="M45" s="89" t="s">
        <v>151</v>
      </c>
      <c r="N45" s="89" t="s">
        <v>112</v>
      </c>
      <c r="O45" s="66"/>
      <c r="P45" s="89" t="s">
        <v>481</v>
      </c>
      <c r="Q45" s="89" t="s">
        <v>466</v>
      </c>
      <c r="R45" s="66"/>
      <c r="S45" s="66"/>
      <c r="T45" s="64">
        <v>725</v>
      </c>
      <c r="U45" s="62" t="str">
        <f>"402,2010"</f>
        <v>402,2010</v>
      </c>
      <c r="V45" s="21" t="s">
        <v>63</v>
      </c>
    </row>
    <row r="47" spans="2:3" ht="18">
      <c r="B47" s="15" t="s">
        <v>177</v>
      </c>
      <c r="C47" s="15"/>
    </row>
    <row r="49" spans="2:3" ht="14.25">
      <c r="B49" s="24"/>
      <c r="C49" s="25" t="s">
        <v>178</v>
      </c>
    </row>
    <row r="50" spans="2:6" ht="15">
      <c r="B50" s="26" t="s">
        <v>179</v>
      </c>
      <c r="C50" s="26" t="s">
        <v>180</v>
      </c>
      <c r="D50" s="26" t="s">
        <v>181</v>
      </c>
      <c r="E50" s="26" t="s">
        <v>182</v>
      </c>
      <c r="F50" s="26" t="s">
        <v>183</v>
      </c>
    </row>
    <row r="51" spans="1:6" ht="12.75">
      <c r="A51" s="75">
        <v>1</v>
      </c>
      <c r="B51" s="23" t="s">
        <v>457</v>
      </c>
      <c r="C51" s="51" t="s">
        <v>178</v>
      </c>
      <c r="D51" s="67" t="s">
        <v>997</v>
      </c>
      <c r="E51" s="67" t="s">
        <v>509</v>
      </c>
      <c r="F51" s="67" t="s">
        <v>510</v>
      </c>
    </row>
    <row r="52" spans="1:6" ht="12.75">
      <c r="A52" s="75">
        <v>2</v>
      </c>
      <c r="B52" s="23" t="s">
        <v>462</v>
      </c>
      <c r="C52" s="51" t="s">
        <v>178</v>
      </c>
      <c r="D52" s="67" t="s">
        <v>1001</v>
      </c>
      <c r="E52" s="67" t="s">
        <v>511</v>
      </c>
      <c r="F52" s="67" t="s">
        <v>512</v>
      </c>
    </row>
    <row r="53" spans="1:6" ht="12.75">
      <c r="A53" s="75">
        <v>3</v>
      </c>
      <c r="B53" s="23" t="s">
        <v>447</v>
      </c>
      <c r="C53" s="51" t="s">
        <v>178</v>
      </c>
      <c r="D53" s="67" t="s">
        <v>1000</v>
      </c>
      <c r="E53" s="67" t="s">
        <v>513</v>
      </c>
      <c r="F53" s="67" t="s">
        <v>514</v>
      </c>
    </row>
  </sheetData>
  <sheetProtection/>
  <mergeCells count="25">
    <mergeCell ref="B11:U11"/>
    <mergeCell ref="B41:U41"/>
    <mergeCell ref="B44:U44"/>
    <mergeCell ref="B14:U14"/>
    <mergeCell ref="B17:U17"/>
    <mergeCell ref="B23:U23"/>
    <mergeCell ref="B26:U26"/>
    <mergeCell ref="B34:U34"/>
    <mergeCell ref="B38:U38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6.00390625" style="13" bestFit="1" customWidth="1"/>
    <col min="3" max="3" width="27.75390625" style="13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26.125" style="13" bestFit="1" customWidth="1"/>
    <col min="8" max="10" width="5.625" style="13" bestFit="1" customWidth="1"/>
    <col min="11" max="11" width="4.625" style="13" bestFit="1" customWidth="1"/>
    <col min="12" max="14" width="5.625" style="13" bestFit="1" customWidth="1"/>
    <col min="15" max="15" width="4.625" style="13" bestFit="1" customWidth="1"/>
    <col min="16" max="18" width="5.625" style="13" bestFit="1" customWidth="1"/>
    <col min="19" max="19" width="4.625" style="13" bestFit="1" customWidth="1"/>
    <col min="20" max="20" width="7.875" style="13" bestFit="1" customWidth="1"/>
    <col min="21" max="21" width="8.625" style="13" bestFit="1" customWidth="1"/>
    <col min="22" max="22" width="16.875" style="13" bestFit="1" customWidth="1"/>
  </cols>
  <sheetData>
    <row r="1" spans="2:22" s="1" customFormat="1" ht="15" customHeight="1">
      <c r="B1" s="149" t="s">
        <v>1008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</row>
    <row r="2" spans="2:22" s="1" customFormat="1" ht="77.2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</row>
    <row r="3" spans="1:2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2</v>
      </c>
      <c r="M3" s="142"/>
      <c r="N3" s="142"/>
      <c r="O3" s="142"/>
      <c r="P3" s="142" t="s">
        <v>3</v>
      </c>
      <c r="Q3" s="142"/>
      <c r="R3" s="142"/>
      <c r="S3" s="142"/>
      <c r="T3" s="142" t="s">
        <v>4</v>
      </c>
      <c r="U3" s="142" t="s">
        <v>6</v>
      </c>
      <c r="V3" s="146" t="s">
        <v>5</v>
      </c>
    </row>
    <row r="4" spans="1:22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43"/>
      <c r="U4" s="143"/>
      <c r="V4" s="147"/>
    </row>
    <row r="5" spans="2:21" ht="15">
      <c r="B5" s="148" t="s">
        <v>165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2" ht="12.75">
      <c r="A6" s="59">
        <v>1</v>
      </c>
      <c r="B6" s="21" t="s">
        <v>412</v>
      </c>
      <c r="C6" s="21" t="s">
        <v>413</v>
      </c>
      <c r="D6" s="21" t="s">
        <v>414</v>
      </c>
      <c r="E6" s="21" t="str">
        <f>"0,5833"</f>
        <v>0,5833</v>
      </c>
      <c r="F6" s="21" t="s">
        <v>14</v>
      </c>
      <c r="G6" s="21" t="s">
        <v>163</v>
      </c>
      <c r="H6" s="89" t="s">
        <v>415</v>
      </c>
      <c r="I6" s="89" t="s">
        <v>119</v>
      </c>
      <c r="J6" s="89" t="s">
        <v>169</v>
      </c>
      <c r="K6" s="66"/>
      <c r="L6" s="65" t="s">
        <v>164</v>
      </c>
      <c r="M6" s="139" t="s">
        <v>164</v>
      </c>
      <c r="N6" s="139" t="s">
        <v>76</v>
      </c>
      <c r="O6" s="66"/>
      <c r="P6" s="65" t="s">
        <v>60</v>
      </c>
      <c r="Q6" s="65" t="s">
        <v>60</v>
      </c>
      <c r="R6" s="139" t="s">
        <v>60</v>
      </c>
      <c r="S6" s="66"/>
      <c r="T6" s="64">
        <v>560</v>
      </c>
      <c r="U6" s="62" t="str">
        <f>"326,6480"</f>
        <v>326,6480</v>
      </c>
      <c r="V6" s="21" t="s">
        <v>416</v>
      </c>
    </row>
  </sheetData>
  <sheetProtection/>
  <mergeCells count="15">
    <mergeCell ref="B1:V2"/>
    <mergeCell ref="B3:B4"/>
    <mergeCell ref="C3:C4"/>
    <mergeCell ref="D3:D4"/>
    <mergeCell ref="E3:E4"/>
    <mergeCell ref="F3:F4"/>
    <mergeCell ref="T3:T4"/>
    <mergeCell ref="U3:U4"/>
    <mergeCell ref="V3:V4"/>
    <mergeCell ref="A3:A4"/>
    <mergeCell ref="B5:U5"/>
    <mergeCell ref="G3:G4"/>
    <mergeCell ref="H3:K3"/>
    <mergeCell ref="L3:O3"/>
    <mergeCell ref="P3:S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6.00390625" style="13" bestFit="1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6.375" style="13" customWidth="1"/>
    <col min="8" max="10" width="5.625" style="67" bestFit="1" customWidth="1"/>
    <col min="11" max="11" width="4.625" style="67" bestFit="1" customWidth="1"/>
    <col min="12" max="12" width="11.375" style="67" customWidth="1"/>
    <col min="13" max="13" width="8.625" style="67" bestFit="1" customWidth="1"/>
    <col min="14" max="14" width="22.00390625" style="13" bestFit="1" customWidth="1"/>
  </cols>
  <sheetData>
    <row r="1" spans="2:14" s="1" customFormat="1" ht="15" customHeight="1">
      <c r="B1" s="149" t="s">
        <v>975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s="1" customFormat="1" ht="77.2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78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3">
        <v>1</v>
      </c>
      <c r="B6" s="16" t="s">
        <v>417</v>
      </c>
      <c r="C6" s="16" t="s">
        <v>418</v>
      </c>
      <c r="D6" s="16" t="s">
        <v>419</v>
      </c>
      <c r="E6" s="16" t="str">
        <f>"0,6388"</f>
        <v>0,6388</v>
      </c>
      <c r="F6" s="16" t="s">
        <v>14</v>
      </c>
      <c r="G6" s="16" t="s">
        <v>898</v>
      </c>
      <c r="H6" s="133" t="s">
        <v>169</v>
      </c>
      <c r="I6" s="133" t="s">
        <v>420</v>
      </c>
      <c r="J6" s="133" t="s">
        <v>421</v>
      </c>
      <c r="K6" s="69"/>
      <c r="L6" s="55">
        <v>250</v>
      </c>
      <c r="M6" s="70" t="str">
        <f>"159,7000"</f>
        <v>159,7000</v>
      </c>
      <c r="N6" s="16" t="s">
        <v>63</v>
      </c>
    </row>
    <row r="7" spans="1:14" ht="12.75">
      <c r="A7" s="54">
        <v>1</v>
      </c>
      <c r="B7" s="19" t="s">
        <v>417</v>
      </c>
      <c r="C7" s="19" t="s">
        <v>422</v>
      </c>
      <c r="D7" s="19" t="s">
        <v>419</v>
      </c>
      <c r="E7" s="19" t="str">
        <f>"0,6388"</f>
        <v>0,6388</v>
      </c>
      <c r="F7" s="19" t="s">
        <v>14</v>
      </c>
      <c r="G7" s="19" t="s">
        <v>898</v>
      </c>
      <c r="H7" s="134" t="s">
        <v>169</v>
      </c>
      <c r="I7" s="134" t="s">
        <v>420</v>
      </c>
      <c r="J7" s="134" t="s">
        <v>421</v>
      </c>
      <c r="K7" s="72"/>
      <c r="L7" s="57">
        <v>250</v>
      </c>
      <c r="M7" s="73" t="str">
        <f>"164,1716"</f>
        <v>164,1716</v>
      </c>
      <c r="N7" s="19" t="s">
        <v>63</v>
      </c>
    </row>
    <row r="8" ht="12.75">
      <c r="G8" s="35"/>
    </row>
    <row r="9" spans="2:13" ht="15">
      <c r="B9" s="160" t="s">
        <v>108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1:14" ht="12.75">
      <c r="A10" s="53">
        <v>1</v>
      </c>
      <c r="B10" s="16" t="s">
        <v>423</v>
      </c>
      <c r="C10" s="16" t="s">
        <v>424</v>
      </c>
      <c r="D10" s="16" t="s">
        <v>425</v>
      </c>
      <c r="E10" s="16" t="str">
        <f>"0,6288"</f>
        <v>0,6288</v>
      </c>
      <c r="F10" s="16" t="s">
        <v>14</v>
      </c>
      <c r="G10" s="16" t="s">
        <v>426</v>
      </c>
      <c r="H10" s="133" t="s">
        <v>62</v>
      </c>
      <c r="I10" s="68" t="s">
        <v>176</v>
      </c>
      <c r="J10" s="68" t="s">
        <v>176</v>
      </c>
      <c r="K10" s="69"/>
      <c r="L10" s="55">
        <v>200</v>
      </c>
      <c r="M10" s="70" t="str">
        <f>"125,7600"</f>
        <v>125,7600</v>
      </c>
      <c r="N10" s="16" t="s">
        <v>894</v>
      </c>
    </row>
    <row r="11" spans="1:14" ht="12.75">
      <c r="A11" s="54">
        <v>2</v>
      </c>
      <c r="B11" s="19" t="s">
        <v>427</v>
      </c>
      <c r="C11" s="19" t="s">
        <v>428</v>
      </c>
      <c r="D11" s="19" t="s">
        <v>429</v>
      </c>
      <c r="E11" s="19" t="str">
        <f>"0,6328"</f>
        <v>0,6328</v>
      </c>
      <c r="F11" s="19" t="s">
        <v>14</v>
      </c>
      <c r="G11" s="19" t="s">
        <v>960</v>
      </c>
      <c r="H11" s="134" t="s">
        <v>69</v>
      </c>
      <c r="I11" s="71" t="s">
        <v>72</v>
      </c>
      <c r="J11" s="71" t="s">
        <v>83</v>
      </c>
      <c r="K11" s="72"/>
      <c r="L11" s="57">
        <v>150</v>
      </c>
      <c r="M11" s="73" t="str">
        <f>"94,9200"</f>
        <v>94,9200</v>
      </c>
      <c r="N11" s="19" t="s">
        <v>63</v>
      </c>
    </row>
  </sheetData>
  <sheetProtection/>
  <mergeCells count="14">
    <mergeCell ref="B1:N2"/>
    <mergeCell ref="B3:B4"/>
    <mergeCell ref="C3:C4"/>
    <mergeCell ref="D3:D4"/>
    <mergeCell ref="E3:E4"/>
    <mergeCell ref="M3:M4"/>
    <mergeCell ref="N3:N4"/>
    <mergeCell ref="A3:A4"/>
    <mergeCell ref="B5:M5"/>
    <mergeCell ref="B9:M9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2.25390625" style="13" customWidth="1"/>
    <col min="3" max="3" width="27.125" style="13" bestFit="1" customWidth="1"/>
    <col min="4" max="4" width="10.625" style="13" bestFit="1" customWidth="1"/>
    <col min="5" max="5" width="8.375" style="13" bestFit="1" customWidth="1"/>
    <col min="6" max="6" width="20.00390625" style="13" customWidth="1"/>
    <col min="7" max="7" width="35.75390625" style="13" customWidth="1"/>
    <col min="8" max="10" width="5.625" style="67" bestFit="1" customWidth="1"/>
    <col min="11" max="11" width="4.625" style="67" bestFit="1" customWidth="1"/>
    <col min="12" max="12" width="11.00390625" style="67" customWidth="1"/>
    <col min="13" max="13" width="8.625" style="67" bestFit="1" customWidth="1"/>
    <col min="14" max="14" width="23.375" style="13" customWidth="1"/>
  </cols>
  <sheetData>
    <row r="1" spans="1:14" s="1" customFormat="1" ht="15" customHeight="1">
      <c r="A1" s="50"/>
      <c r="B1" s="161" t="s">
        <v>976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3"/>
    </row>
    <row r="2" spans="1:14" s="1" customFormat="1" ht="81.75" customHeight="1" thickBot="1">
      <c r="A2" s="50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7">
        <v>1</v>
      </c>
      <c r="I4" s="37">
        <v>2</v>
      </c>
      <c r="J4" s="37">
        <v>3</v>
      </c>
      <c r="K4" s="37" t="s">
        <v>8</v>
      </c>
      <c r="L4" s="143"/>
      <c r="M4" s="143"/>
      <c r="N4" s="147"/>
    </row>
    <row r="5" spans="2:13" ht="15">
      <c r="B5" s="148" t="s">
        <v>190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3">
        <v>1</v>
      </c>
      <c r="B6" s="16" t="s">
        <v>191</v>
      </c>
      <c r="C6" s="16" t="s">
        <v>192</v>
      </c>
      <c r="D6" s="16" t="s">
        <v>193</v>
      </c>
      <c r="E6" s="16" t="str">
        <f>"1,2541"</f>
        <v>1,2541</v>
      </c>
      <c r="F6" s="16" t="s">
        <v>162</v>
      </c>
      <c r="G6" s="16" t="s">
        <v>1003</v>
      </c>
      <c r="H6" s="68" t="s">
        <v>194</v>
      </c>
      <c r="I6" s="133" t="s">
        <v>194</v>
      </c>
      <c r="J6" s="68" t="s">
        <v>195</v>
      </c>
      <c r="K6" s="69"/>
      <c r="L6" s="55">
        <v>30</v>
      </c>
      <c r="M6" s="70" t="str">
        <f>"37,6230"</f>
        <v>37,6230</v>
      </c>
      <c r="N6" s="16" t="s">
        <v>925</v>
      </c>
    </row>
    <row r="7" spans="1:14" ht="12.75">
      <c r="A7" s="74">
        <v>1</v>
      </c>
      <c r="B7" s="18" t="s">
        <v>196</v>
      </c>
      <c r="C7" s="18" t="s">
        <v>197</v>
      </c>
      <c r="D7" s="18" t="s">
        <v>198</v>
      </c>
      <c r="E7" s="18" t="str">
        <f>"1,2578"</f>
        <v>1,2578</v>
      </c>
      <c r="F7" s="18" t="s">
        <v>14</v>
      </c>
      <c r="G7" s="18" t="s">
        <v>962</v>
      </c>
      <c r="H7" s="135" t="s">
        <v>199</v>
      </c>
      <c r="I7" s="79" t="s">
        <v>200</v>
      </c>
      <c r="J7" s="79" t="s">
        <v>200</v>
      </c>
      <c r="K7" s="77"/>
      <c r="L7" s="76">
        <v>50</v>
      </c>
      <c r="M7" s="78" t="str">
        <f>"62,8900"</f>
        <v>62,8900</v>
      </c>
      <c r="N7" s="18" t="s">
        <v>926</v>
      </c>
    </row>
    <row r="8" spans="1:14" ht="12.75">
      <c r="A8" s="74">
        <v>2</v>
      </c>
      <c r="B8" s="18" t="s">
        <v>201</v>
      </c>
      <c r="C8" s="18" t="s">
        <v>202</v>
      </c>
      <c r="D8" s="18" t="s">
        <v>203</v>
      </c>
      <c r="E8" s="18" t="str">
        <f>"1,2673"</f>
        <v>1,2673</v>
      </c>
      <c r="F8" s="18" t="s">
        <v>204</v>
      </c>
      <c r="G8" s="18" t="s">
        <v>898</v>
      </c>
      <c r="H8" s="135" t="s">
        <v>205</v>
      </c>
      <c r="I8" s="79" t="s">
        <v>206</v>
      </c>
      <c r="J8" s="135" t="s">
        <v>206</v>
      </c>
      <c r="K8" s="77"/>
      <c r="L8" s="76">
        <v>42.5</v>
      </c>
      <c r="M8" s="78" t="str">
        <f>"53,8603"</f>
        <v>53,8603</v>
      </c>
      <c r="N8" s="18" t="s">
        <v>63</v>
      </c>
    </row>
    <row r="9" spans="1:14" ht="12.75">
      <c r="A9" s="54">
        <v>3</v>
      </c>
      <c r="B9" s="19" t="s">
        <v>207</v>
      </c>
      <c r="C9" s="19" t="s">
        <v>208</v>
      </c>
      <c r="D9" s="19" t="s">
        <v>209</v>
      </c>
      <c r="E9" s="19" t="str">
        <f>"1,2711"</f>
        <v>1,2711</v>
      </c>
      <c r="F9" s="19" t="s">
        <v>14</v>
      </c>
      <c r="G9" s="18" t="s">
        <v>962</v>
      </c>
      <c r="H9" s="134" t="s">
        <v>205</v>
      </c>
      <c r="I9" s="72"/>
      <c r="J9" s="72"/>
      <c r="K9" s="72"/>
      <c r="L9" s="57">
        <v>40</v>
      </c>
      <c r="M9" s="73" t="str">
        <f>"50,8440"</f>
        <v>50,8440</v>
      </c>
      <c r="N9" s="19" t="s">
        <v>910</v>
      </c>
    </row>
    <row r="11" spans="2:13" ht="15">
      <c r="B11" s="160" t="s">
        <v>210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2.75">
      <c r="A12" s="53">
        <v>1</v>
      </c>
      <c r="B12" s="16" t="s">
        <v>211</v>
      </c>
      <c r="C12" s="16" t="s">
        <v>212</v>
      </c>
      <c r="D12" s="16" t="s">
        <v>213</v>
      </c>
      <c r="E12" s="16" t="str">
        <f>"1,1340"</f>
        <v>1,1340</v>
      </c>
      <c r="F12" s="16" t="s">
        <v>14</v>
      </c>
      <c r="G12" s="16" t="s">
        <v>962</v>
      </c>
      <c r="H12" s="68" t="s">
        <v>16</v>
      </c>
      <c r="I12" s="133" t="s">
        <v>16</v>
      </c>
      <c r="J12" s="133" t="s">
        <v>214</v>
      </c>
      <c r="K12" s="69"/>
      <c r="L12" s="55">
        <v>65</v>
      </c>
      <c r="M12" s="70" t="str">
        <f>"73,7100"</f>
        <v>73,7100</v>
      </c>
      <c r="N12" s="16" t="s">
        <v>927</v>
      </c>
    </row>
    <row r="13" spans="1:14" ht="12.75">
      <c r="A13" s="54"/>
      <c r="B13" s="19" t="s">
        <v>215</v>
      </c>
      <c r="C13" s="19" t="s">
        <v>216</v>
      </c>
      <c r="D13" s="19" t="s">
        <v>217</v>
      </c>
      <c r="E13" s="19" t="str">
        <f>"1,1447"</f>
        <v>1,1447</v>
      </c>
      <c r="F13" s="19" t="s">
        <v>14</v>
      </c>
      <c r="G13" s="19" t="s">
        <v>962</v>
      </c>
      <c r="H13" s="71" t="s">
        <v>218</v>
      </c>
      <c r="I13" s="71" t="s">
        <v>218</v>
      </c>
      <c r="J13" s="71" t="s">
        <v>55</v>
      </c>
      <c r="K13" s="72"/>
      <c r="L13" s="80">
        <v>0</v>
      </c>
      <c r="M13" s="73" t="s">
        <v>955</v>
      </c>
      <c r="N13" s="19" t="s">
        <v>63</v>
      </c>
    </row>
    <row r="15" spans="2:13" ht="15">
      <c r="B15" s="160" t="s">
        <v>190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4" ht="12.75">
      <c r="A16" s="59">
        <v>1</v>
      </c>
      <c r="B16" s="21" t="s">
        <v>219</v>
      </c>
      <c r="C16" s="21" t="s">
        <v>220</v>
      </c>
      <c r="D16" s="21" t="s">
        <v>221</v>
      </c>
      <c r="E16" s="21" t="str">
        <f>"1,2360"</f>
        <v>1,2360</v>
      </c>
      <c r="F16" s="21" t="s">
        <v>14</v>
      </c>
      <c r="G16" s="21" t="s">
        <v>222</v>
      </c>
      <c r="H16" s="89" t="s">
        <v>223</v>
      </c>
      <c r="I16" s="89" t="s">
        <v>224</v>
      </c>
      <c r="J16" s="89" t="s">
        <v>194</v>
      </c>
      <c r="K16" s="89" t="s">
        <v>225</v>
      </c>
      <c r="L16" s="64">
        <v>30</v>
      </c>
      <c r="M16" s="62" t="str">
        <f>"37,0800"</f>
        <v>37,0800</v>
      </c>
      <c r="N16" s="21" t="s">
        <v>928</v>
      </c>
    </row>
    <row r="18" spans="2:13" ht="15">
      <c r="B18" s="160" t="s">
        <v>18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4" ht="12.75">
      <c r="A19" s="53">
        <v>1</v>
      </c>
      <c r="B19" s="16" t="s">
        <v>226</v>
      </c>
      <c r="C19" s="16" t="s">
        <v>227</v>
      </c>
      <c r="D19" s="16" t="s">
        <v>228</v>
      </c>
      <c r="E19" s="16" t="str">
        <f>"0,8144"</f>
        <v>0,8144</v>
      </c>
      <c r="F19" s="16" t="s">
        <v>162</v>
      </c>
      <c r="G19" s="16" t="s">
        <v>962</v>
      </c>
      <c r="H19" s="133" t="s">
        <v>33</v>
      </c>
      <c r="I19" s="133" t="s">
        <v>24</v>
      </c>
      <c r="J19" s="68" t="s">
        <v>25</v>
      </c>
      <c r="K19" s="69"/>
      <c r="L19" s="55">
        <v>82.5</v>
      </c>
      <c r="M19" s="70" t="str">
        <f>"67,1880"</f>
        <v>67,1880</v>
      </c>
      <c r="N19" s="16" t="s">
        <v>929</v>
      </c>
    </row>
    <row r="20" spans="1:14" ht="12.75">
      <c r="A20" s="54">
        <v>1</v>
      </c>
      <c r="B20" s="19" t="s">
        <v>229</v>
      </c>
      <c r="C20" s="19" t="s">
        <v>230</v>
      </c>
      <c r="D20" s="19" t="s">
        <v>231</v>
      </c>
      <c r="E20" s="19" t="str">
        <f>"0,7872"</f>
        <v>0,7872</v>
      </c>
      <c r="F20" s="19" t="s">
        <v>38</v>
      </c>
      <c r="G20" s="19" t="s">
        <v>962</v>
      </c>
      <c r="H20" s="71" t="s">
        <v>105</v>
      </c>
      <c r="I20" s="134" t="s">
        <v>105</v>
      </c>
      <c r="J20" s="71" t="s">
        <v>106</v>
      </c>
      <c r="K20" s="72"/>
      <c r="L20" s="57">
        <v>110</v>
      </c>
      <c r="M20" s="73" t="str">
        <f>"86,5920"</f>
        <v>86,5920</v>
      </c>
      <c r="N20" s="19" t="s">
        <v>905</v>
      </c>
    </row>
    <row r="21" ht="12.75">
      <c r="I21" s="140"/>
    </row>
    <row r="22" spans="2:13" ht="15">
      <c r="B22" s="160" t="s">
        <v>28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4" ht="12.75">
      <c r="A23" s="53">
        <v>1</v>
      </c>
      <c r="B23" s="16" t="s">
        <v>232</v>
      </c>
      <c r="C23" s="16" t="s">
        <v>233</v>
      </c>
      <c r="D23" s="16" t="s">
        <v>234</v>
      </c>
      <c r="E23" s="16" t="str">
        <f>"0,7315"</f>
        <v>0,7315</v>
      </c>
      <c r="F23" s="16" t="s">
        <v>235</v>
      </c>
      <c r="G23" s="16" t="s">
        <v>962</v>
      </c>
      <c r="H23" s="133" t="s">
        <v>236</v>
      </c>
      <c r="I23" s="68" t="s">
        <v>107</v>
      </c>
      <c r="J23" s="68" t="s">
        <v>237</v>
      </c>
      <c r="K23" s="69"/>
      <c r="L23" s="55">
        <v>125</v>
      </c>
      <c r="M23" s="70" t="str">
        <f>"91,4375"</f>
        <v>91,4375</v>
      </c>
      <c r="N23" s="16" t="s">
        <v>238</v>
      </c>
    </row>
    <row r="24" spans="1:14" ht="12.75">
      <c r="A24" s="74">
        <v>2</v>
      </c>
      <c r="B24" s="18" t="s">
        <v>239</v>
      </c>
      <c r="C24" s="18" t="s">
        <v>240</v>
      </c>
      <c r="D24" s="18" t="s">
        <v>241</v>
      </c>
      <c r="E24" s="18" t="str">
        <f>"0,7345"</f>
        <v>0,7345</v>
      </c>
      <c r="F24" s="18" t="s">
        <v>242</v>
      </c>
      <c r="G24" s="18" t="s">
        <v>222</v>
      </c>
      <c r="H24" s="135" t="s">
        <v>26</v>
      </c>
      <c r="I24" s="135" t="s">
        <v>243</v>
      </c>
      <c r="J24" s="135" t="s">
        <v>244</v>
      </c>
      <c r="K24" s="77"/>
      <c r="L24" s="76">
        <v>105</v>
      </c>
      <c r="M24" s="78" t="str">
        <f>"77,1225"</f>
        <v>77,1225</v>
      </c>
      <c r="N24" s="18" t="s">
        <v>253</v>
      </c>
    </row>
    <row r="25" spans="1:14" ht="12.75">
      <c r="A25" s="74">
        <v>1</v>
      </c>
      <c r="B25" s="18" t="s">
        <v>245</v>
      </c>
      <c r="C25" s="18" t="s">
        <v>246</v>
      </c>
      <c r="D25" s="18" t="s">
        <v>247</v>
      </c>
      <c r="E25" s="18" t="str">
        <f>"0,7200"</f>
        <v>0,7200</v>
      </c>
      <c r="F25" s="18" t="s">
        <v>248</v>
      </c>
      <c r="G25" s="18" t="s">
        <v>898</v>
      </c>
      <c r="H25" s="135" t="s">
        <v>88</v>
      </c>
      <c r="I25" s="135" t="s">
        <v>89</v>
      </c>
      <c r="J25" s="79" t="s">
        <v>249</v>
      </c>
      <c r="K25" s="77"/>
      <c r="L25" s="76">
        <v>175</v>
      </c>
      <c r="M25" s="78" t="str">
        <f>"126,0000"</f>
        <v>126,0000</v>
      </c>
      <c r="N25" s="18" t="s">
        <v>63</v>
      </c>
    </row>
    <row r="26" spans="1:14" ht="12.75">
      <c r="A26" s="74">
        <v>2</v>
      </c>
      <c r="B26" s="18" t="s">
        <v>250</v>
      </c>
      <c r="C26" s="18" t="s">
        <v>251</v>
      </c>
      <c r="D26" s="18" t="s">
        <v>252</v>
      </c>
      <c r="E26" s="18" t="str">
        <f>"0,7375"</f>
        <v>0,7375</v>
      </c>
      <c r="F26" s="18" t="s">
        <v>14</v>
      </c>
      <c r="G26" s="18" t="s">
        <v>222</v>
      </c>
      <c r="H26" s="135" t="s">
        <v>164</v>
      </c>
      <c r="I26" s="135" t="s">
        <v>76</v>
      </c>
      <c r="J26" s="135" t="s">
        <v>69</v>
      </c>
      <c r="K26" s="77"/>
      <c r="L26" s="76">
        <v>150</v>
      </c>
      <c r="M26" s="78" t="str">
        <f>"110,6250"</f>
        <v>110,6250</v>
      </c>
      <c r="N26" s="18" t="s">
        <v>253</v>
      </c>
    </row>
    <row r="27" spans="1:14" ht="12.75">
      <c r="A27" s="74">
        <v>3</v>
      </c>
      <c r="B27" s="18" t="s">
        <v>254</v>
      </c>
      <c r="C27" s="18" t="s">
        <v>255</v>
      </c>
      <c r="D27" s="18" t="s">
        <v>256</v>
      </c>
      <c r="E27" s="18" t="str">
        <f>"0,7249"</f>
        <v>0,7249</v>
      </c>
      <c r="F27" s="18" t="s">
        <v>14</v>
      </c>
      <c r="G27" s="18" t="s">
        <v>962</v>
      </c>
      <c r="H27" s="135" t="s">
        <v>67</v>
      </c>
      <c r="I27" s="135" t="s">
        <v>68</v>
      </c>
      <c r="J27" s="135" t="s">
        <v>257</v>
      </c>
      <c r="K27" s="77"/>
      <c r="L27" s="76">
        <v>147.5</v>
      </c>
      <c r="M27" s="78" t="str">
        <f>"106,9228"</f>
        <v>106,9228</v>
      </c>
      <c r="N27" s="18" t="s">
        <v>63</v>
      </c>
    </row>
    <row r="28" spans="1:14" ht="12.75">
      <c r="A28" s="74">
        <v>4</v>
      </c>
      <c r="B28" s="18" t="s">
        <v>258</v>
      </c>
      <c r="C28" s="18" t="s">
        <v>259</v>
      </c>
      <c r="D28" s="18" t="s">
        <v>260</v>
      </c>
      <c r="E28" s="18" t="str">
        <f>"0,7139"</f>
        <v>0,7139</v>
      </c>
      <c r="F28" s="18" t="s">
        <v>261</v>
      </c>
      <c r="G28" s="18" t="s">
        <v>962</v>
      </c>
      <c r="H28" s="135" t="s">
        <v>26</v>
      </c>
      <c r="I28" s="79" t="s">
        <v>262</v>
      </c>
      <c r="J28" s="79" t="s">
        <v>262</v>
      </c>
      <c r="K28" s="77"/>
      <c r="L28" s="76">
        <v>90</v>
      </c>
      <c r="M28" s="78" t="str">
        <f>"64,2510"</f>
        <v>64,2510</v>
      </c>
      <c r="N28" s="18" t="s">
        <v>893</v>
      </c>
    </row>
    <row r="29" spans="1:14" ht="12.75">
      <c r="A29" s="54"/>
      <c r="B29" s="19" t="s">
        <v>263</v>
      </c>
      <c r="C29" s="19" t="s">
        <v>264</v>
      </c>
      <c r="D29" s="19" t="s">
        <v>260</v>
      </c>
      <c r="E29" s="19" t="str">
        <f>"0,7139"</f>
        <v>0,7139</v>
      </c>
      <c r="F29" s="19" t="s">
        <v>14</v>
      </c>
      <c r="G29" s="19" t="s">
        <v>962</v>
      </c>
      <c r="H29" s="71" t="s">
        <v>76</v>
      </c>
      <c r="I29" s="71" t="s">
        <v>76</v>
      </c>
      <c r="J29" s="71" t="s">
        <v>76</v>
      </c>
      <c r="K29" s="72"/>
      <c r="L29" s="80">
        <v>0</v>
      </c>
      <c r="M29" s="73" t="s">
        <v>955</v>
      </c>
      <c r="N29" s="19" t="s">
        <v>930</v>
      </c>
    </row>
    <row r="31" spans="2:13" ht="15">
      <c r="B31" s="160" t="s">
        <v>40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</row>
    <row r="32" spans="1:14" ht="12.75">
      <c r="A32" s="53">
        <v>1</v>
      </c>
      <c r="B32" s="16" t="s">
        <v>265</v>
      </c>
      <c r="C32" s="16" t="s">
        <v>266</v>
      </c>
      <c r="D32" s="16" t="s">
        <v>267</v>
      </c>
      <c r="E32" s="16" t="str">
        <f>"0,6790"</f>
        <v>0,6790</v>
      </c>
      <c r="F32" s="16" t="s">
        <v>248</v>
      </c>
      <c r="G32" s="16" t="s">
        <v>898</v>
      </c>
      <c r="H32" s="133" t="s">
        <v>112</v>
      </c>
      <c r="I32" s="133" t="s">
        <v>117</v>
      </c>
      <c r="J32" s="68" t="s">
        <v>268</v>
      </c>
      <c r="K32" s="69"/>
      <c r="L32" s="55">
        <v>205</v>
      </c>
      <c r="M32" s="70" t="str">
        <f>"139,1950"</f>
        <v>139,1950</v>
      </c>
      <c r="N32" s="16" t="s">
        <v>63</v>
      </c>
    </row>
    <row r="33" spans="1:14" ht="12.75">
      <c r="A33" s="74">
        <v>2</v>
      </c>
      <c r="B33" s="18" t="s">
        <v>269</v>
      </c>
      <c r="C33" s="18" t="s">
        <v>270</v>
      </c>
      <c r="D33" s="18" t="s">
        <v>75</v>
      </c>
      <c r="E33" s="18" t="str">
        <f>"0,6785"</f>
        <v>0,6785</v>
      </c>
      <c r="F33" s="18" t="s">
        <v>14</v>
      </c>
      <c r="G33" s="18" t="s">
        <v>962</v>
      </c>
      <c r="H33" s="135" t="s">
        <v>69</v>
      </c>
      <c r="I33" s="135" t="s">
        <v>101</v>
      </c>
      <c r="J33" s="79" t="s">
        <v>72</v>
      </c>
      <c r="K33" s="77"/>
      <c r="L33" s="76">
        <v>157.5</v>
      </c>
      <c r="M33" s="78" t="str">
        <f>"106,8637"</f>
        <v>106,8637</v>
      </c>
      <c r="N33" s="18" t="s">
        <v>63</v>
      </c>
    </row>
    <row r="34" spans="1:14" ht="12.75">
      <c r="A34" s="74">
        <v>3</v>
      </c>
      <c r="B34" s="18" t="s">
        <v>271</v>
      </c>
      <c r="C34" s="18" t="s">
        <v>272</v>
      </c>
      <c r="D34" s="18" t="s">
        <v>273</v>
      </c>
      <c r="E34" s="18" t="str">
        <f>"0,6754"</f>
        <v>0,6754</v>
      </c>
      <c r="F34" s="18" t="s">
        <v>242</v>
      </c>
      <c r="G34" s="18" t="s">
        <v>222</v>
      </c>
      <c r="H34" s="135" t="s">
        <v>164</v>
      </c>
      <c r="I34" s="135" t="s">
        <v>76</v>
      </c>
      <c r="J34" s="135" t="s">
        <v>100</v>
      </c>
      <c r="K34" s="77"/>
      <c r="L34" s="76">
        <v>152.5</v>
      </c>
      <c r="M34" s="78" t="str">
        <f>"102,9985"</f>
        <v>102,9985</v>
      </c>
      <c r="N34" s="18" t="s">
        <v>274</v>
      </c>
    </row>
    <row r="35" spans="1:14" ht="12.75">
      <c r="A35" s="74">
        <v>4</v>
      </c>
      <c r="B35" s="18" t="s">
        <v>275</v>
      </c>
      <c r="C35" s="18" t="s">
        <v>276</v>
      </c>
      <c r="D35" s="18" t="s">
        <v>277</v>
      </c>
      <c r="E35" s="18" t="str">
        <f>"0,6795"</f>
        <v>0,6795</v>
      </c>
      <c r="F35" s="18" t="s">
        <v>14</v>
      </c>
      <c r="G35" s="18" t="s">
        <v>278</v>
      </c>
      <c r="H35" s="135" t="s">
        <v>164</v>
      </c>
      <c r="I35" s="135" t="s">
        <v>76</v>
      </c>
      <c r="J35" s="135" t="s">
        <v>257</v>
      </c>
      <c r="K35" s="77"/>
      <c r="L35" s="76">
        <v>147.5</v>
      </c>
      <c r="M35" s="78" t="str">
        <f>"100,2262"</f>
        <v>100,2262</v>
      </c>
      <c r="N35" s="18" t="s">
        <v>931</v>
      </c>
    </row>
    <row r="36" spans="1:14" ht="12.75">
      <c r="A36" s="74">
        <v>5</v>
      </c>
      <c r="B36" s="18" t="s">
        <v>279</v>
      </c>
      <c r="C36" s="18" t="s">
        <v>280</v>
      </c>
      <c r="D36" s="18" t="s">
        <v>267</v>
      </c>
      <c r="E36" s="18" t="str">
        <f>"0,6790"</f>
        <v>0,6790</v>
      </c>
      <c r="F36" s="18" t="s">
        <v>14</v>
      </c>
      <c r="G36" s="18" t="s">
        <v>962</v>
      </c>
      <c r="H36" s="135" t="s">
        <v>281</v>
      </c>
      <c r="I36" s="79" t="s">
        <v>107</v>
      </c>
      <c r="J36" s="135" t="s">
        <v>107</v>
      </c>
      <c r="K36" s="77"/>
      <c r="L36" s="76">
        <v>130</v>
      </c>
      <c r="M36" s="78" t="str">
        <f>"88,2700"</f>
        <v>88,2700</v>
      </c>
      <c r="N36" s="18" t="s">
        <v>63</v>
      </c>
    </row>
    <row r="37" spans="1:14" ht="12.75">
      <c r="A37" s="74">
        <v>6</v>
      </c>
      <c r="B37" s="18" t="s">
        <v>282</v>
      </c>
      <c r="C37" s="18" t="s">
        <v>283</v>
      </c>
      <c r="D37" s="18" t="s">
        <v>284</v>
      </c>
      <c r="E37" s="18" t="str">
        <f>"0,6724"</f>
        <v>0,6724</v>
      </c>
      <c r="F37" s="18" t="s">
        <v>38</v>
      </c>
      <c r="G37" s="18" t="s">
        <v>962</v>
      </c>
      <c r="H37" s="135" t="s">
        <v>285</v>
      </c>
      <c r="I37" s="79" t="s">
        <v>286</v>
      </c>
      <c r="J37" s="135" t="s">
        <v>236</v>
      </c>
      <c r="K37" s="77"/>
      <c r="L37" s="76">
        <v>125</v>
      </c>
      <c r="M37" s="78" t="str">
        <f>"84,0500"</f>
        <v>84,0500</v>
      </c>
      <c r="N37" s="18" t="s">
        <v>905</v>
      </c>
    </row>
    <row r="38" spans="1:14" ht="12.75">
      <c r="A38" s="74">
        <v>7</v>
      </c>
      <c r="B38" s="18" t="s">
        <v>287</v>
      </c>
      <c r="C38" s="18" t="s">
        <v>288</v>
      </c>
      <c r="D38" s="18" t="s">
        <v>289</v>
      </c>
      <c r="E38" s="18" t="str">
        <f>"0,6744"</f>
        <v>0,6744</v>
      </c>
      <c r="F38" s="18" t="s">
        <v>14</v>
      </c>
      <c r="G38" s="18" t="s">
        <v>278</v>
      </c>
      <c r="H38" s="135" t="s">
        <v>106</v>
      </c>
      <c r="I38" s="79" t="s">
        <v>281</v>
      </c>
      <c r="J38" s="79" t="s">
        <v>281</v>
      </c>
      <c r="K38" s="77"/>
      <c r="L38" s="76">
        <v>120</v>
      </c>
      <c r="M38" s="78" t="str">
        <f>"80,9280"</f>
        <v>80,9280</v>
      </c>
      <c r="N38" s="18" t="s">
        <v>63</v>
      </c>
    </row>
    <row r="39" spans="1:14" ht="12.75">
      <c r="A39" s="74">
        <v>8</v>
      </c>
      <c r="B39" s="18" t="s">
        <v>290</v>
      </c>
      <c r="C39" s="18" t="s">
        <v>291</v>
      </c>
      <c r="D39" s="18" t="s">
        <v>292</v>
      </c>
      <c r="E39" s="18" t="str">
        <f>"0,6951"</f>
        <v>0,6951</v>
      </c>
      <c r="F39" s="18" t="s">
        <v>14</v>
      </c>
      <c r="G39" s="18" t="s">
        <v>962</v>
      </c>
      <c r="H39" s="79" t="s">
        <v>26</v>
      </c>
      <c r="I39" s="79" t="s">
        <v>26</v>
      </c>
      <c r="J39" s="135" t="s">
        <v>293</v>
      </c>
      <c r="K39" s="77"/>
      <c r="L39" s="76">
        <v>100</v>
      </c>
      <c r="M39" s="78" t="str">
        <f>"69,5100"</f>
        <v>69,5100</v>
      </c>
      <c r="N39" s="18" t="s">
        <v>917</v>
      </c>
    </row>
    <row r="40" spans="1:14" ht="12.75">
      <c r="A40" s="74">
        <v>1</v>
      </c>
      <c r="B40" s="18" t="s">
        <v>294</v>
      </c>
      <c r="C40" s="18" t="s">
        <v>295</v>
      </c>
      <c r="D40" s="18" t="s">
        <v>75</v>
      </c>
      <c r="E40" s="18" t="str">
        <f>"0,6785"</f>
        <v>0,6785</v>
      </c>
      <c r="F40" s="18" t="s">
        <v>14</v>
      </c>
      <c r="G40" s="18" t="s">
        <v>962</v>
      </c>
      <c r="H40" s="135" t="s">
        <v>286</v>
      </c>
      <c r="I40" s="79" t="s">
        <v>281</v>
      </c>
      <c r="J40" s="135" t="s">
        <v>281</v>
      </c>
      <c r="K40" s="77"/>
      <c r="L40" s="76">
        <v>127.5</v>
      </c>
      <c r="M40" s="78" t="str">
        <f>"87,7199"</f>
        <v>87,7199</v>
      </c>
      <c r="N40" s="18" t="s">
        <v>63</v>
      </c>
    </row>
    <row r="41" spans="1:14" ht="12.75">
      <c r="A41" s="54"/>
      <c r="B41" s="19" t="s">
        <v>296</v>
      </c>
      <c r="C41" s="19" t="s">
        <v>297</v>
      </c>
      <c r="D41" s="19" t="s">
        <v>298</v>
      </c>
      <c r="E41" s="19" t="str">
        <f>"0,6838"</f>
        <v>0,6838</v>
      </c>
      <c r="F41" s="19" t="s">
        <v>14</v>
      </c>
      <c r="G41" s="19" t="s">
        <v>1004</v>
      </c>
      <c r="H41" s="71" t="s">
        <v>299</v>
      </c>
      <c r="I41" s="72"/>
      <c r="J41" s="72"/>
      <c r="K41" s="72"/>
      <c r="L41" s="57">
        <v>0</v>
      </c>
      <c r="M41" s="73" t="str">
        <f>"0,0000"</f>
        <v>0,0000</v>
      </c>
      <c r="N41" s="19" t="s">
        <v>63</v>
      </c>
    </row>
    <row r="43" spans="2:13" ht="15">
      <c r="B43" s="160" t="s">
        <v>78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  <row r="44" spans="1:14" ht="12.75">
      <c r="A44" s="53">
        <v>1</v>
      </c>
      <c r="B44" s="16" t="s">
        <v>300</v>
      </c>
      <c r="C44" s="16" t="s">
        <v>301</v>
      </c>
      <c r="D44" s="16" t="s">
        <v>302</v>
      </c>
      <c r="E44" s="16" t="str">
        <f>"0,6424"</f>
        <v>0,6424</v>
      </c>
      <c r="F44" s="16" t="s">
        <v>14</v>
      </c>
      <c r="G44" s="16" t="s">
        <v>962</v>
      </c>
      <c r="H44" s="133" t="s">
        <v>262</v>
      </c>
      <c r="I44" s="68" t="s">
        <v>293</v>
      </c>
      <c r="J44" s="68" t="s">
        <v>293</v>
      </c>
      <c r="K44" s="69"/>
      <c r="L44" s="55">
        <v>95</v>
      </c>
      <c r="M44" s="70" t="str">
        <f>"61,0280"</f>
        <v>61,0280</v>
      </c>
      <c r="N44" s="16" t="s">
        <v>932</v>
      </c>
    </row>
    <row r="45" spans="1:14" ht="12.75">
      <c r="A45" s="74">
        <v>1</v>
      </c>
      <c r="B45" s="18" t="s">
        <v>303</v>
      </c>
      <c r="C45" s="18" t="s">
        <v>304</v>
      </c>
      <c r="D45" s="18" t="s">
        <v>305</v>
      </c>
      <c r="E45" s="18" t="str">
        <f>"0,6540"</f>
        <v>0,6540</v>
      </c>
      <c r="F45" s="18" t="s">
        <v>14</v>
      </c>
      <c r="G45" s="18" t="s">
        <v>962</v>
      </c>
      <c r="H45" s="79" t="s">
        <v>237</v>
      </c>
      <c r="I45" s="135" t="s">
        <v>237</v>
      </c>
      <c r="J45" s="79" t="s">
        <v>306</v>
      </c>
      <c r="K45" s="77"/>
      <c r="L45" s="76">
        <v>132.5</v>
      </c>
      <c r="M45" s="78" t="str">
        <f>"86,6550"</f>
        <v>86,6550</v>
      </c>
      <c r="N45" s="18" t="s">
        <v>63</v>
      </c>
    </row>
    <row r="46" spans="1:14" ht="12.75">
      <c r="A46" s="74">
        <v>1</v>
      </c>
      <c r="B46" s="18" t="s">
        <v>307</v>
      </c>
      <c r="C46" s="18" t="s">
        <v>308</v>
      </c>
      <c r="D46" s="18" t="s">
        <v>309</v>
      </c>
      <c r="E46" s="18" t="str">
        <f>"0,6410"</f>
        <v>0,6410</v>
      </c>
      <c r="F46" s="18" t="s">
        <v>14</v>
      </c>
      <c r="G46" s="18" t="s">
        <v>1005</v>
      </c>
      <c r="H46" s="135" t="s">
        <v>100</v>
      </c>
      <c r="I46" s="135" t="s">
        <v>84</v>
      </c>
      <c r="J46" s="135" t="s">
        <v>89</v>
      </c>
      <c r="K46" s="77"/>
      <c r="L46" s="76">
        <v>175</v>
      </c>
      <c r="M46" s="78" t="str">
        <f>"112,1750"</f>
        <v>112,1750</v>
      </c>
      <c r="N46" s="18" t="s">
        <v>63</v>
      </c>
    </row>
    <row r="47" spans="1:14" ht="12.75">
      <c r="A47" s="74">
        <v>2</v>
      </c>
      <c r="B47" s="18" t="s">
        <v>310</v>
      </c>
      <c r="C47" s="18" t="s">
        <v>311</v>
      </c>
      <c r="D47" s="18" t="s">
        <v>312</v>
      </c>
      <c r="E47" s="18" t="str">
        <f>"0,6395"</f>
        <v>0,6395</v>
      </c>
      <c r="F47" s="18" t="s">
        <v>14</v>
      </c>
      <c r="G47" s="18" t="s">
        <v>278</v>
      </c>
      <c r="H47" s="79" t="s">
        <v>84</v>
      </c>
      <c r="I47" s="135" t="s">
        <v>84</v>
      </c>
      <c r="J47" s="135" t="s">
        <v>89</v>
      </c>
      <c r="K47" s="77"/>
      <c r="L47" s="76">
        <v>175</v>
      </c>
      <c r="M47" s="78" t="str">
        <f>"111,9125"</f>
        <v>111,9125</v>
      </c>
      <c r="N47" s="18" t="s">
        <v>933</v>
      </c>
    </row>
    <row r="48" spans="1:14" ht="12.75">
      <c r="A48" s="74">
        <v>3</v>
      </c>
      <c r="B48" s="18" t="s">
        <v>313</v>
      </c>
      <c r="C48" s="18" t="s">
        <v>314</v>
      </c>
      <c r="D48" s="18" t="s">
        <v>312</v>
      </c>
      <c r="E48" s="18" t="str">
        <f>"0,6395"</f>
        <v>0,6395</v>
      </c>
      <c r="F48" s="18" t="s">
        <v>162</v>
      </c>
      <c r="G48" s="18" t="s">
        <v>163</v>
      </c>
      <c r="H48" s="135" t="s">
        <v>100</v>
      </c>
      <c r="I48" s="135" t="s">
        <v>101</v>
      </c>
      <c r="J48" s="135" t="s">
        <v>72</v>
      </c>
      <c r="K48" s="77"/>
      <c r="L48" s="76">
        <v>160</v>
      </c>
      <c r="M48" s="78" t="str">
        <f>"102,3200"</f>
        <v>102,3200</v>
      </c>
      <c r="N48" s="18" t="s">
        <v>63</v>
      </c>
    </row>
    <row r="49" spans="1:14" ht="12.75">
      <c r="A49" s="74">
        <v>4</v>
      </c>
      <c r="B49" s="18" t="s">
        <v>315</v>
      </c>
      <c r="C49" s="18" t="s">
        <v>316</v>
      </c>
      <c r="D49" s="18" t="s">
        <v>317</v>
      </c>
      <c r="E49" s="18" t="str">
        <f>"0,6444"</f>
        <v>0,6444</v>
      </c>
      <c r="F49" s="18" t="s">
        <v>14</v>
      </c>
      <c r="G49" s="18" t="s">
        <v>962</v>
      </c>
      <c r="H49" s="135" t="s">
        <v>76</v>
      </c>
      <c r="I49" s="135" t="s">
        <v>100</v>
      </c>
      <c r="J49" s="79" t="s">
        <v>77</v>
      </c>
      <c r="K49" s="77"/>
      <c r="L49" s="76">
        <v>152.5</v>
      </c>
      <c r="M49" s="78" t="str">
        <f>"98,2710"</f>
        <v>98,2710</v>
      </c>
      <c r="N49" s="18" t="s">
        <v>63</v>
      </c>
    </row>
    <row r="50" spans="1:14" ht="12.75">
      <c r="A50" s="74">
        <v>5</v>
      </c>
      <c r="B50" s="18" t="s">
        <v>318</v>
      </c>
      <c r="C50" s="18" t="s">
        <v>319</v>
      </c>
      <c r="D50" s="18" t="s">
        <v>317</v>
      </c>
      <c r="E50" s="18" t="str">
        <f>"0,6444"</f>
        <v>0,6444</v>
      </c>
      <c r="F50" s="18" t="s">
        <v>38</v>
      </c>
      <c r="G50" s="18" t="s">
        <v>962</v>
      </c>
      <c r="H50" s="135" t="s">
        <v>164</v>
      </c>
      <c r="I50" s="79" t="s">
        <v>257</v>
      </c>
      <c r="J50" s="135" t="s">
        <v>257</v>
      </c>
      <c r="K50" s="77"/>
      <c r="L50" s="76">
        <v>147.5</v>
      </c>
      <c r="M50" s="78" t="str">
        <f>"95,0490"</f>
        <v>95,0490</v>
      </c>
      <c r="N50" s="18" t="s">
        <v>905</v>
      </c>
    </row>
    <row r="51" spans="1:14" ht="12.75">
      <c r="A51" s="74">
        <v>6</v>
      </c>
      <c r="B51" s="18" t="s">
        <v>320</v>
      </c>
      <c r="C51" s="18" t="s">
        <v>321</v>
      </c>
      <c r="D51" s="18" t="s">
        <v>322</v>
      </c>
      <c r="E51" s="18" t="str">
        <f>"0,6406"</f>
        <v>0,6406</v>
      </c>
      <c r="F51" s="18" t="s">
        <v>14</v>
      </c>
      <c r="G51" s="18" t="s">
        <v>962</v>
      </c>
      <c r="H51" s="135" t="s">
        <v>68</v>
      </c>
      <c r="I51" s="79" t="s">
        <v>100</v>
      </c>
      <c r="J51" s="79" t="s">
        <v>100</v>
      </c>
      <c r="K51" s="77"/>
      <c r="L51" s="76">
        <v>142.5</v>
      </c>
      <c r="M51" s="78" t="str">
        <f>"91,2855"</f>
        <v>91,2855</v>
      </c>
      <c r="N51" s="18" t="s">
        <v>63</v>
      </c>
    </row>
    <row r="52" spans="1:14" ht="12.75">
      <c r="A52" s="74">
        <v>1</v>
      </c>
      <c r="B52" s="18" t="s">
        <v>323</v>
      </c>
      <c r="C52" s="18" t="s">
        <v>324</v>
      </c>
      <c r="D52" s="18" t="s">
        <v>325</v>
      </c>
      <c r="E52" s="18" t="str">
        <f>"0,6447"</f>
        <v>0,6447</v>
      </c>
      <c r="F52" s="18" t="s">
        <v>14</v>
      </c>
      <c r="G52" s="18" t="s">
        <v>962</v>
      </c>
      <c r="H52" s="135" t="s">
        <v>84</v>
      </c>
      <c r="I52" s="79" t="s">
        <v>89</v>
      </c>
      <c r="J52" s="135" t="s">
        <v>89</v>
      </c>
      <c r="K52" s="77"/>
      <c r="L52" s="76">
        <v>175</v>
      </c>
      <c r="M52" s="78" t="str">
        <f>"117,7867"</f>
        <v>117,7867</v>
      </c>
      <c r="N52" s="18" t="s">
        <v>63</v>
      </c>
    </row>
    <row r="53" spans="1:14" ht="12.75">
      <c r="A53" s="74">
        <v>2</v>
      </c>
      <c r="B53" s="18" t="s">
        <v>326</v>
      </c>
      <c r="C53" s="18" t="s">
        <v>327</v>
      </c>
      <c r="D53" s="18" t="s">
        <v>328</v>
      </c>
      <c r="E53" s="18" t="str">
        <f>"0,6432"</f>
        <v>0,6432</v>
      </c>
      <c r="F53" s="18" t="s">
        <v>162</v>
      </c>
      <c r="G53" s="18" t="s">
        <v>1003</v>
      </c>
      <c r="H53" s="135" t="s">
        <v>76</v>
      </c>
      <c r="I53" s="135" t="s">
        <v>100</v>
      </c>
      <c r="J53" s="135" t="s">
        <v>101</v>
      </c>
      <c r="K53" s="77"/>
      <c r="L53" s="76">
        <v>157.5</v>
      </c>
      <c r="M53" s="78" t="str">
        <f>"105,7614"</f>
        <v>105,7614</v>
      </c>
      <c r="N53" s="18" t="s">
        <v>63</v>
      </c>
    </row>
    <row r="54" spans="1:14" ht="12.75">
      <c r="A54" s="74">
        <v>3</v>
      </c>
      <c r="B54" s="18" t="s">
        <v>329</v>
      </c>
      <c r="C54" s="18" t="s">
        <v>330</v>
      </c>
      <c r="D54" s="18" t="s">
        <v>331</v>
      </c>
      <c r="E54" s="18" t="str">
        <f>"0,6463"</f>
        <v>0,6463</v>
      </c>
      <c r="F54" s="18" t="s">
        <v>38</v>
      </c>
      <c r="G54" s="18" t="s">
        <v>962</v>
      </c>
      <c r="H54" s="79" t="s">
        <v>164</v>
      </c>
      <c r="I54" s="135" t="s">
        <v>100</v>
      </c>
      <c r="J54" s="79" t="s">
        <v>72</v>
      </c>
      <c r="K54" s="77"/>
      <c r="L54" s="76">
        <v>152.5</v>
      </c>
      <c r="M54" s="78" t="str">
        <f>"99,9406"</f>
        <v>99,9406</v>
      </c>
      <c r="N54" s="18" t="s">
        <v>905</v>
      </c>
    </row>
    <row r="55" spans="1:14" ht="12.75">
      <c r="A55" s="74">
        <v>4</v>
      </c>
      <c r="B55" s="18" t="s">
        <v>332</v>
      </c>
      <c r="C55" s="18" t="s">
        <v>333</v>
      </c>
      <c r="D55" s="18" t="s">
        <v>328</v>
      </c>
      <c r="E55" s="18" t="str">
        <f>"0,6432"</f>
        <v>0,6432</v>
      </c>
      <c r="F55" s="18" t="s">
        <v>32</v>
      </c>
      <c r="G55" s="18" t="s">
        <v>962</v>
      </c>
      <c r="H55" s="135" t="s">
        <v>106</v>
      </c>
      <c r="I55" s="135" t="s">
        <v>237</v>
      </c>
      <c r="J55" s="79" t="s">
        <v>164</v>
      </c>
      <c r="K55" s="77"/>
      <c r="L55" s="76">
        <v>132.5</v>
      </c>
      <c r="M55" s="78" t="str">
        <f>"85,2240"</f>
        <v>85,2240</v>
      </c>
      <c r="N55" s="18" t="s">
        <v>916</v>
      </c>
    </row>
    <row r="56" spans="1:14" ht="12.75">
      <c r="A56" s="74">
        <v>0</v>
      </c>
      <c r="B56" s="18" t="s">
        <v>334</v>
      </c>
      <c r="C56" s="18" t="s">
        <v>335</v>
      </c>
      <c r="D56" s="18" t="s">
        <v>336</v>
      </c>
      <c r="E56" s="18" t="str">
        <f>"0,6475"</f>
        <v>0,6475</v>
      </c>
      <c r="F56" s="18" t="s">
        <v>162</v>
      </c>
      <c r="G56" s="18" t="s">
        <v>1003</v>
      </c>
      <c r="H56" s="79" t="s">
        <v>281</v>
      </c>
      <c r="I56" s="79" t="s">
        <v>237</v>
      </c>
      <c r="J56" s="79" t="s">
        <v>237</v>
      </c>
      <c r="K56" s="77"/>
      <c r="L56" s="85">
        <v>0</v>
      </c>
      <c r="M56" s="78" t="s">
        <v>955</v>
      </c>
      <c r="N56" s="18" t="s">
        <v>63</v>
      </c>
    </row>
    <row r="57" spans="1:14" ht="12.75">
      <c r="A57" s="74">
        <v>1</v>
      </c>
      <c r="B57" s="18" t="s">
        <v>337</v>
      </c>
      <c r="C57" s="18" t="s">
        <v>338</v>
      </c>
      <c r="D57" s="18" t="s">
        <v>302</v>
      </c>
      <c r="E57" s="18" t="str">
        <f>"0,6424"</f>
        <v>0,6424</v>
      </c>
      <c r="F57" s="18" t="s">
        <v>14</v>
      </c>
      <c r="G57" s="18" t="s">
        <v>962</v>
      </c>
      <c r="H57" s="135" t="s">
        <v>105</v>
      </c>
      <c r="I57" s="135" t="s">
        <v>339</v>
      </c>
      <c r="J57" s="79" t="s">
        <v>236</v>
      </c>
      <c r="K57" s="77"/>
      <c r="L57" s="76">
        <v>117.5</v>
      </c>
      <c r="M57" s="78" t="str">
        <f>"101,9007"</f>
        <v>101,9007</v>
      </c>
      <c r="N57" s="18" t="s">
        <v>63</v>
      </c>
    </row>
    <row r="58" spans="1:14" ht="12.75">
      <c r="A58" s="54">
        <v>2</v>
      </c>
      <c r="B58" s="19" t="s">
        <v>340</v>
      </c>
      <c r="C58" s="19" t="s">
        <v>341</v>
      </c>
      <c r="D58" s="19" t="s">
        <v>342</v>
      </c>
      <c r="E58" s="19" t="str">
        <f>"0,6557"</f>
        <v>0,6557</v>
      </c>
      <c r="F58" s="19" t="s">
        <v>162</v>
      </c>
      <c r="G58" s="19" t="s">
        <v>1003</v>
      </c>
      <c r="H58" s="134" t="s">
        <v>293</v>
      </c>
      <c r="I58" s="134" t="s">
        <v>343</v>
      </c>
      <c r="J58" s="134" t="s">
        <v>344</v>
      </c>
      <c r="K58" s="72"/>
      <c r="L58" s="57">
        <v>112.5</v>
      </c>
      <c r="M58" s="73" t="str">
        <f>"97,5190"</f>
        <v>97,5190</v>
      </c>
      <c r="N58" s="19" t="s">
        <v>929</v>
      </c>
    </row>
    <row r="60" spans="2:13" ht="15">
      <c r="B60" s="160" t="s">
        <v>108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</row>
    <row r="61" spans="1:14" ht="12.75">
      <c r="A61" s="53">
        <v>1</v>
      </c>
      <c r="B61" s="16" t="s">
        <v>345</v>
      </c>
      <c r="C61" s="16" t="s">
        <v>346</v>
      </c>
      <c r="D61" s="16" t="s">
        <v>135</v>
      </c>
      <c r="E61" s="16" t="str">
        <f>"0,6108"</f>
        <v>0,6108</v>
      </c>
      <c r="F61" s="16" t="s">
        <v>14</v>
      </c>
      <c r="G61" s="16" t="s">
        <v>962</v>
      </c>
      <c r="H61" s="133" t="s">
        <v>69</v>
      </c>
      <c r="I61" s="133" t="s">
        <v>72</v>
      </c>
      <c r="J61" s="68" t="s">
        <v>83</v>
      </c>
      <c r="K61" s="69"/>
      <c r="L61" s="55">
        <v>160</v>
      </c>
      <c r="M61" s="70" t="str">
        <f>"97,7280"</f>
        <v>97,7280</v>
      </c>
      <c r="N61" s="16" t="s">
        <v>63</v>
      </c>
    </row>
    <row r="62" spans="1:14" ht="12.75">
      <c r="A62" s="74"/>
      <c r="B62" s="18" t="s">
        <v>347</v>
      </c>
      <c r="C62" s="18" t="s">
        <v>348</v>
      </c>
      <c r="D62" s="18" t="s">
        <v>349</v>
      </c>
      <c r="E62" s="18" t="str">
        <f>"0,6163"</f>
        <v>0,6163</v>
      </c>
      <c r="F62" s="18" t="s">
        <v>14</v>
      </c>
      <c r="G62" s="18" t="s">
        <v>962</v>
      </c>
      <c r="H62" s="79" t="s">
        <v>69</v>
      </c>
      <c r="I62" s="77"/>
      <c r="J62" s="77"/>
      <c r="K62" s="77"/>
      <c r="L62" s="85">
        <v>0</v>
      </c>
      <c r="M62" s="78" t="s">
        <v>955</v>
      </c>
      <c r="N62" s="18" t="s">
        <v>63</v>
      </c>
    </row>
    <row r="63" spans="1:14" ht="12.75">
      <c r="A63" s="74">
        <v>1</v>
      </c>
      <c r="B63" s="18" t="s">
        <v>350</v>
      </c>
      <c r="C63" s="18" t="s">
        <v>351</v>
      </c>
      <c r="D63" s="18" t="s">
        <v>352</v>
      </c>
      <c r="E63" s="18" t="str">
        <f>"0,6086"</f>
        <v>0,6086</v>
      </c>
      <c r="F63" s="18" t="s">
        <v>14</v>
      </c>
      <c r="G63" s="18" t="s">
        <v>353</v>
      </c>
      <c r="H63" s="135" t="s">
        <v>151</v>
      </c>
      <c r="I63" s="135" t="s">
        <v>112</v>
      </c>
      <c r="J63" s="135" t="s">
        <v>128</v>
      </c>
      <c r="K63" s="77"/>
      <c r="L63" s="76">
        <v>197.5</v>
      </c>
      <c r="M63" s="78" t="str">
        <f>"120,1985"</f>
        <v>120,1985</v>
      </c>
      <c r="N63" s="18" t="s">
        <v>63</v>
      </c>
    </row>
    <row r="64" spans="1:14" ht="12.75">
      <c r="A64" s="74">
        <v>2</v>
      </c>
      <c r="B64" s="18" t="s">
        <v>354</v>
      </c>
      <c r="C64" s="18" t="s">
        <v>355</v>
      </c>
      <c r="D64" s="18" t="s">
        <v>356</v>
      </c>
      <c r="E64" s="18" t="str">
        <f>"0,6142"</f>
        <v>0,6142</v>
      </c>
      <c r="F64" s="18" t="s">
        <v>14</v>
      </c>
      <c r="G64" s="18" t="s">
        <v>962</v>
      </c>
      <c r="H64" s="135" t="s">
        <v>164</v>
      </c>
      <c r="I64" s="135" t="s">
        <v>69</v>
      </c>
      <c r="J64" s="135" t="s">
        <v>77</v>
      </c>
      <c r="K64" s="77"/>
      <c r="L64" s="76">
        <v>155</v>
      </c>
      <c r="M64" s="78" t="str">
        <f>"95,2010"</f>
        <v>95,2010</v>
      </c>
      <c r="N64" s="18" t="s">
        <v>63</v>
      </c>
    </row>
    <row r="65" spans="1:14" ht="12.75">
      <c r="A65" s="74">
        <v>3</v>
      </c>
      <c r="B65" s="18" t="s">
        <v>357</v>
      </c>
      <c r="C65" s="18" t="s">
        <v>358</v>
      </c>
      <c r="D65" s="18" t="s">
        <v>359</v>
      </c>
      <c r="E65" s="18" t="str">
        <f>"0,6301"</f>
        <v>0,6301</v>
      </c>
      <c r="F65" s="18" t="s">
        <v>248</v>
      </c>
      <c r="G65" s="18" t="s">
        <v>898</v>
      </c>
      <c r="H65" s="135" t="s">
        <v>107</v>
      </c>
      <c r="I65" s="135" t="s">
        <v>67</v>
      </c>
      <c r="J65" s="135" t="s">
        <v>68</v>
      </c>
      <c r="K65" s="77"/>
      <c r="L65" s="76">
        <v>142.5</v>
      </c>
      <c r="M65" s="78" t="str">
        <f>"89,7893"</f>
        <v>89,7893</v>
      </c>
      <c r="N65" s="18" t="s">
        <v>63</v>
      </c>
    </row>
    <row r="66" spans="1:14" ht="12.75">
      <c r="A66" s="54">
        <v>1</v>
      </c>
      <c r="B66" s="19" t="s">
        <v>360</v>
      </c>
      <c r="C66" s="19" t="s">
        <v>361</v>
      </c>
      <c r="D66" s="19" t="s">
        <v>362</v>
      </c>
      <c r="E66" s="19" t="str">
        <f>"0,6366"</f>
        <v>0,6366</v>
      </c>
      <c r="F66" s="19" t="s">
        <v>14</v>
      </c>
      <c r="G66" s="19" t="s">
        <v>1006</v>
      </c>
      <c r="H66" s="134" t="s">
        <v>106</v>
      </c>
      <c r="I66" s="71" t="s">
        <v>236</v>
      </c>
      <c r="J66" s="134" t="s">
        <v>236</v>
      </c>
      <c r="K66" s="72"/>
      <c r="L66" s="57">
        <v>125</v>
      </c>
      <c r="M66" s="73" t="str">
        <f>"81,8031"</f>
        <v>81,8031</v>
      </c>
      <c r="N66" s="19" t="s">
        <v>934</v>
      </c>
    </row>
    <row r="68" spans="2:13" ht="15">
      <c r="B68" s="160" t="s">
        <v>137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4" ht="12.75">
      <c r="A69" s="53">
        <v>1</v>
      </c>
      <c r="B69" s="16" t="s">
        <v>363</v>
      </c>
      <c r="C69" s="16" t="s">
        <v>364</v>
      </c>
      <c r="D69" s="16" t="s">
        <v>365</v>
      </c>
      <c r="E69" s="16" t="str">
        <f>"0,5893"</f>
        <v>0,5893</v>
      </c>
      <c r="F69" s="16" t="s">
        <v>14</v>
      </c>
      <c r="G69" s="16" t="s">
        <v>15</v>
      </c>
      <c r="H69" s="133" t="s">
        <v>127</v>
      </c>
      <c r="I69" s="133" t="s">
        <v>366</v>
      </c>
      <c r="J69" s="68" t="s">
        <v>60</v>
      </c>
      <c r="K69" s="69"/>
      <c r="L69" s="55">
        <v>182.5</v>
      </c>
      <c r="M69" s="70" t="str">
        <f>"107,5472"</f>
        <v>107,5472</v>
      </c>
      <c r="N69" s="16" t="s">
        <v>935</v>
      </c>
    </row>
    <row r="70" spans="1:14" ht="12.75">
      <c r="A70" s="74">
        <v>2</v>
      </c>
      <c r="B70" s="18" t="s">
        <v>367</v>
      </c>
      <c r="C70" s="18" t="s">
        <v>368</v>
      </c>
      <c r="D70" s="18" t="s">
        <v>369</v>
      </c>
      <c r="E70" s="18" t="str">
        <f>"0,5924"</f>
        <v>0,5924</v>
      </c>
      <c r="F70" s="18" t="s">
        <v>14</v>
      </c>
      <c r="G70" s="18" t="s">
        <v>1006</v>
      </c>
      <c r="H70" s="135" t="s">
        <v>88</v>
      </c>
      <c r="I70" s="135" t="s">
        <v>89</v>
      </c>
      <c r="J70" s="135" t="s">
        <v>127</v>
      </c>
      <c r="K70" s="77"/>
      <c r="L70" s="76">
        <v>180</v>
      </c>
      <c r="M70" s="78" t="str">
        <f>"106,6320"</f>
        <v>106,6320</v>
      </c>
      <c r="N70" s="18" t="s">
        <v>63</v>
      </c>
    </row>
    <row r="71" spans="1:14" ht="12.75">
      <c r="A71" s="74">
        <v>3</v>
      </c>
      <c r="B71" s="18" t="s">
        <v>370</v>
      </c>
      <c r="C71" s="18" t="s">
        <v>371</v>
      </c>
      <c r="D71" s="18" t="s">
        <v>372</v>
      </c>
      <c r="E71" s="18" t="str">
        <f>"0,6028"</f>
        <v>0,6028</v>
      </c>
      <c r="F71" s="18" t="s">
        <v>14</v>
      </c>
      <c r="G71" s="18" t="s">
        <v>962</v>
      </c>
      <c r="H71" s="135" t="s">
        <v>89</v>
      </c>
      <c r="I71" s="79" t="s">
        <v>127</v>
      </c>
      <c r="J71" s="79" t="s">
        <v>366</v>
      </c>
      <c r="K71" s="77"/>
      <c r="L71" s="76">
        <v>175</v>
      </c>
      <c r="M71" s="78" t="str">
        <f>"105,4900"</f>
        <v>105,4900</v>
      </c>
      <c r="N71" s="18" t="s">
        <v>63</v>
      </c>
    </row>
    <row r="72" spans="1:14" ht="12.75">
      <c r="A72" s="74">
        <v>4</v>
      </c>
      <c r="B72" s="18" t="s">
        <v>373</v>
      </c>
      <c r="C72" s="18" t="s">
        <v>374</v>
      </c>
      <c r="D72" s="18" t="s">
        <v>375</v>
      </c>
      <c r="E72" s="18" t="str">
        <f>"0,5914"</f>
        <v>0,5914</v>
      </c>
      <c r="F72" s="18" t="s">
        <v>248</v>
      </c>
      <c r="G72" s="18" t="s">
        <v>898</v>
      </c>
      <c r="H72" s="135" t="s">
        <v>67</v>
      </c>
      <c r="I72" s="135" t="s">
        <v>257</v>
      </c>
      <c r="J72" s="135" t="s">
        <v>100</v>
      </c>
      <c r="K72" s="77"/>
      <c r="L72" s="76">
        <v>152.5</v>
      </c>
      <c r="M72" s="78" t="str">
        <f>"90,1885"</f>
        <v>90,1885</v>
      </c>
      <c r="N72" s="18" t="s">
        <v>63</v>
      </c>
    </row>
    <row r="73" spans="1:14" ht="12.75">
      <c r="A73" s="74"/>
      <c r="B73" s="18" t="s">
        <v>376</v>
      </c>
      <c r="C73" s="18" t="s">
        <v>377</v>
      </c>
      <c r="D73" s="18" t="s">
        <v>378</v>
      </c>
      <c r="E73" s="18" t="str">
        <f>"0,5919"</f>
        <v>0,5919</v>
      </c>
      <c r="F73" s="18" t="s">
        <v>14</v>
      </c>
      <c r="G73" s="18" t="s">
        <v>962</v>
      </c>
      <c r="H73" s="79" t="s">
        <v>366</v>
      </c>
      <c r="I73" s="79" t="s">
        <v>366</v>
      </c>
      <c r="J73" s="79" t="s">
        <v>366</v>
      </c>
      <c r="K73" s="77"/>
      <c r="L73" s="85">
        <v>0</v>
      </c>
      <c r="M73" s="78" t="s">
        <v>955</v>
      </c>
      <c r="N73" s="18" t="s">
        <v>63</v>
      </c>
    </row>
    <row r="74" spans="1:14" ht="12.75">
      <c r="A74" s="74">
        <v>1</v>
      </c>
      <c r="B74" s="18" t="s">
        <v>367</v>
      </c>
      <c r="C74" s="18" t="s">
        <v>379</v>
      </c>
      <c r="D74" s="18" t="s">
        <v>369</v>
      </c>
      <c r="E74" s="18" t="str">
        <f>"0,5924"</f>
        <v>0,5924</v>
      </c>
      <c r="F74" s="18" t="s">
        <v>14</v>
      </c>
      <c r="G74" s="18" t="s">
        <v>1006</v>
      </c>
      <c r="H74" s="135" t="s">
        <v>88</v>
      </c>
      <c r="I74" s="135" t="s">
        <v>89</v>
      </c>
      <c r="J74" s="135" t="s">
        <v>127</v>
      </c>
      <c r="K74" s="116"/>
      <c r="L74" s="76">
        <v>180</v>
      </c>
      <c r="M74" s="78" t="str">
        <f>"109,6177"</f>
        <v>109,6177</v>
      </c>
      <c r="N74" s="18" t="s">
        <v>63</v>
      </c>
    </row>
    <row r="75" spans="1:14" ht="12.75">
      <c r="A75" s="74">
        <v>2</v>
      </c>
      <c r="B75" s="18" t="s">
        <v>380</v>
      </c>
      <c r="C75" s="18" t="s">
        <v>381</v>
      </c>
      <c r="D75" s="18" t="s">
        <v>382</v>
      </c>
      <c r="E75" s="18" t="str">
        <f>"0,5902"</f>
        <v>0,5902</v>
      </c>
      <c r="F75" s="18" t="s">
        <v>32</v>
      </c>
      <c r="G75" s="18" t="s">
        <v>962</v>
      </c>
      <c r="H75" s="135" t="s">
        <v>155</v>
      </c>
      <c r="I75" s="77"/>
      <c r="J75" s="77"/>
      <c r="K75" s="77"/>
      <c r="L75" s="76">
        <v>167.5</v>
      </c>
      <c r="M75" s="78" t="str">
        <f>"98,8585"</f>
        <v>98,8585</v>
      </c>
      <c r="N75" s="18" t="s">
        <v>383</v>
      </c>
    </row>
    <row r="76" spans="1:14" ht="12.75">
      <c r="A76" s="74">
        <v>1</v>
      </c>
      <c r="B76" s="18" t="s">
        <v>384</v>
      </c>
      <c r="C76" s="18" t="s">
        <v>385</v>
      </c>
      <c r="D76" s="18" t="s">
        <v>386</v>
      </c>
      <c r="E76" s="18" t="str">
        <f>"0,5946"</f>
        <v>0,5946</v>
      </c>
      <c r="F76" s="18" t="s">
        <v>38</v>
      </c>
      <c r="G76" s="18" t="s">
        <v>962</v>
      </c>
      <c r="H76" s="135" t="s">
        <v>164</v>
      </c>
      <c r="I76" s="79" t="s">
        <v>76</v>
      </c>
      <c r="J76" s="135" t="s">
        <v>69</v>
      </c>
      <c r="K76" s="77"/>
      <c r="L76" s="76">
        <v>150</v>
      </c>
      <c r="M76" s="78" t="str">
        <f>"99,3577"</f>
        <v>99,3577</v>
      </c>
      <c r="N76" s="18" t="s">
        <v>63</v>
      </c>
    </row>
    <row r="77" spans="1:14" ht="12.75">
      <c r="A77" s="54">
        <v>1</v>
      </c>
      <c r="B77" s="19" t="s">
        <v>387</v>
      </c>
      <c r="C77" s="19" t="s">
        <v>388</v>
      </c>
      <c r="D77" s="19" t="s">
        <v>389</v>
      </c>
      <c r="E77" s="19" t="str">
        <f>"0,5982"</f>
        <v>0,5982</v>
      </c>
      <c r="F77" s="19" t="s">
        <v>14</v>
      </c>
      <c r="G77" s="19" t="s">
        <v>962</v>
      </c>
      <c r="H77" s="134" t="s">
        <v>76</v>
      </c>
      <c r="I77" s="134" t="s">
        <v>100</v>
      </c>
      <c r="J77" s="134" t="s">
        <v>77</v>
      </c>
      <c r="K77" s="72"/>
      <c r="L77" s="57">
        <v>155</v>
      </c>
      <c r="M77" s="73" t="str">
        <f>"106,6292"</f>
        <v>106,6292</v>
      </c>
      <c r="N77" s="19" t="s">
        <v>63</v>
      </c>
    </row>
    <row r="79" spans="2:13" ht="15">
      <c r="B79" s="160" t="s">
        <v>165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</row>
    <row r="80" spans="1:14" ht="12.75">
      <c r="A80" s="53">
        <v>1</v>
      </c>
      <c r="B80" s="16" t="s">
        <v>390</v>
      </c>
      <c r="C80" s="16" t="s">
        <v>391</v>
      </c>
      <c r="D80" s="16" t="s">
        <v>392</v>
      </c>
      <c r="E80" s="16" t="str">
        <f>"0,5754"</f>
        <v>0,5754</v>
      </c>
      <c r="F80" s="16" t="s">
        <v>14</v>
      </c>
      <c r="G80" s="16" t="s">
        <v>962</v>
      </c>
      <c r="H80" s="133" t="s">
        <v>151</v>
      </c>
      <c r="I80" s="133" t="s">
        <v>62</v>
      </c>
      <c r="J80" s="68" t="s">
        <v>141</v>
      </c>
      <c r="K80" s="69"/>
      <c r="L80" s="55">
        <v>200</v>
      </c>
      <c r="M80" s="70" t="str">
        <f>"115,0800"</f>
        <v>115,0800</v>
      </c>
      <c r="N80" s="16" t="s">
        <v>393</v>
      </c>
    </row>
    <row r="81" spans="1:14" ht="12.75">
      <c r="A81" s="74">
        <v>2</v>
      </c>
      <c r="B81" s="18" t="s">
        <v>394</v>
      </c>
      <c r="C81" s="18" t="s">
        <v>395</v>
      </c>
      <c r="D81" s="18" t="s">
        <v>396</v>
      </c>
      <c r="E81" s="18" t="str">
        <f>"0,5843"</f>
        <v>0,5843</v>
      </c>
      <c r="F81" s="18" t="s">
        <v>14</v>
      </c>
      <c r="G81" s="18" t="s">
        <v>962</v>
      </c>
      <c r="H81" s="135" t="s">
        <v>127</v>
      </c>
      <c r="I81" s="135" t="s">
        <v>112</v>
      </c>
      <c r="J81" s="79" t="s">
        <v>62</v>
      </c>
      <c r="K81" s="77"/>
      <c r="L81" s="76">
        <v>195</v>
      </c>
      <c r="M81" s="78" t="str">
        <f>"113,9385"</f>
        <v>113,9385</v>
      </c>
      <c r="N81" s="18" t="s">
        <v>63</v>
      </c>
    </row>
    <row r="82" spans="1:14" ht="12.75">
      <c r="A82" s="74">
        <v>3</v>
      </c>
      <c r="B82" s="18" t="s">
        <v>397</v>
      </c>
      <c r="C82" s="18" t="s">
        <v>398</v>
      </c>
      <c r="D82" s="18" t="s">
        <v>399</v>
      </c>
      <c r="E82" s="18" t="str">
        <f>"0,5723"</f>
        <v>0,5723</v>
      </c>
      <c r="F82" s="18" t="s">
        <v>14</v>
      </c>
      <c r="G82" s="18" t="s">
        <v>962</v>
      </c>
      <c r="H82" s="135" t="s">
        <v>127</v>
      </c>
      <c r="I82" s="135" t="s">
        <v>151</v>
      </c>
      <c r="J82" s="79" t="s">
        <v>62</v>
      </c>
      <c r="K82" s="77"/>
      <c r="L82" s="76">
        <v>190</v>
      </c>
      <c r="M82" s="78" t="str">
        <f>"108,7370"</f>
        <v>108,7370</v>
      </c>
      <c r="N82" s="18" t="s">
        <v>63</v>
      </c>
    </row>
    <row r="83" spans="1:14" ht="12.75">
      <c r="A83" s="54">
        <v>1</v>
      </c>
      <c r="B83" s="19" t="s">
        <v>390</v>
      </c>
      <c r="C83" s="19" t="s">
        <v>400</v>
      </c>
      <c r="D83" s="19" t="s">
        <v>392</v>
      </c>
      <c r="E83" s="19" t="str">
        <f>"0,5754"</f>
        <v>0,5754</v>
      </c>
      <c r="F83" s="19" t="s">
        <v>14</v>
      </c>
      <c r="G83" s="19" t="s">
        <v>962</v>
      </c>
      <c r="H83" s="134" t="s">
        <v>151</v>
      </c>
      <c r="I83" s="134" t="s">
        <v>62</v>
      </c>
      <c r="J83" s="71" t="s">
        <v>141</v>
      </c>
      <c r="K83" s="72"/>
      <c r="L83" s="57">
        <v>200</v>
      </c>
      <c r="M83" s="73" t="str">
        <f>"120,1435"</f>
        <v>120,1435</v>
      </c>
      <c r="N83" s="19" t="s">
        <v>393</v>
      </c>
    </row>
    <row r="85" spans="2:13" ht="15">
      <c r="B85" s="160" t="s">
        <v>401</v>
      </c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</row>
    <row r="86" spans="1:14" ht="12.75">
      <c r="A86" s="59">
        <v>1</v>
      </c>
      <c r="B86" s="21" t="s">
        <v>402</v>
      </c>
      <c r="C86" s="21" t="s">
        <v>403</v>
      </c>
      <c r="D86" s="21" t="s">
        <v>404</v>
      </c>
      <c r="E86" s="21" t="str">
        <f>"0,5652"</f>
        <v>0,5652</v>
      </c>
      <c r="F86" s="21" t="s">
        <v>32</v>
      </c>
      <c r="G86" s="21" t="s">
        <v>962</v>
      </c>
      <c r="H86" s="89" t="s">
        <v>405</v>
      </c>
      <c r="I86" s="89" t="s">
        <v>366</v>
      </c>
      <c r="J86" s="65" t="s">
        <v>132</v>
      </c>
      <c r="K86" s="66"/>
      <c r="L86" s="64">
        <v>182.5</v>
      </c>
      <c r="M86" s="62" t="str">
        <f>"103,1490"</f>
        <v>103,1490</v>
      </c>
      <c r="N86" s="21" t="s">
        <v>63</v>
      </c>
    </row>
    <row r="88" spans="2:3" ht="18">
      <c r="B88" s="15" t="s">
        <v>177</v>
      </c>
      <c r="C88" s="15"/>
    </row>
    <row r="90" spans="2:3" ht="14.25">
      <c r="B90" s="24"/>
      <c r="C90" s="25" t="s">
        <v>178</v>
      </c>
    </row>
    <row r="91" spans="2:6" ht="15">
      <c r="B91" s="26" t="s">
        <v>179</v>
      </c>
      <c r="C91" s="26" t="s">
        <v>180</v>
      </c>
      <c r="D91" s="26" t="s">
        <v>181</v>
      </c>
      <c r="E91" s="26" t="s">
        <v>182</v>
      </c>
      <c r="F91" s="26" t="s">
        <v>183</v>
      </c>
    </row>
    <row r="92" spans="1:6" ht="12.75">
      <c r="A92" s="75">
        <v>1</v>
      </c>
      <c r="B92" s="23" t="s">
        <v>265</v>
      </c>
      <c r="C92" s="51" t="s">
        <v>178</v>
      </c>
      <c r="D92" s="67" t="s">
        <v>1000</v>
      </c>
      <c r="E92" s="67" t="s">
        <v>117</v>
      </c>
      <c r="F92" s="67" t="s">
        <v>406</v>
      </c>
    </row>
    <row r="93" spans="1:6" ht="12.75">
      <c r="A93" s="75">
        <v>2</v>
      </c>
      <c r="B93" s="23" t="s">
        <v>245</v>
      </c>
      <c r="C93" s="51" t="s">
        <v>178</v>
      </c>
      <c r="D93" s="67" t="s">
        <v>1007</v>
      </c>
      <c r="E93" s="67" t="s">
        <v>89</v>
      </c>
      <c r="F93" s="67" t="s">
        <v>407</v>
      </c>
    </row>
    <row r="94" spans="1:6" ht="12.75">
      <c r="A94" s="75">
        <v>3</v>
      </c>
      <c r="B94" s="23" t="s">
        <v>350</v>
      </c>
      <c r="C94" s="51" t="s">
        <v>178</v>
      </c>
      <c r="D94" s="67" t="s">
        <v>1001</v>
      </c>
      <c r="E94" s="67" t="s">
        <v>128</v>
      </c>
      <c r="F94" s="67" t="s">
        <v>408</v>
      </c>
    </row>
    <row r="96" spans="2:3" ht="14.25">
      <c r="B96" s="24"/>
      <c r="C96" s="25" t="s">
        <v>188</v>
      </c>
    </row>
    <row r="97" spans="2:6" ht="15">
      <c r="B97" s="26" t="s">
        <v>179</v>
      </c>
      <c r="C97" s="26" t="s">
        <v>180</v>
      </c>
      <c r="D97" s="26" t="s">
        <v>181</v>
      </c>
      <c r="E97" s="26" t="s">
        <v>182</v>
      </c>
      <c r="F97" s="26" t="s">
        <v>183</v>
      </c>
    </row>
    <row r="98" spans="1:6" ht="12.75">
      <c r="A98" s="75">
        <v>1</v>
      </c>
      <c r="B98" s="23" t="s">
        <v>390</v>
      </c>
      <c r="C98" s="51" t="s">
        <v>189</v>
      </c>
      <c r="D98" s="67" t="s">
        <v>996</v>
      </c>
      <c r="E98" s="67" t="s">
        <v>62</v>
      </c>
      <c r="F98" s="67" t="s">
        <v>409</v>
      </c>
    </row>
    <row r="99" spans="1:6" ht="12.75">
      <c r="A99" s="75">
        <v>2</v>
      </c>
      <c r="B99" s="23" t="s">
        <v>323</v>
      </c>
      <c r="C99" s="51" t="s">
        <v>189</v>
      </c>
      <c r="D99" s="67" t="s">
        <v>997</v>
      </c>
      <c r="E99" s="67" t="s">
        <v>89</v>
      </c>
      <c r="F99" s="67" t="s">
        <v>410</v>
      </c>
    </row>
    <row r="100" spans="1:6" ht="12.75">
      <c r="A100" s="75">
        <v>3</v>
      </c>
      <c r="B100" s="23" t="s">
        <v>367</v>
      </c>
      <c r="C100" s="51" t="s">
        <v>189</v>
      </c>
      <c r="D100" s="67" t="s">
        <v>999</v>
      </c>
      <c r="E100" s="67" t="s">
        <v>127</v>
      </c>
      <c r="F100" s="67" t="s">
        <v>411</v>
      </c>
    </row>
  </sheetData>
  <sheetProtection/>
  <mergeCells count="23">
    <mergeCell ref="B85:M85"/>
    <mergeCell ref="B18:M18"/>
    <mergeCell ref="B22:M22"/>
    <mergeCell ref="B31:M31"/>
    <mergeCell ref="B43:M43"/>
    <mergeCell ref="B60:M60"/>
    <mergeCell ref="B68:M68"/>
    <mergeCell ref="M3:M4"/>
    <mergeCell ref="N3:N4"/>
    <mergeCell ref="B5:M5"/>
    <mergeCell ref="B11:M11"/>
    <mergeCell ref="B15:M15"/>
    <mergeCell ref="B79:M79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23.25390625" style="100" customWidth="1"/>
    <col min="3" max="3" width="27.125" style="5" bestFit="1" customWidth="1"/>
    <col min="4" max="4" width="10.625" style="5" bestFit="1" customWidth="1"/>
    <col min="5" max="5" width="8.375" style="5" bestFit="1" customWidth="1"/>
    <col min="6" max="6" width="22.75390625" style="5" bestFit="1" customWidth="1"/>
    <col min="7" max="7" width="36.75390625" style="5" customWidth="1"/>
    <col min="8" max="10" width="5.625" style="50" bestFit="1" customWidth="1"/>
    <col min="11" max="11" width="4.625" style="50" bestFit="1" customWidth="1"/>
    <col min="12" max="12" width="11.375" style="50" customWidth="1"/>
    <col min="13" max="13" width="8.625" style="50" bestFit="1" customWidth="1"/>
    <col min="14" max="14" width="23.00390625" style="5" bestFit="1" customWidth="1"/>
    <col min="15" max="16384" width="9.125" style="1" customWidth="1"/>
  </cols>
  <sheetData>
    <row r="1" spans="2:14" ht="15" customHeight="1">
      <c r="B1" s="149" t="s">
        <v>977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ht="86.2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7">
        <v>1</v>
      </c>
      <c r="I4" s="37">
        <v>2</v>
      </c>
      <c r="J4" s="37">
        <v>3</v>
      </c>
      <c r="K4" s="37" t="s">
        <v>8</v>
      </c>
      <c r="L4" s="143"/>
      <c r="M4" s="143"/>
      <c r="N4" s="147"/>
    </row>
    <row r="5" spans="2:13" ht="15">
      <c r="B5" s="167" t="s">
        <v>10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42" t="s">
        <v>953</v>
      </c>
      <c r="B6" s="97" t="s">
        <v>11</v>
      </c>
      <c r="C6" s="6" t="s">
        <v>12</v>
      </c>
      <c r="D6" s="6" t="s">
        <v>13</v>
      </c>
      <c r="E6" s="6" t="str">
        <f>"1,2159"</f>
        <v>1,2159</v>
      </c>
      <c r="F6" s="6" t="s">
        <v>14</v>
      </c>
      <c r="G6" s="6" t="s">
        <v>15</v>
      </c>
      <c r="H6" s="89" t="s">
        <v>16</v>
      </c>
      <c r="I6" s="108" t="s">
        <v>17</v>
      </c>
      <c r="J6" s="108" t="s">
        <v>17</v>
      </c>
      <c r="K6" s="109"/>
      <c r="L6" s="42" t="s">
        <v>16</v>
      </c>
      <c r="M6" s="42" t="str">
        <f>"72,9540"</f>
        <v>72,9540</v>
      </c>
      <c r="N6" s="6" t="s">
        <v>63</v>
      </c>
    </row>
    <row r="8" spans="2:13" ht="15">
      <c r="B8" s="168" t="s">
        <v>18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42" t="s">
        <v>953</v>
      </c>
      <c r="B9" s="97" t="s">
        <v>19</v>
      </c>
      <c r="C9" s="6" t="s">
        <v>20</v>
      </c>
      <c r="D9" s="6" t="s">
        <v>21</v>
      </c>
      <c r="E9" s="6" t="str">
        <f>"1,0374"</f>
        <v>1,0374</v>
      </c>
      <c r="F9" s="6" t="s">
        <v>22</v>
      </c>
      <c r="G9" s="6" t="s">
        <v>995</v>
      </c>
      <c r="H9" s="89" t="s">
        <v>24</v>
      </c>
      <c r="I9" s="89" t="s">
        <v>25</v>
      </c>
      <c r="J9" s="108" t="s">
        <v>26</v>
      </c>
      <c r="K9" s="109"/>
      <c r="L9" s="42" t="s">
        <v>25</v>
      </c>
      <c r="M9" s="42" t="str">
        <f>"90,7725"</f>
        <v>90,7725</v>
      </c>
      <c r="N9" s="6" t="s">
        <v>27</v>
      </c>
    </row>
    <row r="11" spans="2:13" ht="15">
      <c r="B11" s="168" t="s">
        <v>28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2.75">
      <c r="A12" s="43" t="s">
        <v>953</v>
      </c>
      <c r="B12" s="98" t="s">
        <v>29</v>
      </c>
      <c r="C12" s="8" t="s">
        <v>30</v>
      </c>
      <c r="D12" s="8" t="s">
        <v>31</v>
      </c>
      <c r="E12" s="8" t="str">
        <f>"0,9563"</f>
        <v>0,9563</v>
      </c>
      <c r="F12" s="8" t="s">
        <v>32</v>
      </c>
      <c r="G12" s="8" t="s">
        <v>962</v>
      </c>
      <c r="H12" s="133" t="s">
        <v>17</v>
      </c>
      <c r="I12" s="133" t="s">
        <v>33</v>
      </c>
      <c r="J12" s="110" t="s">
        <v>34</v>
      </c>
      <c r="K12" s="111"/>
      <c r="L12" s="43" t="s">
        <v>33</v>
      </c>
      <c r="M12" s="43" t="str">
        <f>"74,1133"</f>
        <v>74,1133</v>
      </c>
      <c r="N12" s="8" t="s">
        <v>936</v>
      </c>
    </row>
    <row r="13" spans="1:14" ht="12.75">
      <c r="A13" s="44" t="s">
        <v>954</v>
      </c>
      <c r="B13" s="99" t="s">
        <v>35</v>
      </c>
      <c r="C13" s="10" t="s">
        <v>36</v>
      </c>
      <c r="D13" s="10" t="s">
        <v>37</v>
      </c>
      <c r="E13" s="10" t="str">
        <f>"0,9571"</f>
        <v>0,9571</v>
      </c>
      <c r="F13" s="10" t="s">
        <v>38</v>
      </c>
      <c r="G13" s="10" t="s">
        <v>962</v>
      </c>
      <c r="H13" s="134" t="s">
        <v>39</v>
      </c>
      <c r="I13" s="112" t="s">
        <v>34</v>
      </c>
      <c r="J13" s="112" t="s">
        <v>24</v>
      </c>
      <c r="K13" s="113"/>
      <c r="L13" s="44" t="s">
        <v>39</v>
      </c>
      <c r="M13" s="44" t="str">
        <f>"71,7825"</f>
        <v>71,7825</v>
      </c>
      <c r="N13" s="10" t="s">
        <v>63</v>
      </c>
    </row>
    <row r="15" spans="2:13" ht="15">
      <c r="B15" s="168" t="s">
        <v>40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4" ht="12.75">
      <c r="A16" s="42" t="s">
        <v>953</v>
      </c>
      <c r="B16" s="97" t="s">
        <v>41</v>
      </c>
      <c r="C16" s="6" t="s">
        <v>42</v>
      </c>
      <c r="D16" s="6" t="s">
        <v>43</v>
      </c>
      <c r="E16" s="6" t="str">
        <f>"0,9444"</f>
        <v>0,9444</v>
      </c>
      <c r="F16" s="6" t="s">
        <v>14</v>
      </c>
      <c r="G16" s="6" t="s">
        <v>995</v>
      </c>
      <c r="H16" s="108" t="s">
        <v>44</v>
      </c>
      <c r="I16" s="108" t="s">
        <v>45</v>
      </c>
      <c r="J16" s="89" t="s">
        <v>45</v>
      </c>
      <c r="K16" s="109"/>
      <c r="L16" s="42" t="s">
        <v>45</v>
      </c>
      <c r="M16" s="42" t="str">
        <f>"87,3570"</f>
        <v>87,3570</v>
      </c>
      <c r="N16" s="6" t="s">
        <v>63</v>
      </c>
    </row>
    <row r="17" spans="8:9" ht="12.75">
      <c r="H17" s="114"/>
      <c r="I17" s="114"/>
    </row>
    <row r="18" spans="2:13" ht="15">
      <c r="B18" s="168" t="s">
        <v>10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1:14" ht="12.75">
      <c r="A19" s="42" t="s">
        <v>953</v>
      </c>
      <c r="B19" s="97" t="s">
        <v>46</v>
      </c>
      <c r="C19" s="6" t="s">
        <v>47</v>
      </c>
      <c r="D19" s="6" t="s">
        <v>48</v>
      </c>
      <c r="E19" s="6" t="str">
        <f>"0,9474"</f>
        <v>0,9474</v>
      </c>
      <c r="F19" s="6" t="s">
        <v>14</v>
      </c>
      <c r="G19" s="6" t="s">
        <v>1009</v>
      </c>
      <c r="H19" s="89" t="s">
        <v>49</v>
      </c>
      <c r="I19" s="89" t="s">
        <v>50</v>
      </c>
      <c r="J19" s="89" t="s">
        <v>16</v>
      </c>
      <c r="K19" s="109"/>
      <c r="L19" s="42" t="s">
        <v>16</v>
      </c>
      <c r="M19" s="42" t="str">
        <f>"56,8440"</f>
        <v>56,8440</v>
      </c>
      <c r="N19" s="6" t="s">
        <v>937</v>
      </c>
    </row>
    <row r="21" spans="2:13" ht="15">
      <c r="B21" s="168" t="s">
        <v>18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4" ht="12.75">
      <c r="A22" s="42" t="s">
        <v>953</v>
      </c>
      <c r="B22" s="97" t="s">
        <v>51</v>
      </c>
      <c r="C22" s="6" t="s">
        <v>52</v>
      </c>
      <c r="D22" s="6" t="s">
        <v>53</v>
      </c>
      <c r="E22" s="6" t="str">
        <f>"0,7756"</f>
        <v>0,7756</v>
      </c>
      <c r="F22" s="6" t="s">
        <v>14</v>
      </c>
      <c r="G22" s="6" t="s">
        <v>54</v>
      </c>
      <c r="H22" s="89" t="s">
        <v>55</v>
      </c>
      <c r="I22" s="89" t="s">
        <v>34</v>
      </c>
      <c r="J22" s="109"/>
      <c r="K22" s="109"/>
      <c r="L22" s="42" t="s">
        <v>34</v>
      </c>
      <c r="M22" s="42" t="str">
        <f>"62,0480"</f>
        <v>62,0480</v>
      </c>
      <c r="N22" s="6" t="s">
        <v>63</v>
      </c>
    </row>
    <row r="24" spans="2:13" ht="15">
      <c r="B24" s="168" t="s">
        <v>40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4" ht="12.75">
      <c r="A25" s="43" t="s">
        <v>953</v>
      </c>
      <c r="B25" s="98" t="s">
        <v>56</v>
      </c>
      <c r="C25" s="8" t="s">
        <v>57</v>
      </c>
      <c r="D25" s="8" t="s">
        <v>58</v>
      </c>
      <c r="E25" s="8" t="str">
        <f>"0,6769"</f>
        <v>0,6769</v>
      </c>
      <c r="F25" s="8" t="s">
        <v>59</v>
      </c>
      <c r="G25" s="8" t="s">
        <v>962</v>
      </c>
      <c r="H25" s="133" t="s">
        <v>60</v>
      </c>
      <c r="I25" s="133" t="s">
        <v>61</v>
      </c>
      <c r="J25" s="133" t="s">
        <v>62</v>
      </c>
      <c r="K25" s="111"/>
      <c r="L25" s="43" t="s">
        <v>62</v>
      </c>
      <c r="M25" s="43" t="str">
        <f>"135,3800"</f>
        <v>135,3800</v>
      </c>
      <c r="N25" s="8" t="s">
        <v>63</v>
      </c>
    </row>
    <row r="26" spans="1:14" ht="12.75">
      <c r="A26" s="45" t="s">
        <v>954</v>
      </c>
      <c r="B26" s="101" t="s">
        <v>64</v>
      </c>
      <c r="C26" s="11" t="s">
        <v>65</v>
      </c>
      <c r="D26" s="11" t="s">
        <v>66</v>
      </c>
      <c r="E26" s="11" t="str">
        <f>"0,6800"</f>
        <v>0,6800</v>
      </c>
      <c r="F26" s="11" t="s">
        <v>14</v>
      </c>
      <c r="G26" s="11" t="s">
        <v>1010</v>
      </c>
      <c r="H26" s="135" t="s">
        <v>67</v>
      </c>
      <c r="I26" s="135" t="s">
        <v>68</v>
      </c>
      <c r="J26" s="115" t="s">
        <v>69</v>
      </c>
      <c r="K26" s="116"/>
      <c r="L26" s="45" t="s">
        <v>68</v>
      </c>
      <c r="M26" s="45" t="str">
        <f>"96,9000"</f>
        <v>96,9000</v>
      </c>
      <c r="N26" s="11" t="s">
        <v>63</v>
      </c>
    </row>
    <row r="27" spans="1:14" ht="12.75">
      <c r="A27" s="45"/>
      <c r="B27" s="101" t="s">
        <v>70</v>
      </c>
      <c r="C27" s="11" t="s">
        <v>71</v>
      </c>
      <c r="D27" s="11" t="s">
        <v>66</v>
      </c>
      <c r="E27" s="11" t="str">
        <f>"0,6800"</f>
        <v>0,6800</v>
      </c>
      <c r="F27" s="11" t="s">
        <v>14</v>
      </c>
      <c r="G27" s="11" t="s">
        <v>962</v>
      </c>
      <c r="H27" s="115" t="s">
        <v>72</v>
      </c>
      <c r="I27" s="115" t="s">
        <v>72</v>
      </c>
      <c r="J27" s="115" t="s">
        <v>72</v>
      </c>
      <c r="K27" s="116"/>
      <c r="L27" s="45" t="s">
        <v>955</v>
      </c>
      <c r="M27" s="45" t="s">
        <v>955</v>
      </c>
      <c r="N27" s="11" t="s">
        <v>63</v>
      </c>
    </row>
    <row r="28" spans="1:14" ht="12.75">
      <c r="A28" s="44" t="s">
        <v>953</v>
      </c>
      <c r="B28" s="99" t="s">
        <v>73</v>
      </c>
      <c r="C28" s="10" t="s">
        <v>74</v>
      </c>
      <c r="D28" s="10" t="s">
        <v>75</v>
      </c>
      <c r="E28" s="10" t="str">
        <f>"0,6785"</f>
        <v>0,6785</v>
      </c>
      <c r="F28" s="10" t="s">
        <v>14</v>
      </c>
      <c r="G28" s="10" t="s">
        <v>960</v>
      </c>
      <c r="H28" s="134" t="s">
        <v>76</v>
      </c>
      <c r="I28" s="134" t="s">
        <v>69</v>
      </c>
      <c r="J28" s="112" t="s">
        <v>77</v>
      </c>
      <c r="K28" s="113"/>
      <c r="L28" s="44" t="s">
        <v>69</v>
      </c>
      <c r="M28" s="44" t="str">
        <f>"120,8069"</f>
        <v>120,8069</v>
      </c>
      <c r="N28" s="10" t="s">
        <v>63</v>
      </c>
    </row>
    <row r="30" spans="2:13" ht="15">
      <c r="B30" s="168" t="s">
        <v>78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1:14" ht="12.75">
      <c r="A31" s="43" t="s">
        <v>953</v>
      </c>
      <c r="B31" s="98" t="s">
        <v>79</v>
      </c>
      <c r="C31" s="8" t="s">
        <v>80</v>
      </c>
      <c r="D31" s="8" t="s">
        <v>81</v>
      </c>
      <c r="E31" s="8" t="str">
        <f>"0,6402"</f>
        <v>0,6402</v>
      </c>
      <c r="F31" s="8" t="s">
        <v>14</v>
      </c>
      <c r="G31" s="8" t="s">
        <v>82</v>
      </c>
      <c r="H31" s="133" t="s">
        <v>77</v>
      </c>
      <c r="I31" s="110" t="s">
        <v>83</v>
      </c>
      <c r="J31" s="110" t="s">
        <v>84</v>
      </c>
      <c r="K31" s="111"/>
      <c r="L31" s="43" t="s">
        <v>77</v>
      </c>
      <c r="M31" s="43" t="str">
        <f>"99,2310"</f>
        <v>99,2310</v>
      </c>
      <c r="N31" s="8" t="s">
        <v>63</v>
      </c>
    </row>
    <row r="32" spans="1:14" ht="12.75">
      <c r="A32" s="45" t="s">
        <v>953</v>
      </c>
      <c r="B32" s="101" t="s">
        <v>85</v>
      </c>
      <c r="C32" s="11" t="s">
        <v>86</v>
      </c>
      <c r="D32" s="11" t="s">
        <v>87</v>
      </c>
      <c r="E32" s="11" t="str">
        <f>"0,6436"</f>
        <v>0,6436</v>
      </c>
      <c r="F32" s="11" t="s">
        <v>14</v>
      </c>
      <c r="G32" s="11" t="s">
        <v>960</v>
      </c>
      <c r="H32" s="135" t="s">
        <v>72</v>
      </c>
      <c r="I32" s="135" t="s">
        <v>88</v>
      </c>
      <c r="J32" s="115" t="s">
        <v>89</v>
      </c>
      <c r="K32" s="116"/>
      <c r="L32" s="45" t="s">
        <v>88</v>
      </c>
      <c r="M32" s="45" t="str">
        <f>"109,4120"</f>
        <v>109,4120</v>
      </c>
      <c r="N32" s="11" t="s">
        <v>63</v>
      </c>
    </row>
    <row r="33" spans="1:14" ht="12.75">
      <c r="A33" s="45" t="s">
        <v>954</v>
      </c>
      <c r="B33" s="101" t="s">
        <v>90</v>
      </c>
      <c r="C33" s="11" t="s">
        <v>91</v>
      </c>
      <c r="D33" s="11" t="s">
        <v>92</v>
      </c>
      <c r="E33" s="11" t="str">
        <f>"0,6479"</f>
        <v>0,6479</v>
      </c>
      <c r="F33" s="11" t="s">
        <v>14</v>
      </c>
      <c r="G33" s="11" t="s">
        <v>962</v>
      </c>
      <c r="H33" s="115" t="s">
        <v>84</v>
      </c>
      <c r="I33" s="135" t="s">
        <v>84</v>
      </c>
      <c r="J33" s="115" t="s">
        <v>89</v>
      </c>
      <c r="K33" s="116"/>
      <c r="L33" s="45" t="s">
        <v>84</v>
      </c>
      <c r="M33" s="45" t="str">
        <f>"106,9035"</f>
        <v>106,9035</v>
      </c>
      <c r="N33" s="11" t="s">
        <v>938</v>
      </c>
    </row>
    <row r="34" spans="1:14" ht="12.75">
      <c r="A34" s="45" t="s">
        <v>956</v>
      </c>
      <c r="B34" s="101" t="s">
        <v>93</v>
      </c>
      <c r="C34" s="11" t="s">
        <v>94</v>
      </c>
      <c r="D34" s="11" t="s">
        <v>95</v>
      </c>
      <c r="E34" s="11" t="str">
        <f>"0,6499"</f>
        <v>0,6499</v>
      </c>
      <c r="F34" s="11" t="s">
        <v>96</v>
      </c>
      <c r="G34" s="11" t="s">
        <v>960</v>
      </c>
      <c r="H34" s="135" t="s">
        <v>77</v>
      </c>
      <c r="I34" s="135" t="s">
        <v>72</v>
      </c>
      <c r="J34" s="115" t="s">
        <v>84</v>
      </c>
      <c r="K34" s="116"/>
      <c r="L34" s="45" t="s">
        <v>72</v>
      </c>
      <c r="M34" s="45" t="str">
        <f>"103,9840"</f>
        <v>103,9840</v>
      </c>
      <c r="N34" s="11" t="s">
        <v>63</v>
      </c>
    </row>
    <row r="35" spans="1:14" ht="12.75">
      <c r="A35" s="45" t="s">
        <v>953</v>
      </c>
      <c r="B35" s="101" t="s">
        <v>97</v>
      </c>
      <c r="C35" s="11" t="s">
        <v>98</v>
      </c>
      <c r="D35" s="11" t="s">
        <v>99</v>
      </c>
      <c r="E35" s="11" t="str">
        <f>"0,6483"</f>
        <v>0,6483</v>
      </c>
      <c r="F35" s="11" t="s">
        <v>14</v>
      </c>
      <c r="G35" s="11" t="s">
        <v>960</v>
      </c>
      <c r="H35" s="135" t="s">
        <v>76</v>
      </c>
      <c r="I35" s="135" t="s">
        <v>100</v>
      </c>
      <c r="J35" s="135" t="s">
        <v>101</v>
      </c>
      <c r="K35" s="116"/>
      <c r="L35" s="45" t="s">
        <v>101</v>
      </c>
      <c r="M35" s="45" t="str">
        <f>"106,6000"</f>
        <v>106,6000</v>
      </c>
      <c r="N35" s="11" t="s">
        <v>63</v>
      </c>
    </row>
    <row r="36" spans="1:14" ht="12.75">
      <c r="A36" s="44" t="s">
        <v>953</v>
      </c>
      <c r="B36" s="99" t="s">
        <v>102</v>
      </c>
      <c r="C36" s="10" t="s">
        <v>103</v>
      </c>
      <c r="D36" s="10" t="s">
        <v>104</v>
      </c>
      <c r="E36" s="10" t="str">
        <f>"0,6515"</f>
        <v>0,6515</v>
      </c>
      <c r="F36" s="10" t="s">
        <v>14</v>
      </c>
      <c r="G36" s="11" t="s">
        <v>960</v>
      </c>
      <c r="H36" s="112" t="s">
        <v>105</v>
      </c>
      <c r="I36" s="134" t="s">
        <v>106</v>
      </c>
      <c r="J36" s="134" t="s">
        <v>107</v>
      </c>
      <c r="K36" s="113"/>
      <c r="L36" s="44" t="s">
        <v>107</v>
      </c>
      <c r="M36" s="44" t="str">
        <f>"102,2269"</f>
        <v>102,2269</v>
      </c>
      <c r="N36" s="10" t="s">
        <v>939</v>
      </c>
    </row>
    <row r="37" ht="12.75">
      <c r="G37" s="36"/>
    </row>
    <row r="38" spans="2:14" ht="15">
      <c r="B38" s="168" t="s">
        <v>108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33"/>
    </row>
    <row r="39" spans="1:14" ht="12.75">
      <c r="A39" s="43" t="s">
        <v>953</v>
      </c>
      <c r="B39" s="98" t="s">
        <v>109</v>
      </c>
      <c r="C39" s="8" t="s">
        <v>110</v>
      </c>
      <c r="D39" s="8" t="s">
        <v>111</v>
      </c>
      <c r="E39" s="8" t="str">
        <f>"0,6200"</f>
        <v>0,6200</v>
      </c>
      <c r="F39" s="8" t="s">
        <v>14</v>
      </c>
      <c r="G39" s="8" t="s">
        <v>960</v>
      </c>
      <c r="H39" s="133" t="s">
        <v>89</v>
      </c>
      <c r="I39" s="133" t="s">
        <v>60</v>
      </c>
      <c r="J39" s="133" t="s">
        <v>112</v>
      </c>
      <c r="K39" s="111"/>
      <c r="L39" s="43" t="s">
        <v>112</v>
      </c>
      <c r="M39" s="43" t="str">
        <f>"120,9000"</f>
        <v>120,9000</v>
      </c>
      <c r="N39" s="11" t="s">
        <v>63</v>
      </c>
    </row>
    <row r="40" spans="1:14" ht="12.75">
      <c r="A40" s="45" t="s">
        <v>953</v>
      </c>
      <c r="B40" s="101" t="s">
        <v>113</v>
      </c>
      <c r="C40" s="11" t="s">
        <v>114</v>
      </c>
      <c r="D40" s="11" t="s">
        <v>115</v>
      </c>
      <c r="E40" s="11" t="str">
        <f>"0,6177"</f>
        <v>0,6177</v>
      </c>
      <c r="F40" s="11" t="s">
        <v>14</v>
      </c>
      <c r="G40" s="11" t="s">
        <v>116</v>
      </c>
      <c r="H40" s="135" t="s">
        <v>117</v>
      </c>
      <c r="I40" s="115" t="s">
        <v>118</v>
      </c>
      <c r="J40" s="115" t="s">
        <v>119</v>
      </c>
      <c r="K40" s="116"/>
      <c r="L40" s="45" t="s">
        <v>117</v>
      </c>
      <c r="M40" s="45" t="str">
        <f>"126,6285"</f>
        <v>126,6285</v>
      </c>
      <c r="N40" s="11" t="s">
        <v>63</v>
      </c>
    </row>
    <row r="41" spans="1:14" ht="12.75">
      <c r="A41" s="45" t="s">
        <v>954</v>
      </c>
      <c r="B41" s="101" t="s">
        <v>120</v>
      </c>
      <c r="C41" s="11" t="s">
        <v>121</v>
      </c>
      <c r="D41" s="11" t="s">
        <v>122</v>
      </c>
      <c r="E41" s="11" t="str">
        <f>"0,6131"</f>
        <v>0,6131</v>
      </c>
      <c r="F41" s="11" t="s">
        <v>14</v>
      </c>
      <c r="G41" s="11" t="s">
        <v>123</v>
      </c>
      <c r="H41" s="135" t="s">
        <v>62</v>
      </c>
      <c r="I41" s="115" t="s">
        <v>117</v>
      </c>
      <c r="J41" s="115" t="s">
        <v>117</v>
      </c>
      <c r="K41" s="116"/>
      <c r="L41" s="45" t="s">
        <v>62</v>
      </c>
      <c r="M41" s="45" t="str">
        <f>"122,6200"</f>
        <v>122,6200</v>
      </c>
      <c r="N41" s="11" t="s">
        <v>63</v>
      </c>
    </row>
    <row r="42" spans="1:14" ht="12.75">
      <c r="A42" s="45" t="s">
        <v>956</v>
      </c>
      <c r="B42" s="101" t="s">
        <v>124</v>
      </c>
      <c r="C42" s="11" t="s">
        <v>125</v>
      </c>
      <c r="D42" s="11" t="s">
        <v>126</v>
      </c>
      <c r="E42" s="11" t="str">
        <f>"0,6232"</f>
        <v>0,6232</v>
      </c>
      <c r="F42" s="11" t="s">
        <v>38</v>
      </c>
      <c r="G42" s="11" t="s">
        <v>962</v>
      </c>
      <c r="H42" s="135" t="s">
        <v>127</v>
      </c>
      <c r="I42" s="135" t="s">
        <v>61</v>
      </c>
      <c r="J42" s="135" t="s">
        <v>128</v>
      </c>
      <c r="K42" s="116"/>
      <c r="L42" s="45" t="s">
        <v>128</v>
      </c>
      <c r="M42" s="45" t="str">
        <f>"123,0820"</f>
        <v>123,0820</v>
      </c>
      <c r="N42" s="11" t="s">
        <v>63</v>
      </c>
    </row>
    <row r="43" spans="1:14" ht="12.75">
      <c r="A43" s="45" t="s">
        <v>692</v>
      </c>
      <c r="B43" s="101" t="s">
        <v>129</v>
      </c>
      <c r="C43" s="11" t="s">
        <v>130</v>
      </c>
      <c r="D43" s="11" t="s">
        <v>131</v>
      </c>
      <c r="E43" s="11" t="str">
        <f>"0,6169"</f>
        <v>0,6169</v>
      </c>
      <c r="F43" s="11" t="s">
        <v>59</v>
      </c>
      <c r="G43" s="11" t="s">
        <v>960</v>
      </c>
      <c r="H43" s="135" t="s">
        <v>89</v>
      </c>
      <c r="I43" s="135" t="s">
        <v>132</v>
      </c>
      <c r="J43" s="115" t="s">
        <v>128</v>
      </c>
      <c r="K43" s="116"/>
      <c r="L43" s="45" t="s">
        <v>132</v>
      </c>
      <c r="M43" s="45" t="str">
        <f>"115,6688"</f>
        <v>115,6688</v>
      </c>
      <c r="N43" s="11" t="s">
        <v>940</v>
      </c>
    </row>
    <row r="44" spans="1:14" ht="12.75">
      <c r="A44" s="45" t="s">
        <v>693</v>
      </c>
      <c r="B44" s="101" t="s">
        <v>133</v>
      </c>
      <c r="C44" s="11" t="s">
        <v>134</v>
      </c>
      <c r="D44" s="11" t="s">
        <v>135</v>
      </c>
      <c r="E44" s="11" t="str">
        <f>"0,6108"</f>
        <v>0,6108</v>
      </c>
      <c r="F44" s="11" t="s">
        <v>14</v>
      </c>
      <c r="G44" s="11" t="s">
        <v>1002</v>
      </c>
      <c r="H44" s="135" t="s">
        <v>89</v>
      </c>
      <c r="I44" s="135" t="s">
        <v>60</v>
      </c>
      <c r="J44" s="115" t="s">
        <v>132</v>
      </c>
      <c r="K44" s="116"/>
      <c r="L44" s="45" t="s">
        <v>60</v>
      </c>
      <c r="M44" s="45" t="str">
        <f>"112,9980"</f>
        <v>112,9980</v>
      </c>
      <c r="N44" s="11" t="s">
        <v>63</v>
      </c>
    </row>
    <row r="45" spans="1:14" ht="12.75">
      <c r="A45" s="44" t="s">
        <v>953</v>
      </c>
      <c r="B45" s="99" t="s">
        <v>124</v>
      </c>
      <c r="C45" s="10" t="s">
        <v>136</v>
      </c>
      <c r="D45" s="10" t="s">
        <v>126</v>
      </c>
      <c r="E45" s="10" t="str">
        <f>"0,6232"</f>
        <v>0,6232</v>
      </c>
      <c r="F45" s="10" t="s">
        <v>38</v>
      </c>
      <c r="G45" s="10" t="s">
        <v>960</v>
      </c>
      <c r="H45" s="134" t="s">
        <v>127</v>
      </c>
      <c r="I45" s="134" t="s">
        <v>61</v>
      </c>
      <c r="J45" s="134" t="s">
        <v>128</v>
      </c>
      <c r="K45" s="113"/>
      <c r="L45" s="44" t="s">
        <v>128</v>
      </c>
      <c r="M45" s="44" t="str">
        <f>"123,6974"</f>
        <v>123,6974</v>
      </c>
      <c r="N45" s="10" t="s">
        <v>63</v>
      </c>
    </row>
    <row r="47" spans="2:13" ht="15">
      <c r="B47" s="168" t="s">
        <v>137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</row>
    <row r="48" spans="1:14" ht="12.75">
      <c r="A48" s="43" t="s">
        <v>953</v>
      </c>
      <c r="B48" s="98" t="s">
        <v>138</v>
      </c>
      <c r="C48" s="8" t="s">
        <v>139</v>
      </c>
      <c r="D48" s="8" t="s">
        <v>140</v>
      </c>
      <c r="E48" s="8" t="str">
        <f>"0,5905"</f>
        <v>0,5905</v>
      </c>
      <c r="F48" s="8" t="s">
        <v>32</v>
      </c>
      <c r="G48" s="8" t="s">
        <v>960</v>
      </c>
      <c r="H48" s="133" t="s">
        <v>61</v>
      </c>
      <c r="I48" s="133" t="s">
        <v>62</v>
      </c>
      <c r="J48" s="133" t="s">
        <v>141</v>
      </c>
      <c r="K48" s="111"/>
      <c r="L48" s="43" t="s">
        <v>141</v>
      </c>
      <c r="M48" s="43" t="str">
        <f>"122,5287"</f>
        <v>122,5287</v>
      </c>
      <c r="N48" s="8" t="s">
        <v>916</v>
      </c>
    </row>
    <row r="49" spans="1:14" ht="12.75">
      <c r="A49" s="45" t="s">
        <v>954</v>
      </c>
      <c r="B49" s="101" t="s">
        <v>142</v>
      </c>
      <c r="C49" s="11" t="s">
        <v>143</v>
      </c>
      <c r="D49" s="11" t="s">
        <v>144</v>
      </c>
      <c r="E49" s="11" t="str">
        <f>"0,6002"</f>
        <v>0,6002</v>
      </c>
      <c r="F49" s="11" t="s">
        <v>22</v>
      </c>
      <c r="G49" s="11" t="s">
        <v>960</v>
      </c>
      <c r="H49" s="135" t="s">
        <v>112</v>
      </c>
      <c r="I49" s="135" t="s">
        <v>62</v>
      </c>
      <c r="J49" s="135" t="s">
        <v>117</v>
      </c>
      <c r="K49" s="116"/>
      <c r="L49" s="45" t="s">
        <v>117</v>
      </c>
      <c r="M49" s="45" t="str">
        <f>"123,0410"</f>
        <v>123,0410</v>
      </c>
      <c r="N49" s="11" t="s">
        <v>63</v>
      </c>
    </row>
    <row r="50" spans="1:14" ht="12.75">
      <c r="A50" s="45" t="s">
        <v>956</v>
      </c>
      <c r="B50" s="101" t="s">
        <v>145</v>
      </c>
      <c r="C50" s="11" t="s">
        <v>146</v>
      </c>
      <c r="D50" s="11" t="s">
        <v>147</v>
      </c>
      <c r="E50" s="11" t="str">
        <f>"0,5885"</f>
        <v>0,5885</v>
      </c>
      <c r="F50" s="11" t="s">
        <v>38</v>
      </c>
      <c r="G50" s="11" t="s">
        <v>962</v>
      </c>
      <c r="H50" s="135" t="s">
        <v>127</v>
      </c>
      <c r="I50" s="135" t="s">
        <v>61</v>
      </c>
      <c r="J50" s="135" t="s">
        <v>62</v>
      </c>
      <c r="K50" s="116"/>
      <c r="L50" s="45" t="s">
        <v>62</v>
      </c>
      <c r="M50" s="45" t="str">
        <f>"117,7000"</f>
        <v>117,7000</v>
      </c>
      <c r="N50" s="11" t="s">
        <v>905</v>
      </c>
    </row>
    <row r="51" spans="1:14" ht="12.75">
      <c r="A51" s="45" t="s">
        <v>692</v>
      </c>
      <c r="B51" s="101" t="s">
        <v>148</v>
      </c>
      <c r="C51" s="11" t="s">
        <v>149</v>
      </c>
      <c r="D51" s="11" t="s">
        <v>150</v>
      </c>
      <c r="E51" s="11" t="str">
        <f>"0,5910"</f>
        <v>0,5910</v>
      </c>
      <c r="F51" s="11" t="s">
        <v>14</v>
      </c>
      <c r="G51" s="11" t="s">
        <v>960</v>
      </c>
      <c r="H51" s="135" t="s">
        <v>151</v>
      </c>
      <c r="I51" s="115" t="s">
        <v>128</v>
      </c>
      <c r="J51" s="115" t="s">
        <v>128</v>
      </c>
      <c r="K51" s="116"/>
      <c r="L51" s="45" t="s">
        <v>151</v>
      </c>
      <c r="M51" s="45" t="str">
        <f>"112,2900"</f>
        <v>112,2900</v>
      </c>
      <c r="N51" s="11" t="s">
        <v>926</v>
      </c>
    </row>
    <row r="52" spans="1:14" ht="12.75">
      <c r="A52" s="45" t="s">
        <v>693</v>
      </c>
      <c r="B52" s="101" t="s">
        <v>152</v>
      </c>
      <c r="C52" s="11" t="s">
        <v>153</v>
      </c>
      <c r="D52" s="11" t="s">
        <v>154</v>
      </c>
      <c r="E52" s="11" t="str">
        <f>"0,6015"</f>
        <v>0,6015</v>
      </c>
      <c r="F52" s="11" t="s">
        <v>14</v>
      </c>
      <c r="G52" s="11" t="s">
        <v>960</v>
      </c>
      <c r="H52" s="115" t="s">
        <v>69</v>
      </c>
      <c r="I52" s="135" t="s">
        <v>72</v>
      </c>
      <c r="J52" s="115" t="s">
        <v>155</v>
      </c>
      <c r="K52" s="116"/>
      <c r="L52" s="45" t="s">
        <v>72</v>
      </c>
      <c r="M52" s="45" t="str">
        <f>"96,2400"</f>
        <v>96,2400</v>
      </c>
      <c r="N52" s="11" t="s">
        <v>63</v>
      </c>
    </row>
    <row r="53" spans="1:14" ht="12.75">
      <c r="A53" s="45" t="s">
        <v>953</v>
      </c>
      <c r="B53" s="101" t="s">
        <v>156</v>
      </c>
      <c r="C53" s="11" t="s">
        <v>157</v>
      </c>
      <c r="D53" s="11" t="s">
        <v>158</v>
      </c>
      <c r="E53" s="11" t="str">
        <f>"0,6032"</f>
        <v>0,6032</v>
      </c>
      <c r="F53" s="11" t="s">
        <v>14</v>
      </c>
      <c r="G53" s="11" t="s">
        <v>962</v>
      </c>
      <c r="H53" s="115" t="s">
        <v>69</v>
      </c>
      <c r="I53" s="135" t="s">
        <v>77</v>
      </c>
      <c r="J53" s="135" t="s">
        <v>84</v>
      </c>
      <c r="K53" s="116"/>
      <c r="L53" s="45" t="s">
        <v>84</v>
      </c>
      <c r="M53" s="45" t="str">
        <f>"129,0878"</f>
        <v>129,0878</v>
      </c>
      <c r="N53" s="11" t="s">
        <v>63</v>
      </c>
    </row>
    <row r="54" spans="1:14" ht="12.75">
      <c r="A54" s="44" t="s">
        <v>953</v>
      </c>
      <c r="B54" s="99" t="s">
        <v>159</v>
      </c>
      <c r="C54" s="10" t="s">
        <v>160</v>
      </c>
      <c r="D54" s="10" t="s">
        <v>161</v>
      </c>
      <c r="E54" s="10" t="str">
        <f>"0,5972"</f>
        <v>0,5972</v>
      </c>
      <c r="F54" s="10" t="s">
        <v>162</v>
      </c>
      <c r="G54" s="10" t="s">
        <v>1011</v>
      </c>
      <c r="H54" s="134" t="s">
        <v>107</v>
      </c>
      <c r="I54" s="134" t="s">
        <v>67</v>
      </c>
      <c r="J54" s="134" t="s">
        <v>164</v>
      </c>
      <c r="K54" s="113"/>
      <c r="L54" s="44" t="s">
        <v>164</v>
      </c>
      <c r="M54" s="44" t="str">
        <f>"122,9038"</f>
        <v>122,9038</v>
      </c>
      <c r="N54" s="10" t="s">
        <v>63</v>
      </c>
    </row>
    <row r="56" spans="2:13" ht="15">
      <c r="B56" s="168" t="s">
        <v>165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</row>
    <row r="57" spans="1:14" ht="12.75">
      <c r="A57" s="42" t="s">
        <v>953</v>
      </c>
      <c r="B57" s="97" t="s">
        <v>166</v>
      </c>
      <c r="C57" s="6" t="s">
        <v>167</v>
      </c>
      <c r="D57" s="6" t="s">
        <v>168</v>
      </c>
      <c r="E57" s="6" t="str">
        <f>"0,5768"</f>
        <v>0,5768</v>
      </c>
      <c r="F57" s="6" t="s">
        <v>14</v>
      </c>
      <c r="G57" s="6" t="s">
        <v>962</v>
      </c>
      <c r="H57" s="108" t="s">
        <v>169</v>
      </c>
      <c r="I57" s="89" t="s">
        <v>170</v>
      </c>
      <c r="J57" s="108" t="s">
        <v>171</v>
      </c>
      <c r="K57" s="109"/>
      <c r="L57" s="42" t="s">
        <v>170</v>
      </c>
      <c r="M57" s="42" t="str">
        <f>"135,5480"</f>
        <v>135,5480</v>
      </c>
      <c r="N57" s="6" t="s">
        <v>941</v>
      </c>
    </row>
    <row r="59" spans="2:14" ht="15">
      <c r="B59" s="168" t="s">
        <v>172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33"/>
    </row>
    <row r="60" spans="1:14" ht="12.75">
      <c r="A60" s="42" t="s">
        <v>953</v>
      </c>
      <c r="B60" s="97" t="s">
        <v>173</v>
      </c>
      <c r="C60" s="6" t="s">
        <v>174</v>
      </c>
      <c r="D60" s="6" t="s">
        <v>175</v>
      </c>
      <c r="E60" s="6" t="str">
        <f>"0,5559"</f>
        <v>0,5559</v>
      </c>
      <c r="F60" s="6" t="s">
        <v>14</v>
      </c>
      <c r="G60" s="6" t="s">
        <v>15</v>
      </c>
      <c r="H60" s="89" t="s">
        <v>62</v>
      </c>
      <c r="I60" s="108" t="s">
        <v>176</v>
      </c>
      <c r="J60" s="108" t="s">
        <v>176</v>
      </c>
      <c r="K60" s="109"/>
      <c r="L60" s="42" t="s">
        <v>62</v>
      </c>
      <c r="M60" s="42" t="str">
        <f>"111,1800"</f>
        <v>111,1800</v>
      </c>
      <c r="N60" s="10" t="s">
        <v>63</v>
      </c>
    </row>
    <row r="62" spans="2:3" ht="18">
      <c r="B62" s="102" t="s">
        <v>177</v>
      </c>
      <c r="C62" s="102"/>
    </row>
    <row r="64" spans="2:3" ht="14.25">
      <c r="B64" s="103"/>
      <c r="C64" s="106" t="s">
        <v>178</v>
      </c>
    </row>
    <row r="65" spans="2:6" ht="15">
      <c r="B65" s="104" t="s">
        <v>179</v>
      </c>
      <c r="C65" s="107" t="s">
        <v>180</v>
      </c>
      <c r="D65" s="107" t="s">
        <v>181</v>
      </c>
      <c r="E65" s="107" t="s">
        <v>182</v>
      </c>
      <c r="F65" s="12" t="s">
        <v>183</v>
      </c>
    </row>
    <row r="66" spans="1:6" ht="12.75">
      <c r="A66" s="50" t="s">
        <v>953</v>
      </c>
      <c r="B66" s="105" t="s">
        <v>56</v>
      </c>
      <c r="C66" s="1" t="s">
        <v>178</v>
      </c>
      <c r="D66" s="50" t="s">
        <v>1000</v>
      </c>
      <c r="E66" s="50" t="s">
        <v>62</v>
      </c>
      <c r="F66" s="50" t="s">
        <v>185</v>
      </c>
    </row>
    <row r="67" spans="1:6" ht="12.75">
      <c r="A67" s="50" t="s">
        <v>954</v>
      </c>
      <c r="B67" s="105" t="s">
        <v>113</v>
      </c>
      <c r="C67" s="1" t="s">
        <v>178</v>
      </c>
      <c r="D67" s="50" t="s">
        <v>1001</v>
      </c>
      <c r="E67" s="50" t="s">
        <v>117</v>
      </c>
      <c r="F67" s="50" t="s">
        <v>186</v>
      </c>
    </row>
    <row r="68" spans="1:6" ht="12.75">
      <c r="A68" s="50" t="s">
        <v>956</v>
      </c>
      <c r="B68" s="105" t="s">
        <v>124</v>
      </c>
      <c r="C68" s="1" t="s">
        <v>178</v>
      </c>
      <c r="D68" s="50" t="s">
        <v>1001</v>
      </c>
      <c r="E68" s="50" t="s">
        <v>128</v>
      </c>
      <c r="F68" s="50" t="s">
        <v>187</v>
      </c>
    </row>
  </sheetData>
  <sheetProtection/>
  <mergeCells count="24">
    <mergeCell ref="B47:M47"/>
    <mergeCell ref="B56:M56"/>
    <mergeCell ref="B59:M59"/>
    <mergeCell ref="B15:M15"/>
    <mergeCell ref="B18:M18"/>
    <mergeCell ref="B21:M21"/>
    <mergeCell ref="B24:M24"/>
    <mergeCell ref="B30:M30"/>
    <mergeCell ref="B38:M38"/>
    <mergeCell ref="B5:M5"/>
    <mergeCell ref="B8:M8"/>
    <mergeCell ref="B11:M11"/>
    <mergeCell ref="E3:E4"/>
    <mergeCell ref="L3:L4"/>
    <mergeCell ref="M3:M4"/>
    <mergeCell ref="A3:A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18.87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19.875" style="13" customWidth="1"/>
    <col min="7" max="7" width="36.375" style="13" customWidth="1"/>
    <col min="8" max="10" width="5.625" style="67" bestFit="1" customWidth="1"/>
    <col min="11" max="11" width="4.625" style="67" bestFit="1" customWidth="1"/>
    <col min="12" max="12" width="10.875" style="91" customWidth="1"/>
    <col min="13" max="13" width="8.625" style="67" bestFit="1" customWidth="1"/>
    <col min="14" max="14" width="15.75390625" style="13" bestFit="1" customWidth="1"/>
  </cols>
  <sheetData>
    <row r="1" spans="2:14" s="1" customFormat="1" ht="15" customHeight="1">
      <c r="B1" s="169" t="s">
        <v>1033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2:14" s="1" customFormat="1" ht="86.25" customHeight="1" thickBot="1"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75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76"/>
      <c r="M4" s="143"/>
      <c r="N4" s="147"/>
    </row>
    <row r="5" spans="2:13" ht="15">
      <c r="B5" s="148" t="s">
        <v>28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38">
        <v>1</v>
      </c>
      <c r="B6" s="21" t="s">
        <v>245</v>
      </c>
      <c r="C6" s="21" t="s">
        <v>246</v>
      </c>
      <c r="D6" s="21" t="s">
        <v>37</v>
      </c>
      <c r="E6" s="21" t="str">
        <f>"0,6940"</f>
        <v>0,6940</v>
      </c>
      <c r="F6" s="21" t="s">
        <v>248</v>
      </c>
      <c r="G6" s="21" t="s">
        <v>947</v>
      </c>
      <c r="H6" s="89" t="s">
        <v>117</v>
      </c>
      <c r="I6" s="89" t="s">
        <v>415</v>
      </c>
      <c r="J6" s="89" t="s">
        <v>176</v>
      </c>
      <c r="K6" s="66"/>
      <c r="L6" s="64">
        <v>215</v>
      </c>
      <c r="M6" s="62" t="str">
        <f>"149,2100"</f>
        <v>149,2100</v>
      </c>
      <c r="N6" s="21" t="s">
        <v>63</v>
      </c>
    </row>
    <row r="8" spans="2:13" ht="15">
      <c r="B8" s="160" t="s">
        <v>40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40">
        <v>1</v>
      </c>
      <c r="B9" s="16" t="s">
        <v>852</v>
      </c>
      <c r="C9" s="16" t="s">
        <v>853</v>
      </c>
      <c r="D9" s="16" t="s">
        <v>854</v>
      </c>
      <c r="E9" s="16" t="str">
        <f>"0,6578"</f>
        <v>0,6578</v>
      </c>
      <c r="F9" s="16" t="s">
        <v>14</v>
      </c>
      <c r="G9" s="16" t="s">
        <v>855</v>
      </c>
      <c r="H9" s="133" t="s">
        <v>127</v>
      </c>
      <c r="I9" s="133" t="s">
        <v>61</v>
      </c>
      <c r="J9" s="68" t="s">
        <v>62</v>
      </c>
      <c r="K9" s="69"/>
      <c r="L9" s="55">
        <v>192.5</v>
      </c>
      <c r="M9" s="70" t="str">
        <f>"126,6265"</f>
        <v>126,6265</v>
      </c>
      <c r="N9" s="16" t="s">
        <v>63</v>
      </c>
    </row>
    <row r="10" spans="1:14" ht="12.75">
      <c r="A10" s="39">
        <v>1</v>
      </c>
      <c r="B10" s="19" t="s">
        <v>275</v>
      </c>
      <c r="C10" s="19" t="s">
        <v>276</v>
      </c>
      <c r="D10" s="19" t="s">
        <v>277</v>
      </c>
      <c r="E10" s="19" t="str">
        <f>"0,6545"</f>
        <v>0,6545</v>
      </c>
      <c r="F10" s="19" t="s">
        <v>14</v>
      </c>
      <c r="G10" s="19" t="s">
        <v>278</v>
      </c>
      <c r="H10" s="134" t="s">
        <v>69</v>
      </c>
      <c r="I10" s="134" t="s">
        <v>84</v>
      </c>
      <c r="J10" s="72"/>
      <c r="K10" s="72"/>
      <c r="L10" s="57">
        <v>165</v>
      </c>
      <c r="M10" s="73" t="str">
        <f>"107,9925"</f>
        <v>107,9925</v>
      </c>
      <c r="N10" s="19" t="s">
        <v>933</v>
      </c>
    </row>
    <row r="12" spans="2:13" ht="15">
      <c r="B12" s="160" t="s">
        <v>78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4" ht="12.75">
      <c r="A13" s="38">
        <v>1</v>
      </c>
      <c r="B13" s="21" t="s">
        <v>313</v>
      </c>
      <c r="C13" s="21" t="s">
        <v>314</v>
      </c>
      <c r="D13" s="21" t="s">
        <v>312</v>
      </c>
      <c r="E13" s="21" t="str">
        <f>"0,6130"</f>
        <v>0,6130</v>
      </c>
      <c r="F13" s="21" t="s">
        <v>162</v>
      </c>
      <c r="G13" s="141" t="s">
        <v>1011</v>
      </c>
      <c r="H13" s="89" t="s">
        <v>151</v>
      </c>
      <c r="I13" s="65" t="s">
        <v>62</v>
      </c>
      <c r="J13" s="65" t="s">
        <v>62</v>
      </c>
      <c r="K13" s="66"/>
      <c r="L13" s="64">
        <v>190</v>
      </c>
      <c r="M13" s="62" t="str">
        <f>"116,4700"</f>
        <v>116,4700</v>
      </c>
      <c r="N13" s="21" t="s">
        <v>63</v>
      </c>
    </row>
    <row r="15" spans="2:13" ht="15">
      <c r="B15" s="160" t="s">
        <v>108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4" ht="12.75">
      <c r="A16" s="40">
        <v>1</v>
      </c>
      <c r="B16" s="16" t="s">
        <v>315</v>
      </c>
      <c r="C16" s="16" t="s">
        <v>316</v>
      </c>
      <c r="D16" s="16" t="s">
        <v>856</v>
      </c>
      <c r="E16" s="16" t="str">
        <f>"0,6097"</f>
        <v>0,6097</v>
      </c>
      <c r="F16" s="16" t="s">
        <v>14</v>
      </c>
      <c r="G16" s="16" t="s">
        <v>962</v>
      </c>
      <c r="H16" s="133" t="s">
        <v>76</v>
      </c>
      <c r="I16" s="133" t="s">
        <v>77</v>
      </c>
      <c r="J16" s="68" t="s">
        <v>88</v>
      </c>
      <c r="K16" s="69"/>
      <c r="L16" s="55">
        <v>155</v>
      </c>
      <c r="M16" s="70" t="str">
        <f>"94,4958"</f>
        <v>94,4958</v>
      </c>
      <c r="N16" s="16" t="s">
        <v>63</v>
      </c>
    </row>
    <row r="17" spans="1:14" ht="12.75">
      <c r="A17" s="39">
        <v>2</v>
      </c>
      <c r="B17" s="19" t="s">
        <v>857</v>
      </c>
      <c r="C17" s="19" t="s">
        <v>858</v>
      </c>
      <c r="D17" s="19" t="s">
        <v>859</v>
      </c>
      <c r="E17" s="19" t="str">
        <f>"0,5900"</f>
        <v>0,5900</v>
      </c>
      <c r="F17" s="19" t="s">
        <v>162</v>
      </c>
      <c r="G17" s="19" t="s">
        <v>1011</v>
      </c>
      <c r="H17" s="134" t="s">
        <v>69</v>
      </c>
      <c r="I17" s="134" t="s">
        <v>77</v>
      </c>
      <c r="J17" s="134" t="s">
        <v>72</v>
      </c>
      <c r="K17" s="72"/>
      <c r="L17" s="57">
        <v>160</v>
      </c>
      <c r="M17" s="73" t="str">
        <f>"100,8107"</f>
        <v>100,8107</v>
      </c>
      <c r="N17" s="19" t="s">
        <v>63</v>
      </c>
    </row>
  </sheetData>
  <sheetProtection/>
  <mergeCells count="16">
    <mergeCell ref="B15:M1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A3:A4"/>
    <mergeCell ref="N3:N4"/>
    <mergeCell ref="B5:M5"/>
    <mergeCell ref="B8:M8"/>
    <mergeCell ref="B12:M12"/>
    <mergeCell ref="M3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28.25390625" style="100" bestFit="1" customWidth="1"/>
    <col min="3" max="3" width="26.875" style="5" bestFit="1" customWidth="1"/>
    <col min="4" max="4" width="10.625" style="5" bestFit="1" customWidth="1"/>
    <col min="5" max="5" width="8.375" style="5" bestFit="1" customWidth="1"/>
    <col min="6" max="6" width="14.75390625" style="5" customWidth="1"/>
    <col min="7" max="7" width="35.875" style="5" customWidth="1"/>
    <col min="8" max="11" width="5.625" style="50" bestFit="1" customWidth="1"/>
    <col min="12" max="12" width="7.875" style="50" bestFit="1" customWidth="1"/>
    <col min="13" max="13" width="8.625" style="50" bestFit="1" customWidth="1"/>
    <col min="14" max="14" width="15.375" style="5" bestFit="1" customWidth="1"/>
    <col min="15" max="16384" width="9.125" style="1" customWidth="1"/>
  </cols>
  <sheetData>
    <row r="1" spans="2:14" ht="15" customHeight="1">
      <c r="B1" s="149" t="s">
        <v>1034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ht="90.7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4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78" t="s">
        <v>78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42" t="s">
        <v>953</v>
      </c>
      <c r="B6" s="126" t="s">
        <v>860</v>
      </c>
      <c r="C6" s="6" t="s">
        <v>861</v>
      </c>
      <c r="D6" s="6" t="s">
        <v>584</v>
      </c>
      <c r="E6" s="6" t="str">
        <f>"0,6119"</f>
        <v>0,6119</v>
      </c>
      <c r="F6" s="6" t="s">
        <v>14</v>
      </c>
      <c r="G6" s="21" t="s">
        <v>960</v>
      </c>
      <c r="H6" s="89" t="s">
        <v>151</v>
      </c>
      <c r="I6" s="89" t="s">
        <v>117</v>
      </c>
      <c r="J6" s="89" t="s">
        <v>415</v>
      </c>
      <c r="K6" s="89" t="s">
        <v>176</v>
      </c>
      <c r="L6" s="42" t="s">
        <v>415</v>
      </c>
      <c r="M6" s="42" t="str">
        <f>"128,4885"</f>
        <v>128,4885</v>
      </c>
      <c r="N6" s="6" t="s">
        <v>948</v>
      </c>
    </row>
    <row r="8" spans="2:13" ht="15">
      <c r="B8" s="177" t="s">
        <v>108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42" t="s">
        <v>953</v>
      </c>
      <c r="B9" s="126" t="s">
        <v>113</v>
      </c>
      <c r="C9" s="6" t="s">
        <v>114</v>
      </c>
      <c r="D9" s="6" t="s">
        <v>115</v>
      </c>
      <c r="E9" s="6" t="str">
        <f>"0,5905"</f>
        <v>0,5905</v>
      </c>
      <c r="F9" s="6" t="s">
        <v>14</v>
      </c>
      <c r="G9" s="6" t="s">
        <v>116</v>
      </c>
      <c r="H9" s="89" t="s">
        <v>169</v>
      </c>
      <c r="I9" s="89" t="s">
        <v>420</v>
      </c>
      <c r="J9" s="89" t="s">
        <v>578</v>
      </c>
      <c r="K9" s="109"/>
      <c r="L9" s="42" t="s">
        <v>578</v>
      </c>
      <c r="M9" s="42" t="str">
        <f>"146,1487"</f>
        <v>146,1487</v>
      </c>
      <c r="N9" s="6" t="s">
        <v>63</v>
      </c>
    </row>
    <row r="11" spans="2:13" ht="15">
      <c r="B11" s="177" t="s">
        <v>165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2.75">
      <c r="A12" s="42" t="s">
        <v>953</v>
      </c>
      <c r="B12" s="126" t="s">
        <v>862</v>
      </c>
      <c r="C12" s="6" t="s">
        <v>863</v>
      </c>
      <c r="D12" s="6" t="s">
        <v>864</v>
      </c>
      <c r="E12" s="6" t="str">
        <f>"0,5469"</f>
        <v>0,5469</v>
      </c>
      <c r="F12" s="6" t="s">
        <v>14</v>
      </c>
      <c r="G12" s="6" t="s">
        <v>865</v>
      </c>
      <c r="H12" s="89" t="s">
        <v>169</v>
      </c>
      <c r="I12" s="108" t="s">
        <v>473</v>
      </c>
      <c r="J12" s="89" t="s">
        <v>473</v>
      </c>
      <c r="K12" s="109"/>
      <c r="L12" s="42" t="s">
        <v>473</v>
      </c>
      <c r="M12" s="42" t="str">
        <f>"145,4696"</f>
        <v>145,4696</v>
      </c>
      <c r="N12" s="6" t="s">
        <v>866</v>
      </c>
    </row>
  </sheetData>
  <sheetProtection/>
  <mergeCells count="15">
    <mergeCell ref="L3:L4"/>
    <mergeCell ref="M3:M4"/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38" sqref="B38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6.25390625" style="13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7.125" style="13" customWidth="1"/>
    <col min="8" max="10" width="5.625" style="67" bestFit="1" customWidth="1"/>
    <col min="11" max="11" width="4.625" style="67" bestFit="1" customWidth="1"/>
    <col min="12" max="12" width="10.625" style="67" customWidth="1"/>
    <col min="13" max="13" width="8.625" style="67" bestFit="1" customWidth="1"/>
    <col min="14" max="14" width="17.25390625" style="13" bestFit="1" customWidth="1"/>
  </cols>
  <sheetData>
    <row r="1" spans="1:14" s="1" customFormat="1" ht="15" customHeight="1">
      <c r="A1" s="50"/>
      <c r="B1" s="149" t="s">
        <v>963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78.7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685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686</v>
      </c>
      <c r="C6" s="21" t="s">
        <v>687</v>
      </c>
      <c r="D6" s="21" t="s">
        <v>688</v>
      </c>
      <c r="E6" s="21" t="str">
        <f>"1,3244"</f>
        <v>1,3244</v>
      </c>
      <c r="F6" s="21" t="s">
        <v>261</v>
      </c>
      <c r="G6" s="21" t="s">
        <v>960</v>
      </c>
      <c r="H6" s="89" t="s">
        <v>16</v>
      </c>
      <c r="I6" s="89" t="s">
        <v>623</v>
      </c>
      <c r="J6" s="65" t="s">
        <v>214</v>
      </c>
      <c r="K6" s="66"/>
      <c r="L6" s="62">
        <v>62.5</v>
      </c>
      <c r="M6" s="62" t="str">
        <f>"82,7750"</f>
        <v>82,7750</v>
      </c>
      <c r="N6" s="21" t="s">
        <v>890</v>
      </c>
    </row>
    <row r="8" spans="2:13" ht="15">
      <c r="B8" s="160" t="s">
        <v>78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59">
        <v>1</v>
      </c>
      <c r="B9" s="21" t="s">
        <v>689</v>
      </c>
      <c r="C9" s="21" t="s">
        <v>690</v>
      </c>
      <c r="D9" s="21" t="s">
        <v>302</v>
      </c>
      <c r="E9" s="21" t="str">
        <f>"0,6424"</f>
        <v>0,6424</v>
      </c>
      <c r="F9" s="21" t="s">
        <v>248</v>
      </c>
      <c r="G9" s="21" t="s">
        <v>961</v>
      </c>
      <c r="H9" s="89" t="s">
        <v>117</v>
      </c>
      <c r="I9" s="89" t="s">
        <v>176</v>
      </c>
      <c r="J9" s="65" t="s">
        <v>472</v>
      </c>
      <c r="K9" s="66"/>
      <c r="L9" s="64">
        <v>215</v>
      </c>
      <c r="M9" s="62" t="str">
        <f>"138,1160"</f>
        <v>138,1160</v>
      </c>
      <c r="N9" s="21" t="s">
        <v>63</v>
      </c>
    </row>
    <row r="11" spans="2:13" ht="15">
      <c r="B11" s="160" t="s">
        <v>137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2.75">
      <c r="A12" s="59">
        <v>1</v>
      </c>
      <c r="B12" s="21" t="s">
        <v>559</v>
      </c>
      <c r="C12" s="21" t="s">
        <v>560</v>
      </c>
      <c r="D12" s="21" t="s">
        <v>561</v>
      </c>
      <c r="E12" s="21" t="str">
        <f>"0,5890"</f>
        <v>0,5890</v>
      </c>
      <c r="F12" s="21" t="s">
        <v>14</v>
      </c>
      <c r="G12" s="21" t="s">
        <v>962</v>
      </c>
      <c r="H12" s="89" t="s">
        <v>465</v>
      </c>
      <c r="I12" s="66"/>
      <c r="J12" s="66"/>
      <c r="K12" s="66"/>
      <c r="L12" s="64">
        <v>260</v>
      </c>
      <c r="M12" s="62" t="str">
        <f>"153,1400"</f>
        <v>153,1400</v>
      </c>
      <c r="N12" s="21" t="s">
        <v>63</v>
      </c>
    </row>
    <row r="13" ht="12.75">
      <c r="H13" s="131"/>
    </row>
    <row r="14" ht="15">
      <c r="F14" s="14"/>
    </row>
  </sheetData>
  <sheetProtection/>
  <mergeCells count="15"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2.375" style="13" customWidth="1"/>
    <col min="3" max="3" width="28.625" style="13" customWidth="1"/>
    <col min="4" max="4" width="10.625" style="13" bestFit="1" customWidth="1"/>
    <col min="5" max="5" width="16.375" style="13" customWidth="1"/>
    <col min="6" max="6" width="37.75390625" style="13" customWidth="1"/>
    <col min="7" max="7" width="4.625" style="67" bestFit="1" customWidth="1"/>
    <col min="8" max="10" width="5.625" style="67" bestFit="1" customWidth="1"/>
    <col min="11" max="11" width="11.875" style="67" customWidth="1"/>
    <col min="12" max="12" width="24.875" style="13" bestFit="1" customWidth="1"/>
  </cols>
  <sheetData>
    <row r="1" spans="1:12" s="1" customFormat="1" ht="15" customHeight="1">
      <c r="A1" s="50"/>
      <c r="B1" s="149" t="s">
        <v>978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1" customFormat="1" ht="72.7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79" t="s">
        <v>952</v>
      </c>
      <c r="B3" s="155" t="s">
        <v>0</v>
      </c>
      <c r="C3" s="157" t="s">
        <v>992</v>
      </c>
      <c r="D3" s="157" t="s">
        <v>993</v>
      </c>
      <c r="E3" s="142" t="s">
        <v>7</v>
      </c>
      <c r="F3" s="158" t="s">
        <v>994</v>
      </c>
      <c r="G3" s="158" t="s">
        <v>3</v>
      </c>
      <c r="H3" s="181"/>
      <c r="I3" s="181"/>
      <c r="J3" s="181"/>
      <c r="K3" s="142" t="s">
        <v>957</v>
      </c>
      <c r="L3" s="146" t="s">
        <v>5</v>
      </c>
    </row>
    <row r="4" spans="1:12" s="2" customFormat="1" ht="21" customHeight="1" thickBot="1">
      <c r="A4" s="180"/>
      <c r="B4" s="156"/>
      <c r="C4" s="143"/>
      <c r="D4" s="143"/>
      <c r="E4" s="143"/>
      <c r="F4" s="159"/>
      <c r="G4" s="3">
        <v>1</v>
      </c>
      <c r="H4" s="3">
        <v>2</v>
      </c>
      <c r="I4" s="3">
        <v>3</v>
      </c>
      <c r="J4" s="3" t="s">
        <v>1012</v>
      </c>
      <c r="K4" s="143"/>
      <c r="L4" s="147"/>
    </row>
    <row r="5" spans="2:11" ht="15">
      <c r="B5" s="148" t="s">
        <v>28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59">
        <v>1</v>
      </c>
      <c r="B6" s="21" t="s">
        <v>19</v>
      </c>
      <c r="C6" s="21" t="s">
        <v>20</v>
      </c>
      <c r="D6" s="21" t="s">
        <v>21</v>
      </c>
      <c r="E6" s="21" t="s">
        <v>22</v>
      </c>
      <c r="F6" s="21" t="s">
        <v>962</v>
      </c>
      <c r="G6" s="89" t="s">
        <v>50</v>
      </c>
      <c r="H6" s="89" t="s">
        <v>622</v>
      </c>
      <c r="I6" s="65" t="s">
        <v>623</v>
      </c>
      <c r="J6" s="66"/>
      <c r="K6" s="62">
        <v>57.5</v>
      </c>
      <c r="L6" s="21" t="s">
        <v>27</v>
      </c>
    </row>
    <row r="8" spans="2:11" ht="15">
      <c r="B8" s="160" t="s">
        <v>78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2.75">
      <c r="A9" s="59">
        <v>1</v>
      </c>
      <c r="B9" s="21" t="s">
        <v>695</v>
      </c>
      <c r="C9" s="21" t="s">
        <v>696</v>
      </c>
      <c r="D9" s="21" t="s">
        <v>322</v>
      </c>
      <c r="E9" s="21" t="s">
        <v>14</v>
      </c>
      <c r="F9" s="21" t="s">
        <v>995</v>
      </c>
      <c r="G9" s="89" t="s">
        <v>34</v>
      </c>
      <c r="H9" s="89" t="s">
        <v>44</v>
      </c>
      <c r="I9" s="89" t="s">
        <v>26</v>
      </c>
      <c r="J9" s="66"/>
      <c r="K9" s="64">
        <v>90</v>
      </c>
      <c r="L9" s="21" t="s">
        <v>63</v>
      </c>
    </row>
    <row r="11" spans="2:11" ht="15">
      <c r="B11" s="160" t="s">
        <v>108</v>
      </c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2" ht="12.75">
      <c r="A12" s="59">
        <v>1</v>
      </c>
      <c r="B12" s="21" t="s">
        <v>697</v>
      </c>
      <c r="C12" s="21" t="s">
        <v>698</v>
      </c>
      <c r="D12" s="21" t="s">
        <v>699</v>
      </c>
      <c r="E12" s="21" t="s">
        <v>22</v>
      </c>
      <c r="F12" s="21" t="s">
        <v>962</v>
      </c>
      <c r="G12" s="89" t="s">
        <v>262</v>
      </c>
      <c r="H12" s="65" t="s">
        <v>525</v>
      </c>
      <c r="I12" s="65" t="s">
        <v>525</v>
      </c>
      <c r="J12" s="66"/>
      <c r="K12" s="64">
        <v>95</v>
      </c>
      <c r="L12" s="21" t="s">
        <v>942</v>
      </c>
    </row>
    <row r="14" spans="2:11" ht="15">
      <c r="B14" s="160" t="s">
        <v>165</v>
      </c>
      <c r="C14" s="160"/>
      <c r="D14" s="160"/>
      <c r="E14" s="160"/>
      <c r="F14" s="160"/>
      <c r="G14" s="160"/>
      <c r="H14" s="160"/>
      <c r="I14" s="160"/>
      <c r="J14" s="160"/>
      <c r="K14" s="160"/>
    </row>
    <row r="15" spans="1:12" ht="12.75">
      <c r="A15" s="53">
        <v>1</v>
      </c>
      <c r="B15" s="16" t="s">
        <v>700</v>
      </c>
      <c r="C15" s="16" t="s">
        <v>701</v>
      </c>
      <c r="D15" s="16" t="s">
        <v>702</v>
      </c>
      <c r="E15" s="16" t="s">
        <v>14</v>
      </c>
      <c r="F15" s="16" t="s">
        <v>995</v>
      </c>
      <c r="G15" s="133" t="s">
        <v>262</v>
      </c>
      <c r="H15" s="133" t="s">
        <v>525</v>
      </c>
      <c r="I15" s="133" t="s">
        <v>344</v>
      </c>
      <c r="J15" s="133" t="s">
        <v>286</v>
      </c>
      <c r="K15" s="70">
        <v>112.5</v>
      </c>
      <c r="L15" s="16" t="s">
        <v>63</v>
      </c>
    </row>
    <row r="16" spans="1:12" ht="12.75">
      <c r="A16" s="54">
        <v>2</v>
      </c>
      <c r="B16" s="19" t="s">
        <v>703</v>
      </c>
      <c r="C16" s="19" t="s">
        <v>704</v>
      </c>
      <c r="D16" s="19" t="s">
        <v>705</v>
      </c>
      <c r="E16" s="19" t="s">
        <v>22</v>
      </c>
      <c r="F16" s="19" t="s">
        <v>962</v>
      </c>
      <c r="G16" s="134" t="s">
        <v>55</v>
      </c>
      <c r="H16" s="134" t="s">
        <v>34</v>
      </c>
      <c r="I16" s="134" t="s">
        <v>26</v>
      </c>
      <c r="J16" s="71"/>
      <c r="K16" s="57">
        <v>90</v>
      </c>
      <c r="L16" s="19" t="s">
        <v>27</v>
      </c>
    </row>
    <row r="18" spans="2:11" ht="15">
      <c r="B18" s="160" t="s">
        <v>706</v>
      </c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2" ht="12.75">
      <c r="A19" s="53">
        <v>1</v>
      </c>
      <c r="B19" s="16" t="s">
        <v>697</v>
      </c>
      <c r="C19" s="16" t="s">
        <v>707</v>
      </c>
      <c r="D19" s="16" t="s">
        <v>699</v>
      </c>
      <c r="E19" s="16" t="s">
        <v>22</v>
      </c>
      <c r="F19" s="16" t="s">
        <v>962</v>
      </c>
      <c r="G19" s="133" t="s">
        <v>262</v>
      </c>
      <c r="H19" s="68" t="s">
        <v>525</v>
      </c>
      <c r="I19" s="68" t="s">
        <v>525</v>
      </c>
      <c r="J19" s="69"/>
      <c r="K19" s="55">
        <v>95</v>
      </c>
      <c r="L19" s="16" t="s">
        <v>942</v>
      </c>
    </row>
    <row r="20" spans="1:12" ht="12.75">
      <c r="A20" s="74">
        <v>1</v>
      </c>
      <c r="B20" s="18" t="s">
        <v>708</v>
      </c>
      <c r="C20" s="18" t="s">
        <v>709</v>
      </c>
      <c r="D20" s="18" t="s">
        <v>710</v>
      </c>
      <c r="E20" s="18" t="s">
        <v>22</v>
      </c>
      <c r="F20" s="18" t="s">
        <v>962</v>
      </c>
      <c r="G20" s="135" t="s">
        <v>17</v>
      </c>
      <c r="H20" s="135" t="s">
        <v>33</v>
      </c>
      <c r="I20" s="135" t="s">
        <v>34</v>
      </c>
      <c r="J20" s="135" t="s">
        <v>711</v>
      </c>
      <c r="K20" s="78" t="s">
        <v>34</v>
      </c>
      <c r="L20" s="18" t="s">
        <v>63</v>
      </c>
    </row>
    <row r="21" spans="1:12" ht="12.75">
      <c r="A21" s="54">
        <v>2</v>
      </c>
      <c r="B21" s="19" t="s">
        <v>712</v>
      </c>
      <c r="C21" s="19" t="s">
        <v>713</v>
      </c>
      <c r="D21" s="19" t="s">
        <v>714</v>
      </c>
      <c r="E21" s="19" t="s">
        <v>22</v>
      </c>
      <c r="F21" s="19" t="s">
        <v>995</v>
      </c>
      <c r="G21" s="134" t="s">
        <v>214</v>
      </c>
      <c r="H21" s="134" t="s">
        <v>55</v>
      </c>
      <c r="I21" s="134" t="s">
        <v>17</v>
      </c>
      <c r="J21" s="72"/>
      <c r="K21" s="73">
        <v>72.5</v>
      </c>
      <c r="L21" s="19" t="s">
        <v>63</v>
      </c>
    </row>
    <row r="23" ht="13.5" customHeight="1"/>
    <row r="24" ht="13.5" customHeight="1"/>
  </sheetData>
  <sheetProtection/>
  <mergeCells count="15">
    <mergeCell ref="B14:K14"/>
    <mergeCell ref="B18:K18"/>
    <mergeCell ref="B1:L2"/>
    <mergeCell ref="B3:B4"/>
    <mergeCell ref="C3:C4"/>
    <mergeCell ref="D3:D4"/>
    <mergeCell ref="E3:E4"/>
    <mergeCell ref="F3:F4"/>
    <mergeCell ref="G3:J3"/>
    <mergeCell ref="A3:A4"/>
    <mergeCell ref="L3:L4"/>
    <mergeCell ref="B5:K5"/>
    <mergeCell ref="B8:K8"/>
    <mergeCell ref="B11:K11"/>
    <mergeCell ref="K3:K4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2.375" style="13" customWidth="1"/>
    <col min="3" max="3" width="27.25390625" style="13" customWidth="1"/>
    <col min="4" max="4" width="10.625" style="13" bestFit="1" customWidth="1"/>
    <col min="5" max="5" width="12.75390625" style="13" customWidth="1"/>
    <col min="6" max="6" width="36.875" style="13" customWidth="1"/>
    <col min="7" max="10" width="4.625" style="67" bestFit="1" customWidth="1"/>
    <col min="11" max="11" width="11.25390625" style="67" customWidth="1"/>
    <col min="12" max="12" width="24.875" style="13" bestFit="1" customWidth="1"/>
  </cols>
  <sheetData>
    <row r="1" spans="1:12" s="1" customFormat="1" ht="15" customHeight="1">
      <c r="A1" s="50"/>
      <c r="B1" s="149" t="s">
        <v>979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1" customFormat="1" ht="77.2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79" t="s">
        <v>952</v>
      </c>
      <c r="B3" s="155" t="s">
        <v>0</v>
      </c>
      <c r="C3" s="157" t="s">
        <v>992</v>
      </c>
      <c r="D3" s="157" t="s">
        <v>993</v>
      </c>
      <c r="E3" s="142" t="s">
        <v>7</v>
      </c>
      <c r="F3" s="158" t="s">
        <v>994</v>
      </c>
      <c r="G3" s="158" t="s">
        <v>3</v>
      </c>
      <c r="H3" s="181"/>
      <c r="I3" s="181"/>
      <c r="J3" s="181"/>
      <c r="K3" s="142" t="s">
        <v>957</v>
      </c>
      <c r="L3" s="146" t="s">
        <v>5</v>
      </c>
    </row>
    <row r="4" spans="1:12" s="2" customFormat="1" ht="21" customHeight="1" thickBot="1">
      <c r="A4" s="180"/>
      <c r="B4" s="156"/>
      <c r="C4" s="143"/>
      <c r="D4" s="143"/>
      <c r="E4" s="143"/>
      <c r="F4" s="159"/>
      <c r="G4" s="3">
        <v>1</v>
      </c>
      <c r="H4" s="3">
        <v>2</v>
      </c>
      <c r="I4" s="3">
        <v>3</v>
      </c>
      <c r="J4" s="3" t="s">
        <v>1012</v>
      </c>
      <c r="K4" s="143"/>
      <c r="L4" s="147"/>
    </row>
    <row r="5" spans="2:11" ht="15">
      <c r="B5" s="148" t="s">
        <v>210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53">
        <v>1</v>
      </c>
      <c r="B6" s="16" t="s">
        <v>715</v>
      </c>
      <c r="C6" s="16" t="s">
        <v>716</v>
      </c>
      <c r="D6" s="16" t="s">
        <v>717</v>
      </c>
      <c r="E6" s="16" t="s">
        <v>14</v>
      </c>
      <c r="F6" s="16" t="s">
        <v>962</v>
      </c>
      <c r="G6" s="133" t="s">
        <v>718</v>
      </c>
      <c r="H6" s="133" t="s">
        <v>719</v>
      </c>
      <c r="I6" s="133" t="s">
        <v>720</v>
      </c>
      <c r="J6" s="69"/>
      <c r="K6" s="55">
        <v>34</v>
      </c>
      <c r="L6" s="16" t="s">
        <v>721</v>
      </c>
    </row>
    <row r="7" spans="1:12" ht="12.75">
      <c r="A7" s="54">
        <v>2</v>
      </c>
      <c r="B7" s="19" t="s">
        <v>722</v>
      </c>
      <c r="C7" s="19" t="s">
        <v>723</v>
      </c>
      <c r="D7" s="19" t="s">
        <v>724</v>
      </c>
      <c r="E7" s="19" t="s">
        <v>14</v>
      </c>
      <c r="F7" s="19" t="s">
        <v>962</v>
      </c>
      <c r="G7" s="134" t="s">
        <v>718</v>
      </c>
      <c r="H7" s="134" t="s">
        <v>719</v>
      </c>
      <c r="I7" s="134" t="s">
        <v>720</v>
      </c>
      <c r="J7" s="72"/>
      <c r="K7" s="57">
        <v>34</v>
      </c>
      <c r="L7" s="19" t="s">
        <v>725</v>
      </c>
    </row>
    <row r="9" spans="2:11" ht="15">
      <c r="B9" s="160" t="s">
        <v>28</v>
      </c>
      <c r="C9" s="160"/>
      <c r="D9" s="160"/>
      <c r="E9" s="160"/>
      <c r="F9" s="160"/>
      <c r="G9" s="160"/>
      <c r="H9" s="160"/>
      <c r="I9" s="160"/>
      <c r="J9" s="160"/>
      <c r="K9" s="160"/>
    </row>
    <row r="10" spans="1:12" ht="12.75">
      <c r="A10" s="59">
        <v>1</v>
      </c>
      <c r="B10" s="21" t="s">
        <v>19</v>
      </c>
      <c r="C10" s="21" t="s">
        <v>20</v>
      </c>
      <c r="D10" s="21" t="s">
        <v>21</v>
      </c>
      <c r="E10" s="21" t="s">
        <v>22</v>
      </c>
      <c r="F10" s="21" t="s">
        <v>962</v>
      </c>
      <c r="G10" s="89" t="s">
        <v>726</v>
      </c>
      <c r="H10" s="65" t="s">
        <v>727</v>
      </c>
      <c r="I10" s="89" t="s">
        <v>727</v>
      </c>
      <c r="J10" s="65" t="s">
        <v>728</v>
      </c>
      <c r="K10" s="64">
        <v>49</v>
      </c>
      <c r="L10" s="21" t="s">
        <v>27</v>
      </c>
    </row>
    <row r="12" spans="2:11" ht="15">
      <c r="B12" s="160" t="s">
        <v>78</v>
      </c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2" ht="12.75">
      <c r="A13" s="59">
        <v>1</v>
      </c>
      <c r="B13" s="21" t="s">
        <v>695</v>
      </c>
      <c r="C13" s="21" t="s">
        <v>696</v>
      </c>
      <c r="D13" s="21" t="s">
        <v>322</v>
      </c>
      <c r="E13" s="21" t="s">
        <v>14</v>
      </c>
      <c r="F13" s="21" t="s">
        <v>995</v>
      </c>
      <c r="G13" s="89" t="s">
        <v>729</v>
      </c>
      <c r="H13" s="89" t="s">
        <v>727</v>
      </c>
      <c r="I13" s="89" t="s">
        <v>730</v>
      </c>
      <c r="J13" s="66"/>
      <c r="K13" s="64">
        <v>56.5</v>
      </c>
      <c r="L13" s="21" t="s">
        <v>63</v>
      </c>
    </row>
    <row r="15" spans="2:11" ht="15">
      <c r="B15" s="160" t="s">
        <v>108</v>
      </c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2" ht="12.75">
      <c r="A16" s="53">
        <v>1</v>
      </c>
      <c r="B16" s="16" t="s">
        <v>697</v>
      </c>
      <c r="C16" s="16" t="s">
        <v>698</v>
      </c>
      <c r="D16" s="16" t="s">
        <v>699</v>
      </c>
      <c r="E16" s="16" t="s">
        <v>22</v>
      </c>
      <c r="F16" s="16" t="s">
        <v>995</v>
      </c>
      <c r="G16" s="133" t="s">
        <v>731</v>
      </c>
      <c r="H16" s="133" t="s">
        <v>732</v>
      </c>
      <c r="I16" s="133" t="s">
        <v>733</v>
      </c>
      <c r="J16" s="68" t="s">
        <v>734</v>
      </c>
      <c r="K16" s="55">
        <v>69</v>
      </c>
      <c r="L16" s="16" t="s">
        <v>942</v>
      </c>
    </row>
    <row r="17" spans="1:12" ht="12.75">
      <c r="A17" s="54">
        <v>2</v>
      </c>
      <c r="B17" s="19" t="s">
        <v>735</v>
      </c>
      <c r="C17" s="19" t="s">
        <v>552</v>
      </c>
      <c r="D17" s="19" t="s">
        <v>736</v>
      </c>
      <c r="E17" s="19" t="s">
        <v>14</v>
      </c>
      <c r="F17" s="19" t="s">
        <v>737</v>
      </c>
      <c r="G17" s="134" t="s">
        <v>738</v>
      </c>
      <c r="H17" s="134" t="s">
        <v>733</v>
      </c>
      <c r="I17" s="71" t="s">
        <v>739</v>
      </c>
      <c r="J17" s="72"/>
      <c r="K17" s="57">
        <v>69</v>
      </c>
      <c r="L17" s="21" t="s">
        <v>63</v>
      </c>
    </row>
    <row r="19" spans="2:11" ht="15">
      <c r="B19" s="160" t="s">
        <v>137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2" ht="12.75">
      <c r="A20" s="59">
        <v>1</v>
      </c>
      <c r="B20" s="21" t="s">
        <v>740</v>
      </c>
      <c r="C20" s="21" t="s">
        <v>741</v>
      </c>
      <c r="D20" s="21" t="s">
        <v>742</v>
      </c>
      <c r="E20" s="21" t="s">
        <v>14</v>
      </c>
      <c r="F20" s="21" t="s">
        <v>995</v>
      </c>
      <c r="G20" s="89" t="s">
        <v>731</v>
      </c>
      <c r="H20" s="89" t="s">
        <v>743</v>
      </c>
      <c r="I20" s="65" t="s">
        <v>732</v>
      </c>
      <c r="J20" s="66"/>
      <c r="K20" s="64">
        <v>64</v>
      </c>
      <c r="L20" s="21" t="s">
        <v>63</v>
      </c>
    </row>
    <row r="22" spans="2:11" ht="15">
      <c r="B22" s="160" t="s">
        <v>165</v>
      </c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2" ht="12.75">
      <c r="A23" s="59">
        <v>1</v>
      </c>
      <c r="B23" s="21" t="s">
        <v>744</v>
      </c>
      <c r="C23" s="21" t="s">
        <v>745</v>
      </c>
      <c r="D23" s="21" t="s">
        <v>746</v>
      </c>
      <c r="E23" s="21" t="s">
        <v>14</v>
      </c>
      <c r="F23" s="21" t="s">
        <v>898</v>
      </c>
      <c r="G23" s="89" t="s">
        <v>747</v>
      </c>
      <c r="H23" s="89" t="s">
        <v>748</v>
      </c>
      <c r="I23" s="89" t="s">
        <v>749</v>
      </c>
      <c r="J23" s="65" t="s">
        <v>750</v>
      </c>
      <c r="K23" s="64">
        <v>94</v>
      </c>
      <c r="L23" s="21" t="s">
        <v>63</v>
      </c>
    </row>
    <row r="25" spans="2:11" ht="15">
      <c r="B25" s="160" t="s">
        <v>706</v>
      </c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2" ht="12.75">
      <c r="A26" s="53">
        <v>1</v>
      </c>
      <c r="B26" s="16" t="s">
        <v>697</v>
      </c>
      <c r="C26" s="21" t="s">
        <v>707</v>
      </c>
      <c r="D26" s="21" t="s">
        <v>699</v>
      </c>
      <c r="E26" s="21" t="s">
        <v>22</v>
      </c>
      <c r="F26" s="16" t="s">
        <v>962</v>
      </c>
      <c r="G26" s="89" t="s">
        <v>731</v>
      </c>
      <c r="H26" s="89" t="s">
        <v>732</v>
      </c>
      <c r="I26" s="89" t="s">
        <v>733</v>
      </c>
      <c r="J26" s="65" t="s">
        <v>734</v>
      </c>
      <c r="K26" s="55">
        <v>69</v>
      </c>
      <c r="L26" s="16" t="s">
        <v>942</v>
      </c>
    </row>
    <row r="27" spans="1:12" ht="12.75">
      <c r="A27" s="74">
        <v>1</v>
      </c>
      <c r="B27" s="18" t="s">
        <v>751</v>
      </c>
      <c r="C27" s="16" t="s">
        <v>752</v>
      </c>
      <c r="D27" s="16" t="s">
        <v>753</v>
      </c>
      <c r="E27" s="117" t="s">
        <v>1013</v>
      </c>
      <c r="F27" s="18" t="s">
        <v>995</v>
      </c>
      <c r="G27" s="133" t="s">
        <v>731</v>
      </c>
      <c r="H27" s="133" t="s">
        <v>732</v>
      </c>
      <c r="I27" s="133" t="s">
        <v>754</v>
      </c>
      <c r="J27" s="133" t="s">
        <v>747</v>
      </c>
      <c r="K27" s="76">
        <v>71.5</v>
      </c>
      <c r="L27" s="18" t="s">
        <v>63</v>
      </c>
    </row>
    <row r="28" spans="1:12" ht="12.75">
      <c r="A28" s="54">
        <v>2</v>
      </c>
      <c r="B28" s="19" t="s">
        <v>712</v>
      </c>
      <c r="C28" s="19" t="s">
        <v>713</v>
      </c>
      <c r="D28" s="19" t="s">
        <v>714</v>
      </c>
      <c r="E28" s="118" t="s">
        <v>1013</v>
      </c>
      <c r="F28" s="19" t="s">
        <v>995</v>
      </c>
      <c r="G28" s="134" t="s">
        <v>731</v>
      </c>
      <c r="H28" s="134" t="s">
        <v>732</v>
      </c>
      <c r="I28" s="134" t="s">
        <v>754</v>
      </c>
      <c r="J28" s="71" t="s">
        <v>747</v>
      </c>
      <c r="K28" s="57">
        <v>71.5</v>
      </c>
      <c r="L28" s="19" t="s">
        <v>63</v>
      </c>
    </row>
  </sheetData>
  <sheetProtection/>
  <mergeCells count="17">
    <mergeCell ref="B1:L2"/>
    <mergeCell ref="B3:B4"/>
    <mergeCell ref="C3:C4"/>
    <mergeCell ref="D3:D4"/>
    <mergeCell ref="E3:E4"/>
    <mergeCell ref="F3:F4"/>
    <mergeCell ref="G3:J3"/>
    <mergeCell ref="K3:K4"/>
    <mergeCell ref="A3:A4"/>
    <mergeCell ref="B22:K22"/>
    <mergeCell ref="B25:K25"/>
    <mergeCell ref="L3:L4"/>
    <mergeCell ref="B5:K5"/>
    <mergeCell ref="B9:K9"/>
    <mergeCell ref="B12:K12"/>
    <mergeCell ref="B15:K15"/>
    <mergeCell ref="B19:K1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2.125" style="13" customWidth="1"/>
    <col min="3" max="3" width="27.25390625" style="13" customWidth="1"/>
    <col min="4" max="4" width="10.625" style="13" bestFit="1" customWidth="1"/>
    <col min="5" max="5" width="14.75390625" style="13" customWidth="1"/>
    <col min="6" max="6" width="37.375" style="13" customWidth="1"/>
    <col min="7" max="9" width="4.625" style="67" bestFit="1" customWidth="1"/>
    <col min="10" max="10" width="4.125" style="67" customWidth="1"/>
    <col min="11" max="11" width="11.375" style="67" customWidth="1"/>
    <col min="12" max="12" width="24.875" style="13" bestFit="1" customWidth="1"/>
  </cols>
  <sheetData>
    <row r="1" spans="1:12" s="1" customFormat="1" ht="15" customHeight="1">
      <c r="A1" s="50"/>
      <c r="B1" s="149" t="s">
        <v>980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1" customFormat="1" ht="78.7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79" t="s">
        <v>952</v>
      </c>
      <c r="B3" s="155" t="s">
        <v>0</v>
      </c>
      <c r="C3" s="157" t="s">
        <v>992</v>
      </c>
      <c r="D3" s="157" t="s">
        <v>993</v>
      </c>
      <c r="E3" s="142" t="s">
        <v>7</v>
      </c>
      <c r="F3" s="158" t="s">
        <v>994</v>
      </c>
      <c r="G3" s="158" t="s">
        <v>3</v>
      </c>
      <c r="H3" s="181"/>
      <c r="I3" s="181"/>
      <c r="J3" s="181"/>
      <c r="K3" s="142" t="s">
        <v>957</v>
      </c>
      <c r="L3" s="146" t="s">
        <v>5</v>
      </c>
    </row>
    <row r="4" spans="1:12" s="2" customFormat="1" ht="21" customHeight="1" thickBot="1">
      <c r="A4" s="180"/>
      <c r="B4" s="156"/>
      <c r="C4" s="143"/>
      <c r="D4" s="143"/>
      <c r="E4" s="143"/>
      <c r="F4" s="159"/>
      <c r="G4" s="3">
        <v>1</v>
      </c>
      <c r="H4" s="3">
        <v>2</v>
      </c>
      <c r="I4" s="3">
        <v>3</v>
      </c>
      <c r="J4" s="3" t="s">
        <v>1012</v>
      </c>
      <c r="K4" s="143"/>
      <c r="L4" s="147"/>
    </row>
    <row r="6" spans="2:11" ht="15">
      <c r="B6" s="160" t="s">
        <v>78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1:12" ht="12.75">
      <c r="A7" s="53">
        <v>1</v>
      </c>
      <c r="B7" s="30" t="s">
        <v>695</v>
      </c>
      <c r="C7" s="16" t="s">
        <v>696</v>
      </c>
      <c r="D7" s="16" t="s">
        <v>322</v>
      </c>
      <c r="E7" s="16" t="s">
        <v>14</v>
      </c>
      <c r="F7" s="16" t="s">
        <v>962</v>
      </c>
      <c r="G7" s="68" t="s">
        <v>755</v>
      </c>
      <c r="H7" s="133" t="s">
        <v>755</v>
      </c>
      <c r="I7" s="133" t="s">
        <v>756</v>
      </c>
      <c r="J7" s="69"/>
      <c r="K7" s="55">
        <v>20</v>
      </c>
      <c r="L7" s="16" t="s">
        <v>63</v>
      </c>
    </row>
    <row r="8" spans="1:12" ht="12.75">
      <c r="A8" s="54">
        <v>1</v>
      </c>
      <c r="B8" s="31" t="s">
        <v>757</v>
      </c>
      <c r="C8" s="19" t="s">
        <v>758</v>
      </c>
      <c r="D8" s="19" t="s">
        <v>759</v>
      </c>
      <c r="E8" s="19" t="s">
        <v>14</v>
      </c>
      <c r="F8" s="19" t="s">
        <v>995</v>
      </c>
      <c r="G8" s="134" t="s">
        <v>760</v>
      </c>
      <c r="H8" s="71" t="s">
        <v>761</v>
      </c>
      <c r="I8" s="71" t="s">
        <v>761</v>
      </c>
      <c r="J8" s="72"/>
      <c r="K8" s="57">
        <v>22.5</v>
      </c>
      <c r="L8" s="21" t="s">
        <v>63</v>
      </c>
    </row>
    <row r="10" spans="2:11" ht="15">
      <c r="B10" s="160" t="s">
        <v>108</v>
      </c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2" ht="12.75">
      <c r="A11" s="59">
        <v>1</v>
      </c>
      <c r="B11" s="29" t="s">
        <v>708</v>
      </c>
      <c r="C11" s="21" t="s">
        <v>762</v>
      </c>
      <c r="D11" s="21" t="s">
        <v>710</v>
      </c>
      <c r="E11" s="21" t="s">
        <v>22</v>
      </c>
      <c r="F11" s="21" t="s">
        <v>995</v>
      </c>
      <c r="G11" s="89" t="s">
        <v>223</v>
      </c>
      <c r="H11" s="65" t="s">
        <v>224</v>
      </c>
      <c r="I11" s="65" t="s">
        <v>224</v>
      </c>
      <c r="J11" s="66"/>
      <c r="K11" s="64">
        <v>25</v>
      </c>
      <c r="L11" s="21" t="s">
        <v>63</v>
      </c>
    </row>
    <row r="12" spans="8:11" ht="12.75">
      <c r="H12" s="92"/>
      <c r="I12" s="92"/>
      <c r="K12" s="91"/>
    </row>
    <row r="13" spans="2:11" ht="15">
      <c r="B13" s="160" t="s">
        <v>137</v>
      </c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2" ht="12.75">
      <c r="A14" s="59">
        <v>1</v>
      </c>
      <c r="B14" s="29" t="s">
        <v>740</v>
      </c>
      <c r="C14" s="21" t="s">
        <v>741</v>
      </c>
      <c r="D14" s="21" t="s">
        <v>742</v>
      </c>
      <c r="E14" s="21" t="s">
        <v>14</v>
      </c>
      <c r="F14" s="21" t="s">
        <v>962</v>
      </c>
      <c r="G14" s="89" t="s">
        <v>756</v>
      </c>
      <c r="H14" s="65" t="s">
        <v>760</v>
      </c>
      <c r="I14" s="89" t="s">
        <v>760</v>
      </c>
      <c r="J14" s="66"/>
      <c r="K14" s="64">
        <v>22.5</v>
      </c>
      <c r="L14" s="16" t="s">
        <v>63</v>
      </c>
    </row>
    <row r="15" ht="12.75">
      <c r="L15" s="35"/>
    </row>
    <row r="16" spans="2:11" ht="15">
      <c r="B16" s="160" t="s">
        <v>165</v>
      </c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2" ht="12.75">
      <c r="A17" s="59">
        <v>1</v>
      </c>
      <c r="B17" s="29" t="s">
        <v>703</v>
      </c>
      <c r="C17" s="21" t="s">
        <v>704</v>
      </c>
      <c r="D17" s="21" t="s">
        <v>705</v>
      </c>
      <c r="E17" s="21" t="s">
        <v>22</v>
      </c>
      <c r="F17" s="21" t="s">
        <v>995</v>
      </c>
      <c r="G17" s="89" t="s">
        <v>760</v>
      </c>
      <c r="H17" s="65" t="s">
        <v>223</v>
      </c>
      <c r="I17" s="65" t="s">
        <v>223</v>
      </c>
      <c r="J17" s="66"/>
      <c r="K17" s="64">
        <v>22.5</v>
      </c>
      <c r="L17" s="21" t="s">
        <v>27</v>
      </c>
    </row>
    <row r="18" spans="2:12" ht="12.75">
      <c r="B18" s="28"/>
      <c r="C18" s="28"/>
      <c r="D18" s="28"/>
      <c r="E18" s="28"/>
      <c r="F18" s="28"/>
      <c r="G18" s="119"/>
      <c r="H18" s="119"/>
      <c r="I18" s="119"/>
      <c r="J18" s="119"/>
      <c r="K18" s="119"/>
      <c r="L18" s="28"/>
    </row>
    <row r="19" spans="2:12" ht="15">
      <c r="B19" s="182" t="s">
        <v>706</v>
      </c>
      <c r="C19" s="182"/>
      <c r="D19" s="182"/>
      <c r="E19" s="182"/>
      <c r="F19" s="182"/>
      <c r="G19" s="182"/>
      <c r="H19" s="182"/>
      <c r="I19" s="182"/>
      <c r="J19" s="182"/>
      <c r="K19" s="182"/>
      <c r="L19" s="28"/>
    </row>
    <row r="20" spans="1:12" ht="12.75">
      <c r="A20" s="53">
        <v>1</v>
      </c>
      <c r="B20" s="30" t="s">
        <v>708</v>
      </c>
      <c r="C20" s="16" t="s">
        <v>709</v>
      </c>
      <c r="D20" s="16" t="s">
        <v>710</v>
      </c>
      <c r="E20" s="16" t="s">
        <v>22</v>
      </c>
      <c r="F20" s="16" t="s">
        <v>962</v>
      </c>
      <c r="G20" s="133" t="s">
        <v>223</v>
      </c>
      <c r="H20" s="68" t="s">
        <v>224</v>
      </c>
      <c r="I20" s="68" t="s">
        <v>224</v>
      </c>
      <c r="J20" s="69"/>
      <c r="K20" s="55">
        <v>25</v>
      </c>
      <c r="L20" s="16" t="s">
        <v>63</v>
      </c>
    </row>
    <row r="21" spans="1:12" ht="12.75">
      <c r="A21" s="54"/>
      <c r="B21" s="31" t="s">
        <v>712</v>
      </c>
      <c r="C21" s="19" t="s">
        <v>713</v>
      </c>
      <c r="D21" s="19" t="s">
        <v>714</v>
      </c>
      <c r="E21" s="19" t="s">
        <v>22</v>
      </c>
      <c r="F21" s="19" t="s">
        <v>962</v>
      </c>
      <c r="G21" s="71" t="s">
        <v>223</v>
      </c>
      <c r="H21" s="72"/>
      <c r="I21" s="72"/>
      <c r="J21" s="72"/>
      <c r="K21" s="80">
        <v>0</v>
      </c>
      <c r="L21" s="21" t="s">
        <v>63</v>
      </c>
    </row>
    <row r="22" ht="15">
      <c r="E22" s="14"/>
    </row>
  </sheetData>
  <sheetProtection/>
  <mergeCells count="15">
    <mergeCell ref="B16:K16"/>
    <mergeCell ref="B19:K19"/>
    <mergeCell ref="B1:L2"/>
    <mergeCell ref="B3:B4"/>
    <mergeCell ref="C3:C4"/>
    <mergeCell ref="D3:D4"/>
    <mergeCell ref="E3:E4"/>
    <mergeCell ref="F3:F4"/>
    <mergeCell ref="A3:A4"/>
    <mergeCell ref="L3:L4"/>
    <mergeCell ref="B6:K6"/>
    <mergeCell ref="B10:K10"/>
    <mergeCell ref="B13:K13"/>
    <mergeCell ref="K3:K4"/>
    <mergeCell ref="G3:J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75" customWidth="1"/>
    <col min="2" max="2" width="21.00390625" style="13" customWidth="1"/>
    <col min="3" max="3" width="28.25390625" style="13" customWidth="1"/>
    <col min="4" max="4" width="10.625" style="13" bestFit="1" customWidth="1"/>
    <col min="5" max="5" width="14.125" style="13" customWidth="1"/>
    <col min="6" max="6" width="36.00390625" style="13" customWidth="1"/>
    <col min="7" max="9" width="5.625" style="67" bestFit="1" customWidth="1"/>
    <col min="10" max="10" width="6.25390625" style="67" customWidth="1"/>
    <col min="11" max="11" width="10.75390625" style="91" customWidth="1"/>
    <col min="12" max="12" width="24.875" style="13" bestFit="1" customWidth="1"/>
  </cols>
  <sheetData>
    <row r="1" spans="1:12" s="1" customFormat="1" ht="15" customHeight="1">
      <c r="A1" s="50"/>
      <c r="B1" s="149" t="s">
        <v>981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1" customFormat="1" ht="72.7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79" t="s">
        <v>952</v>
      </c>
      <c r="B3" s="155" t="s">
        <v>0</v>
      </c>
      <c r="C3" s="157" t="s">
        <v>992</v>
      </c>
      <c r="D3" s="157" t="s">
        <v>993</v>
      </c>
      <c r="E3" s="142" t="s">
        <v>7</v>
      </c>
      <c r="F3" s="158" t="s">
        <v>994</v>
      </c>
      <c r="G3" s="158" t="s">
        <v>3</v>
      </c>
      <c r="H3" s="181"/>
      <c r="I3" s="181"/>
      <c r="J3" s="181"/>
      <c r="K3" s="142" t="s">
        <v>957</v>
      </c>
      <c r="L3" s="146" t="s">
        <v>5</v>
      </c>
    </row>
    <row r="4" spans="1:12" s="2" customFormat="1" ht="21" customHeight="1" thickBot="1">
      <c r="A4" s="180"/>
      <c r="B4" s="156"/>
      <c r="C4" s="143"/>
      <c r="D4" s="143"/>
      <c r="E4" s="143"/>
      <c r="F4" s="159"/>
      <c r="G4" s="3">
        <v>1</v>
      </c>
      <c r="H4" s="3">
        <v>2</v>
      </c>
      <c r="I4" s="3">
        <v>3</v>
      </c>
      <c r="J4" s="3" t="s">
        <v>1012</v>
      </c>
      <c r="K4" s="143"/>
      <c r="L4" s="147"/>
    </row>
    <row r="5" spans="2:11" ht="15">
      <c r="B5" s="160" t="s">
        <v>28</v>
      </c>
      <c r="C5" s="160"/>
      <c r="D5" s="160"/>
      <c r="E5" s="160"/>
      <c r="F5" s="160"/>
      <c r="G5" s="160"/>
      <c r="H5" s="160"/>
      <c r="I5" s="160"/>
      <c r="J5" s="160"/>
      <c r="K5" s="160"/>
    </row>
    <row r="6" spans="1:12" ht="12.75">
      <c r="A6" s="59">
        <v>1</v>
      </c>
      <c r="B6" s="29" t="s">
        <v>763</v>
      </c>
      <c r="C6" s="21" t="s">
        <v>764</v>
      </c>
      <c r="D6" s="21" t="s">
        <v>765</v>
      </c>
      <c r="E6" s="21" t="s">
        <v>14</v>
      </c>
      <c r="F6" s="21" t="s">
        <v>960</v>
      </c>
      <c r="G6" s="89" t="s">
        <v>55</v>
      </c>
      <c r="H6" s="89" t="s">
        <v>39</v>
      </c>
      <c r="I6" s="89" t="s">
        <v>34</v>
      </c>
      <c r="J6" s="66"/>
      <c r="K6" s="64">
        <v>80</v>
      </c>
      <c r="L6" s="21" t="s">
        <v>943</v>
      </c>
    </row>
    <row r="8" spans="2:11" ht="15">
      <c r="B8" s="160" t="s">
        <v>78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2.75">
      <c r="A9" s="53">
        <v>1</v>
      </c>
      <c r="B9" s="30" t="s">
        <v>766</v>
      </c>
      <c r="C9" s="16" t="s">
        <v>767</v>
      </c>
      <c r="D9" s="16" t="s">
        <v>768</v>
      </c>
      <c r="E9" s="16" t="s">
        <v>14</v>
      </c>
      <c r="F9" s="16" t="s">
        <v>960</v>
      </c>
      <c r="G9" s="133" t="s">
        <v>164</v>
      </c>
      <c r="H9" s="133" t="s">
        <v>77</v>
      </c>
      <c r="I9" s="133" t="s">
        <v>72</v>
      </c>
      <c r="J9" s="69"/>
      <c r="K9" s="55">
        <v>160</v>
      </c>
      <c r="L9" s="16" t="s">
        <v>63</v>
      </c>
    </row>
    <row r="10" spans="1:12" ht="12.75">
      <c r="A10" s="74">
        <v>2</v>
      </c>
      <c r="B10" s="41" t="s">
        <v>769</v>
      </c>
      <c r="C10" s="18" t="s">
        <v>770</v>
      </c>
      <c r="D10" s="18" t="s">
        <v>771</v>
      </c>
      <c r="E10" s="18" t="s">
        <v>14</v>
      </c>
      <c r="F10" s="18" t="s">
        <v>960</v>
      </c>
      <c r="G10" s="135" t="s">
        <v>164</v>
      </c>
      <c r="H10" s="135" t="s">
        <v>69</v>
      </c>
      <c r="I10" s="135" t="s">
        <v>72</v>
      </c>
      <c r="J10" s="77"/>
      <c r="K10" s="76">
        <v>160</v>
      </c>
      <c r="L10" s="18" t="s">
        <v>63</v>
      </c>
    </row>
    <row r="11" spans="1:12" ht="12.75">
      <c r="A11" s="74">
        <v>3</v>
      </c>
      <c r="B11" s="41" t="s">
        <v>772</v>
      </c>
      <c r="C11" s="18" t="s">
        <v>773</v>
      </c>
      <c r="D11" s="18" t="s">
        <v>774</v>
      </c>
      <c r="E11" s="18" t="s">
        <v>14</v>
      </c>
      <c r="F11" s="18" t="s">
        <v>960</v>
      </c>
      <c r="G11" s="135" t="s">
        <v>164</v>
      </c>
      <c r="H11" s="135" t="s">
        <v>69</v>
      </c>
      <c r="I11" s="79" t="s">
        <v>72</v>
      </c>
      <c r="J11" s="77"/>
      <c r="K11" s="76">
        <v>150</v>
      </c>
      <c r="L11" s="18" t="s">
        <v>63</v>
      </c>
    </row>
    <row r="12" spans="1:12" ht="12.75">
      <c r="A12" s="54">
        <v>4</v>
      </c>
      <c r="B12" s="31" t="s">
        <v>695</v>
      </c>
      <c r="C12" s="19" t="s">
        <v>696</v>
      </c>
      <c r="D12" s="19" t="s">
        <v>322</v>
      </c>
      <c r="E12" s="19" t="s">
        <v>14</v>
      </c>
      <c r="F12" s="19" t="s">
        <v>960</v>
      </c>
      <c r="G12" s="134" t="s">
        <v>106</v>
      </c>
      <c r="H12" s="134" t="s">
        <v>107</v>
      </c>
      <c r="I12" s="134" t="s">
        <v>68</v>
      </c>
      <c r="J12" s="72"/>
      <c r="K12" s="57">
        <v>142.5</v>
      </c>
      <c r="L12" s="19" t="s">
        <v>63</v>
      </c>
    </row>
    <row r="14" spans="2:12" ht="15">
      <c r="B14" s="160" t="s">
        <v>108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34"/>
    </row>
    <row r="15" spans="1:12" ht="12.75">
      <c r="A15" s="53">
        <v>1</v>
      </c>
      <c r="B15" s="30" t="s">
        <v>735</v>
      </c>
      <c r="C15" s="16" t="s">
        <v>552</v>
      </c>
      <c r="D15" s="16" t="s">
        <v>736</v>
      </c>
      <c r="E15" s="16" t="s">
        <v>14</v>
      </c>
      <c r="F15" s="16" t="s">
        <v>737</v>
      </c>
      <c r="G15" s="133" t="s">
        <v>127</v>
      </c>
      <c r="H15" s="133" t="s">
        <v>62</v>
      </c>
      <c r="I15" s="133" t="s">
        <v>117</v>
      </c>
      <c r="J15" s="69"/>
      <c r="K15" s="55">
        <v>205</v>
      </c>
      <c r="L15" s="19" t="s">
        <v>63</v>
      </c>
    </row>
    <row r="16" spans="1:12" ht="12.75">
      <c r="A16" s="54">
        <v>2</v>
      </c>
      <c r="B16" s="31" t="s">
        <v>697</v>
      </c>
      <c r="C16" s="19" t="s">
        <v>698</v>
      </c>
      <c r="D16" s="19" t="s">
        <v>122</v>
      </c>
      <c r="E16" s="19" t="s">
        <v>22</v>
      </c>
      <c r="F16" s="19" t="s">
        <v>960</v>
      </c>
      <c r="G16" s="134" t="s">
        <v>77</v>
      </c>
      <c r="H16" s="134" t="s">
        <v>83</v>
      </c>
      <c r="I16" s="134" t="s">
        <v>88</v>
      </c>
      <c r="J16" s="72"/>
      <c r="K16" s="57">
        <v>170</v>
      </c>
      <c r="L16" s="19" t="s">
        <v>942</v>
      </c>
    </row>
    <row r="18" spans="2:11" ht="15">
      <c r="B18" s="160" t="s">
        <v>137</v>
      </c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2" ht="12.75">
      <c r="A19" s="59">
        <v>1</v>
      </c>
      <c r="B19" s="29" t="s">
        <v>775</v>
      </c>
      <c r="C19" s="21" t="s">
        <v>776</v>
      </c>
      <c r="D19" s="21" t="s">
        <v>601</v>
      </c>
      <c r="E19" s="21" t="s">
        <v>14</v>
      </c>
      <c r="F19" s="16" t="s">
        <v>960</v>
      </c>
      <c r="G19" s="89" t="s">
        <v>106</v>
      </c>
      <c r="H19" s="89" t="s">
        <v>164</v>
      </c>
      <c r="I19" s="89" t="s">
        <v>72</v>
      </c>
      <c r="J19" s="66"/>
      <c r="K19" s="64">
        <v>160</v>
      </c>
      <c r="L19" s="21" t="s">
        <v>27</v>
      </c>
    </row>
    <row r="20" ht="12.75">
      <c r="F20" s="35"/>
    </row>
    <row r="21" spans="2:12" ht="15">
      <c r="B21" s="183" t="s">
        <v>165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34"/>
    </row>
    <row r="22" spans="1:12" ht="12.75">
      <c r="A22" s="59">
        <v>1</v>
      </c>
      <c r="B22" s="31" t="s">
        <v>777</v>
      </c>
      <c r="C22" s="19" t="s">
        <v>778</v>
      </c>
      <c r="D22" s="19" t="s">
        <v>399</v>
      </c>
      <c r="E22" s="19" t="s">
        <v>14</v>
      </c>
      <c r="F22" s="18" t="s">
        <v>960</v>
      </c>
      <c r="G22" s="134" t="s">
        <v>127</v>
      </c>
      <c r="H22" s="134" t="s">
        <v>472</v>
      </c>
      <c r="I22" s="71" t="s">
        <v>170</v>
      </c>
      <c r="J22" s="72"/>
      <c r="K22" s="57">
        <v>225</v>
      </c>
      <c r="L22" s="19" t="s">
        <v>63</v>
      </c>
    </row>
    <row r="23" spans="6:12" ht="12.75">
      <c r="F23" s="35"/>
      <c r="L23" s="35"/>
    </row>
    <row r="24" spans="2:12" ht="15">
      <c r="B24" s="160" t="s">
        <v>706</v>
      </c>
      <c r="C24" s="160"/>
      <c r="D24" s="160"/>
      <c r="E24" s="160"/>
      <c r="F24" s="160"/>
      <c r="G24" s="160"/>
      <c r="H24" s="160"/>
      <c r="I24" s="160"/>
      <c r="J24" s="160"/>
      <c r="K24" s="160"/>
      <c r="L24" s="34"/>
    </row>
    <row r="25" spans="1:12" ht="12.75">
      <c r="A25" s="53">
        <v>1</v>
      </c>
      <c r="B25" s="30" t="s">
        <v>697</v>
      </c>
      <c r="C25" s="16" t="s">
        <v>707</v>
      </c>
      <c r="D25" s="16" t="s">
        <v>122</v>
      </c>
      <c r="E25" s="16" t="s">
        <v>22</v>
      </c>
      <c r="F25" s="16" t="s">
        <v>960</v>
      </c>
      <c r="G25" s="133" t="s">
        <v>77</v>
      </c>
      <c r="H25" s="133" t="s">
        <v>83</v>
      </c>
      <c r="I25" s="133" t="s">
        <v>88</v>
      </c>
      <c r="J25" s="69"/>
      <c r="K25" s="55">
        <v>170</v>
      </c>
      <c r="L25" s="18" t="s">
        <v>942</v>
      </c>
    </row>
    <row r="26" spans="1:12" ht="12.75">
      <c r="A26" s="74">
        <v>1</v>
      </c>
      <c r="B26" s="41" t="s">
        <v>751</v>
      </c>
      <c r="C26" s="18" t="s">
        <v>752</v>
      </c>
      <c r="D26" s="18" t="s">
        <v>753</v>
      </c>
      <c r="E26" s="18" t="s">
        <v>22</v>
      </c>
      <c r="F26" s="18" t="s">
        <v>960</v>
      </c>
      <c r="G26" s="135" t="s">
        <v>107</v>
      </c>
      <c r="H26" s="135" t="s">
        <v>164</v>
      </c>
      <c r="I26" s="135" t="s">
        <v>76</v>
      </c>
      <c r="J26" s="122" t="s">
        <v>69</v>
      </c>
      <c r="K26" s="76">
        <v>145</v>
      </c>
      <c r="L26" s="18" t="s">
        <v>63</v>
      </c>
    </row>
    <row r="27" spans="1:12" ht="12.75">
      <c r="A27" s="54">
        <v>2</v>
      </c>
      <c r="B27" s="31" t="s">
        <v>708</v>
      </c>
      <c r="C27" s="19" t="s">
        <v>709</v>
      </c>
      <c r="D27" s="19" t="s">
        <v>710</v>
      </c>
      <c r="E27" s="19" t="s">
        <v>22</v>
      </c>
      <c r="F27" s="19" t="s">
        <v>960</v>
      </c>
      <c r="G27" s="134" t="s">
        <v>236</v>
      </c>
      <c r="H27" s="134" t="s">
        <v>107</v>
      </c>
      <c r="I27" s="134" t="s">
        <v>67</v>
      </c>
      <c r="J27" s="72"/>
      <c r="K27" s="57">
        <v>135</v>
      </c>
      <c r="L27" s="19" t="s">
        <v>63</v>
      </c>
    </row>
    <row r="28" ht="12.75">
      <c r="A28" s="120"/>
    </row>
    <row r="29" spans="2:3" ht="18">
      <c r="B29" s="15" t="s">
        <v>177</v>
      </c>
      <c r="C29" s="15"/>
    </row>
    <row r="30" spans="2:3" ht="15">
      <c r="B30" s="22" t="s">
        <v>184</v>
      </c>
      <c r="C30" s="22"/>
    </row>
    <row r="31" spans="2:11" ht="14.25">
      <c r="B31" s="24"/>
      <c r="C31" s="25" t="s">
        <v>178</v>
      </c>
      <c r="J31" s="119"/>
      <c r="K31" s="121"/>
    </row>
    <row r="32" spans="2:11" ht="15">
      <c r="B32" s="26" t="s">
        <v>179</v>
      </c>
      <c r="C32" s="26" t="s">
        <v>180</v>
      </c>
      <c r="D32" s="26" t="s">
        <v>181</v>
      </c>
      <c r="E32" s="26" t="s">
        <v>182</v>
      </c>
      <c r="J32" s="119"/>
      <c r="K32" s="121"/>
    </row>
    <row r="33" spans="1:11" ht="12.75">
      <c r="A33" s="75">
        <v>1</v>
      </c>
      <c r="B33" s="16" t="s">
        <v>777</v>
      </c>
      <c r="C33" s="46" t="s">
        <v>178</v>
      </c>
      <c r="D33" s="70" t="s">
        <v>236</v>
      </c>
      <c r="E33" s="70" t="s">
        <v>472</v>
      </c>
      <c r="J33" s="123"/>
      <c r="K33" s="121"/>
    </row>
    <row r="34" spans="1:11" ht="12.75">
      <c r="A34" s="75">
        <v>2</v>
      </c>
      <c r="B34" s="18" t="s">
        <v>735</v>
      </c>
      <c r="C34" s="47" t="s">
        <v>178</v>
      </c>
      <c r="D34" s="78" t="s">
        <v>293</v>
      </c>
      <c r="E34" s="78" t="s">
        <v>117</v>
      </c>
      <c r="J34" s="119"/>
      <c r="K34" s="121"/>
    </row>
    <row r="35" spans="1:5" ht="12.75">
      <c r="A35" s="75">
        <v>3</v>
      </c>
      <c r="B35" s="31" t="s">
        <v>697</v>
      </c>
      <c r="C35" s="48" t="s">
        <v>178</v>
      </c>
      <c r="D35" s="73" t="s">
        <v>293</v>
      </c>
      <c r="E35" s="73" t="s">
        <v>88</v>
      </c>
    </row>
    <row r="37" ht="12.75">
      <c r="C37" s="28"/>
    </row>
  </sheetData>
  <sheetProtection/>
  <mergeCells count="16">
    <mergeCell ref="B1:L2"/>
    <mergeCell ref="B3:B4"/>
    <mergeCell ref="C3:C4"/>
    <mergeCell ref="D3:D4"/>
    <mergeCell ref="E3:E4"/>
    <mergeCell ref="F3:F4"/>
    <mergeCell ref="G3:J3"/>
    <mergeCell ref="K3:K4"/>
    <mergeCell ref="A3:A4"/>
    <mergeCell ref="B24:K24"/>
    <mergeCell ref="L3:L4"/>
    <mergeCell ref="B5:K5"/>
    <mergeCell ref="B8:K8"/>
    <mergeCell ref="B14:K14"/>
    <mergeCell ref="B18:K18"/>
    <mergeCell ref="B21:K2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7">
      <selection activeCell="A1" sqref="A1"/>
    </sheetView>
  </sheetViews>
  <sheetFormatPr defaultColWidth="9.125" defaultRowHeight="12.75"/>
  <cols>
    <col min="1" max="1" width="9.125" style="1" customWidth="1"/>
    <col min="2" max="2" width="23.125" style="100" customWidth="1"/>
    <col min="3" max="3" width="27.125" style="5" customWidth="1"/>
    <col min="4" max="4" width="10.625" style="5" bestFit="1" customWidth="1"/>
    <col min="5" max="5" width="15.25390625" style="5" customWidth="1"/>
    <col min="6" max="6" width="36.125" style="5" customWidth="1"/>
    <col min="7" max="9" width="4.625" style="50" bestFit="1" customWidth="1"/>
    <col min="10" max="10" width="4.75390625" style="50" customWidth="1"/>
    <col min="11" max="11" width="11.375" style="50" customWidth="1"/>
    <col min="12" max="12" width="24.875" style="5" bestFit="1" customWidth="1"/>
    <col min="13" max="16384" width="9.125" style="1" customWidth="1"/>
  </cols>
  <sheetData>
    <row r="1" spans="2:12" ht="15" customHeight="1">
      <c r="B1" s="149" t="s">
        <v>982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2" ht="91.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79" t="s">
        <v>952</v>
      </c>
      <c r="B3" s="155" t="s">
        <v>0</v>
      </c>
      <c r="C3" s="157" t="s">
        <v>992</v>
      </c>
      <c r="D3" s="157" t="s">
        <v>993</v>
      </c>
      <c r="E3" s="142" t="s">
        <v>7</v>
      </c>
      <c r="F3" s="158" t="s">
        <v>994</v>
      </c>
      <c r="G3" s="158" t="s">
        <v>3</v>
      </c>
      <c r="H3" s="181"/>
      <c r="I3" s="181"/>
      <c r="J3" s="181"/>
      <c r="K3" s="142" t="s">
        <v>957</v>
      </c>
      <c r="L3" s="146" t="s">
        <v>5</v>
      </c>
    </row>
    <row r="4" spans="1:12" s="2" customFormat="1" ht="21" customHeight="1" thickBot="1">
      <c r="A4" s="180"/>
      <c r="B4" s="156"/>
      <c r="C4" s="143"/>
      <c r="D4" s="143"/>
      <c r="E4" s="143"/>
      <c r="F4" s="159"/>
      <c r="G4" s="3">
        <v>1</v>
      </c>
      <c r="H4" s="3">
        <v>2</v>
      </c>
      <c r="I4" s="3">
        <v>3</v>
      </c>
      <c r="J4" s="3" t="s">
        <v>1012</v>
      </c>
      <c r="K4" s="143"/>
      <c r="L4" s="147"/>
    </row>
    <row r="5" spans="2:11" ht="15">
      <c r="B5" s="178" t="s">
        <v>28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42" t="s">
        <v>953</v>
      </c>
      <c r="B6" s="97" t="s">
        <v>19</v>
      </c>
      <c r="C6" s="6" t="s">
        <v>20</v>
      </c>
      <c r="D6" s="6" t="s">
        <v>21</v>
      </c>
      <c r="E6" s="6" t="s">
        <v>22</v>
      </c>
      <c r="F6" s="6" t="s">
        <v>960</v>
      </c>
      <c r="G6" s="89" t="s">
        <v>225</v>
      </c>
      <c r="H6" s="89" t="s">
        <v>729</v>
      </c>
      <c r="I6" s="89" t="s">
        <v>779</v>
      </c>
      <c r="J6" s="109"/>
      <c r="K6" s="42" t="s">
        <v>780</v>
      </c>
      <c r="L6" s="6" t="s">
        <v>27</v>
      </c>
    </row>
    <row r="7" spans="2:11" ht="15">
      <c r="B7" s="184" t="s">
        <v>78</v>
      </c>
      <c r="C7" s="185"/>
      <c r="D7" s="185"/>
      <c r="E7" s="185"/>
      <c r="F7" s="185"/>
      <c r="G7" s="185"/>
      <c r="H7" s="185"/>
      <c r="I7" s="185"/>
      <c r="J7" s="185"/>
      <c r="K7" s="185"/>
    </row>
    <row r="8" spans="1:12" ht="12.75">
      <c r="A8" s="43" t="s">
        <v>953</v>
      </c>
      <c r="B8" s="98" t="s">
        <v>300</v>
      </c>
      <c r="C8" s="8" t="s">
        <v>781</v>
      </c>
      <c r="D8" s="8" t="s">
        <v>81</v>
      </c>
      <c r="E8" s="8" t="s">
        <v>14</v>
      </c>
      <c r="F8" s="8" t="s">
        <v>962</v>
      </c>
      <c r="G8" s="133" t="s">
        <v>199</v>
      </c>
      <c r="H8" s="133" t="s">
        <v>731</v>
      </c>
      <c r="I8" s="110" t="s">
        <v>732</v>
      </c>
      <c r="J8" s="111"/>
      <c r="K8" s="43" t="s">
        <v>782</v>
      </c>
      <c r="L8" s="8" t="s">
        <v>932</v>
      </c>
    </row>
    <row r="9" spans="1:12" ht="12.75">
      <c r="A9" s="45" t="s">
        <v>953</v>
      </c>
      <c r="B9" s="101" t="s">
        <v>695</v>
      </c>
      <c r="C9" s="11" t="s">
        <v>696</v>
      </c>
      <c r="D9" s="11" t="s">
        <v>322</v>
      </c>
      <c r="E9" s="11" t="s">
        <v>14</v>
      </c>
      <c r="F9" s="11" t="s">
        <v>960</v>
      </c>
      <c r="G9" s="135" t="s">
        <v>200</v>
      </c>
      <c r="H9" s="135" t="s">
        <v>743</v>
      </c>
      <c r="I9" s="135" t="s">
        <v>732</v>
      </c>
      <c r="J9" s="116"/>
      <c r="K9" s="45" t="s">
        <v>783</v>
      </c>
      <c r="L9" s="11" t="s">
        <v>63</v>
      </c>
    </row>
    <row r="10" spans="1:12" ht="12.75">
      <c r="A10" s="44" t="s">
        <v>953</v>
      </c>
      <c r="B10" s="99" t="s">
        <v>757</v>
      </c>
      <c r="C10" s="10" t="s">
        <v>758</v>
      </c>
      <c r="D10" s="10" t="s">
        <v>759</v>
      </c>
      <c r="E10" s="10" t="s">
        <v>14</v>
      </c>
      <c r="F10" s="10" t="s">
        <v>960</v>
      </c>
      <c r="G10" s="134" t="s">
        <v>199</v>
      </c>
      <c r="H10" s="134" t="s">
        <v>728</v>
      </c>
      <c r="I10" s="134" t="s">
        <v>784</v>
      </c>
      <c r="J10" s="113"/>
      <c r="K10" s="44" t="s">
        <v>785</v>
      </c>
      <c r="L10" s="10" t="s">
        <v>63</v>
      </c>
    </row>
    <row r="12" spans="2:12" ht="15">
      <c r="B12" s="177" t="s">
        <v>108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33"/>
    </row>
    <row r="13" spans="1:12" ht="12.75">
      <c r="A13" s="43" t="s">
        <v>953</v>
      </c>
      <c r="B13" s="98" t="s">
        <v>735</v>
      </c>
      <c r="C13" s="8" t="s">
        <v>552</v>
      </c>
      <c r="D13" s="8" t="s">
        <v>736</v>
      </c>
      <c r="E13" s="8" t="s">
        <v>14</v>
      </c>
      <c r="F13" s="8" t="s">
        <v>737</v>
      </c>
      <c r="G13" s="133" t="s">
        <v>748</v>
      </c>
      <c r="H13" s="133" t="s">
        <v>749</v>
      </c>
      <c r="I13" s="110" t="s">
        <v>786</v>
      </c>
      <c r="J13" s="111"/>
      <c r="K13" s="43" t="s">
        <v>787</v>
      </c>
      <c r="L13" s="11" t="s">
        <v>63</v>
      </c>
    </row>
    <row r="14" spans="1:12" ht="12.75">
      <c r="A14" s="44" t="s">
        <v>954</v>
      </c>
      <c r="B14" s="99" t="s">
        <v>697</v>
      </c>
      <c r="C14" s="10" t="s">
        <v>698</v>
      </c>
      <c r="D14" s="10" t="s">
        <v>699</v>
      </c>
      <c r="E14" s="10" t="s">
        <v>22</v>
      </c>
      <c r="F14" s="10" t="s">
        <v>960</v>
      </c>
      <c r="G14" s="134" t="s">
        <v>788</v>
      </c>
      <c r="H14" s="112" t="s">
        <v>711</v>
      </c>
      <c r="I14" s="112" t="s">
        <v>711</v>
      </c>
      <c r="J14" s="113"/>
      <c r="K14" s="44" t="s">
        <v>789</v>
      </c>
      <c r="L14" s="10" t="s">
        <v>942</v>
      </c>
    </row>
    <row r="16" spans="2:11" ht="15">
      <c r="B16" s="177" t="s">
        <v>137</v>
      </c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2" ht="12.75">
      <c r="A17" s="42" t="s">
        <v>953</v>
      </c>
      <c r="B17" s="97" t="s">
        <v>775</v>
      </c>
      <c r="C17" s="6" t="s">
        <v>776</v>
      </c>
      <c r="D17" s="6" t="s">
        <v>601</v>
      </c>
      <c r="E17" s="6" t="s">
        <v>14</v>
      </c>
      <c r="F17" s="6" t="s">
        <v>962</v>
      </c>
      <c r="G17" s="89" t="s">
        <v>16</v>
      </c>
      <c r="H17" s="108" t="s">
        <v>733</v>
      </c>
      <c r="I17" s="89" t="s">
        <v>733</v>
      </c>
      <c r="J17" s="109"/>
      <c r="K17" s="42" t="s">
        <v>790</v>
      </c>
      <c r="L17" s="6" t="s">
        <v>27</v>
      </c>
    </row>
    <row r="19" spans="2:11" ht="15">
      <c r="B19" s="177" t="s">
        <v>165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2" ht="12.75">
      <c r="A20" s="42" t="s">
        <v>953</v>
      </c>
      <c r="B20" s="97" t="s">
        <v>703</v>
      </c>
      <c r="C20" s="6" t="s">
        <v>704</v>
      </c>
      <c r="D20" s="6" t="s">
        <v>705</v>
      </c>
      <c r="E20" s="6" t="s">
        <v>22</v>
      </c>
      <c r="F20" s="6" t="s">
        <v>960</v>
      </c>
      <c r="G20" s="89" t="s">
        <v>16</v>
      </c>
      <c r="H20" s="89" t="s">
        <v>733</v>
      </c>
      <c r="I20" s="108" t="s">
        <v>754</v>
      </c>
      <c r="J20" s="109"/>
      <c r="K20" s="42" t="s">
        <v>790</v>
      </c>
      <c r="L20" s="6" t="s">
        <v>27</v>
      </c>
    </row>
    <row r="22" spans="2:12" ht="15">
      <c r="B22" s="177" t="s">
        <v>706</v>
      </c>
      <c r="C22" s="160"/>
      <c r="D22" s="160"/>
      <c r="E22" s="160"/>
      <c r="F22" s="160"/>
      <c r="G22" s="160"/>
      <c r="H22" s="160"/>
      <c r="I22" s="160"/>
      <c r="J22" s="160"/>
      <c r="K22" s="160"/>
      <c r="L22" s="33"/>
    </row>
    <row r="23" spans="1:12" ht="12.75">
      <c r="A23" s="43" t="s">
        <v>953</v>
      </c>
      <c r="B23" s="98" t="s">
        <v>697</v>
      </c>
      <c r="C23" s="8" t="s">
        <v>707</v>
      </c>
      <c r="D23" s="8" t="s">
        <v>699</v>
      </c>
      <c r="E23" s="8" t="s">
        <v>22</v>
      </c>
      <c r="F23" s="8" t="s">
        <v>960</v>
      </c>
      <c r="G23" s="133" t="s">
        <v>788</v>
      </c>
      <c r="H23" s="110" t="s">
        <v>711</v>
      </c>
      <c r="I23" s="110" t="s">
        <v>711</v>
      </c>
      <c r="J23" s="111"/>
      <c r="K23" s="43" t="s">
        <v>789</v>
      </c>
      <c r="L23" s="11" t="s">
        <v>942</v>
      </c>
    </row>
    <row r="24" spans="1:12" ht="12.75">
      <c r="A24" s="44" t="s">
        <v>953</v>
      </c>
      <c r="B24" s="99" t="s">
        <v>751</v>
      </c>
      <c r="C24" s="10" t="s">
        <v>752</v>
      </c>
      <c r="D24" s="10" t="s">
        <v>753</v>
      </c>
      <c r="E24" s="10" t="s">
        <v>22</v>
      </c>
      <c r="F24" s="10" t="s">
        <v>960</v>
      </c>
      <c r="G24" s="134" t="s">
        <v>200</v>
      </c>
      <c r="H24" s="134" t="s">
        <v>731</v>
      </c>
      <c r="I24" s="112" t="s">
        <v>732</v>
      </c>
      <c r="J24" s="113"/>
      <c r="K24" s="49" t="s">
        <v>782</v>
      </c>
      <c r="L24" s="10" t="s">
        <v>63</v>
      </c>
    </row>
  </sheetData>
  <sheetProtection/>
  <mergeCells count="16">
    <mergeCell ref="B1:L2"/>
    <mergeCell ref="B3:B4"/>
    <mergeCell ref="C3:C4"/>
    <mergeCell ref="D3:D4"/>
    <mergeCell ref="E3:E4"/>
    <mergeCell ref="F3:F4"/>
    <mergeCell ref="G3:J3"/>
    <mergeCell ref="K3:K4"/>
    <mergeCell ref="A3:A4"/>
    <mergeCell ref="B22:K22"/>
    <mergeCell ref="L3:L4"/>
    <mergeCell ref="B5:K5"/>
    <mergeCell ref="B7:K7"/>
    <mergeCell ref="B12:K12"/>
    <mergeCell ref="B16:K16"/>
    <mergeCell ref="B19:K1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20.375" style="100" customWidth="1"/>
    <col min="3" max="3" width="26.875" style="5" customWidth="1"/>
    <col min="4" max="4" width="10.625" style="5" bestFit="1" customWidth="1"/>
    <col min="5" max="5" width="8.375" style="5" customWidth="1"/>
    <col min="6" max="6" width="22.75390625" style="5" bestFit="1" customWidth="1"/>
    <col min="7" max="7" width="32.25390625" style="5" bestFit="1" customWidth="1"/>
    <col min="8" max="8" width="4.625" style="50" bestFit="1" customWidth="1"/>
    <col min="9" max="9" width="9.375" style="50" customWidth="1"/>
    <col min="10" max="10" width="9.25390625" style="50" customWidth="1"/>
    <col min="11" max="11" width="9.625" style="50" bestFit="1" customWidth="1"/>
    <col min="12" max="12" width="18.875" style="5" bestFit="1" customWidth="1"/>
    <col min="13" max="16384" width="9.125" style="1" customWidth="1"/>
  </cols>
  <sheetData>
    <row r="1" spans="2:12" ht="15" customHeight="1">
      <c r="B1" s="149" t="s">
        <v>985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2" ht="99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2</v>
      </c>
      <c r="I3" s="142"/>
      <c r="J3" s="142" t="s">
        <v>1014</v>
      </c>
      <c r="K3" s="142" t="s">
        <v>6</v>
      </c>
      <c r="L3" s="146" t="s">
        <v>5</v>
      </c>
    </row>
    <row r="4" spans="1:12" s="2" customFormat="1" ht="21" customHeight="1" thickBot="1">
      <c r="A4" s="145"/>
      <c r="B4" s="156"/>
      <c r="C4" s="143"/>
      <c r="D4" s="143"/>
      <c r="E4" s="143"/>
      <c r="F4" s="143"/>
      <c r="G4" s="159"/>
      <c r="H4" s="3" t="s">
        <v>791</v>
      </c>
      <c r="I4" s="124" t="s">
        <v>792</v>
      </c>
      <c r="J4" s="143"/>
      <c r="K4" s="143"/>
      <c r="L4" s="147"/>
    </row>
    <row r="5" spans="2:11" ht="15">
      <c r="B5" s="167" t="s">
        <v>28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42" t="s">
        <v>953</v>
      </c>
      <c r="B6" s="126" t="s">
        <v>823</v>
      </c>
      <c r="C6" s="6" t="s">
        <v>824</v>
      </c>
      <c r="D6" s="6" t="s">
        <v>825</v>
      </c>
      <c r="E6" s="6" t="str">
        <f>"0,7164"</f>
        <v>0,7164</v>
      </c>
      <c r="F6" s="6" t="s">
        <v>14</v>
      </c>
      <c r="G6" s="6" t="s">
        <v>222</v>
      </c>
      <c r="H6" s="42" t="s">
        <v>17</v>
      </c>
      <c r="I6" s="42" t="s">
        <v>1021</v>
      </c>
      <c r="J6" s="42" t="s">
        <v>1025</v>
      </c>
      <c r="K6" s="42" t="str">
        <f>"1142,7377"</f>
        <v>1142,7377</v>
      </c>
      <c r="L6" s="6" t="s">
        <v>253</v>
      </c>
    </row>
    <row r="8" spans="2:11" ht="15">
      <c r="B8" s="168" t="s">
        <v>40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2.75">
      <c r="A9" s="43" t="s">
        <v>953</v>
      </c>
      <c r="B9" s="127" t="s">
        <v>826</v>
      </c>
      <c r="C9" s="8" t="s">
        <v>827</v>
      </c>
      <c r="D9" s="8" t="s">
        <v>828</v>
      </c>
      <c r="E9" s="8" t="str">
        <f>"0,6456"</f>
        <v>0,6456</v>
      </c>
      <c r="F9" s="8" t="s">
        <v>14</v>
      </c>
      <c r="G9" s="8" t="s">
        <v>829</v>
      </c>
      <c r="H9" s="43" t="s">
        <v>24</v>
      </c>
      <c r="I9" s="43" t="s">
        <v>1022</v>
      </c>
      <c r="J9" s="43" t="s">
        <v>1026</v>
      </c>
      <c r="K9" s="43" t="str">
        <f>"1544,5980"</f>
        <v>1544,5980</v>
      </c>
      <c r="L9" s="8" t="s">
        <v>63</v>
      </c>
    </row>
    <row r="10" spans="1:12" ht="12.75">
      <c r="A10" s="44" t="s">
        <v>954</v>
      </c>
      <c r="B10" s="128" t="s">
        <v>275</v>
      </c>
      <c r="C10" s="10" t="s">
        <v>276</v>
      </c>
      <c r="D10" s="10" t="s">
        <v>277</v>
      </c>
      <c r="E10" s="10" t="str">
        <f>"0,6545"</f>
        <v>0,6545</v>
      </c>
      <c r="F10" s="10" t="s">
        <v>14</v>
      </c>
      <c r="G10" s="10" t="s">
        <v>278</v>
      </c>
      <c r="H10" s="44" t="s">
        <v>24</v>
      </c>
      <c r="I10" s="44" t="s">
        <v>1020</v>
      </c>
      <c r="J10" s="44" t="s">
        <v>1027</v>
      </c>
      <c r="K10" s="44" t="str">
        <f>"1511,8950"</f>
        <v>1511,8950</v>
      </c>
      <c r="L10" s="10" t="s">
        <v>931</v>
      </c>
    </row>
    <row r="12" spans="2:11" ht="15">
      <c r="B12" s="168" t="s">
        <v>78</v>
      </c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2" ht="12.75">
      <c r="A13" s="42" t="s">
        <v>953</v>
      </c>
      <c r="B13" s="126" t="s">
        <v>313</v>
      </c>
      <c r="C13" s="6" t="s">
        <v>314</v>
      </c>
      <c r="D13" s="6" t="s">
        <v>312</v>
      </c>
      <c r="E13" s="6" t="str">
        <f>"0,6130"</f>
        <v>0,6130</v>
      </c>
      <c r="F13" s="6" t="s">
        <v>162</v>
      </c>
      <c r="G13" s="6" t="s">
        <v>163</v>
      </c>
      <c r="H13" s="42" t="s">
        <v>26</v>
      </c>
      <c r="I13" s="42" t="s">
        <v>1022</v>
      </c>
      <c r="J13" s="42" t="s">
        <v>1028</v>
      </c>
      <c r="K13" s="42" t="str">
        <f>"1599,9299"</f>
        <v>1599,9299</v>
      </c>
      <c r="L13" s="6" t="s">
        <v>63</v>
      </c>
    </row>
    <row r="15" spans="2:11" ht="15">
      <c r="B15" s="168" t="s">
        <v>108</v>
      </c>
      <c r="C15" s="160"/>
      <c r="D15" s="160"/>
      <c r="E15" s="160"/>
      <c r="F15" s="160"/>
      <c r="G15" s="160"/>
      <c r="H15" s="160"/>
      <c r="I15" s="160"/>
      <c r="J15" s="160"/>
      <c r="K15" s="160"/>
    </row>
    <row r="16" spans="1:12" ht="12.75">
      <c r="A16" s="43" t="s">
        <v>953</v>
      </c>
      <c r="B16" s="127" t="s">
        <v>830</v>
      </c>
      <c r="C16" s="8" t="s">
        <v>831</v>
      </c>
      <c r="D16" s="8" t="s">
        <v>832</v>
      </c>
      <c r="E16" s="8" t="str">
        <f>"0,6068"</f>
        <v>0,6068</v>
      </c>
      <c r="F16" s="8" t="s">
        <v>248</v>
      </c>
      <c r="G16" s="19" t="s">
        <v>898</v>
      </c>
      <c r="H16" s="43" t="s">
        <v>45</v>
      </c>
      <c r="I16" s="43" t="s">
        <v>1023</v>
      </c>
      <c r="J16" s="43" t="s">
        <v>1029</v>
      </c>
      <c r="K16" s="43" t="str">
        <f>"1964,5151"</f>
        <v>1964,5151</v>
      </c>
      <c r="L16" s="8" t="s">
        <v>945</v>
      </c>
    </row>
    <row r="17" spans="1:12" ht="12.75">
      <c r="A17" s="44" t="s">
        <v>954</v>
      </c>
      <c r="B17" s="128" t="s">
        <v>427</v>
      </c>
      <c r="C17" s="10" t="s">
        <v>428</v>
      </c>
      <c r="D17" s="10" t="s">
        <v>429</v>
      </c>
      <c r="E17" s="10" t="str">
        <f>"0,6061"</f>
        <v>0,6061</v>
      </c>
      <c r="F17" s="10" t="s">
        <v>14</v>
      </c>
      <c r="G17" s="21" t="s">
        <v>23</v>
      </c>
      <c r="H17" s="44" t="s">
        <v>45</v>
      </c>
      <c r="I17" s="44" t="s">
        <v>1024</v>
      </c>
      <c r="J17" s="44" t="s">
        <v>1030</v>
      </c>
      <c r="K17" s="44" t="str">
        <f>"1065,1329"</f>
        <v>1065,1329</v>
      </c>
      <c r="L17" s="10" t="s">
        <v>63</v>
      </c>
    </row>
  </sheetData>
  <sheetProtection/>
  <mergeCells count="16">
    <mergeCell ref="B15:K15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A3:A4"/>
    <mergeCell ref="L3:L4"/>
    <mergeCell ref="B5:K5"/>
    <mergeCell ref="B8:K8"/>
    <mergeCell ref="B12:K12"/>
    <mergeCell ref="K3:K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14.625" style="13" customWidth="1"/>
    <col min="7" max="7" width="36.375" style="13" customWidth="1"/>
    <col min="8" max="8" width="5.625" style="67" bestFit="1" customWidth="1"/>
    <col min="9" max="9" width="9.625" style="125" bestFit="1" customWidth="1"/>
    <col min="10" max="10" width="9.375" style="67" customWidth="1"/>
    <col min="11" max="11" width="9.625" style="67" bestFit="1" customWidth="1"/>
    <col min="12" max="12" width="23.00390625" style="13" bestFit="1" customWidth="1"/>
  </cols>
  <sheetData>
    <row r="1" spans="1:12" s="1" customFormat="1" ht="15" customHeight="1">
      <c r="A1" s="50"/>
      <c r="B1" s="169" t="s">
        <v>983</v>
      </c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s="1" customFormat="1" ht="86.25" customHeight="1" thickBot="1">
      <c r="A2" s="50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2</v>
      </c>
      <c r="I3" s="142"/>
      <c r="J3" s="142" t="s">
        <v>1014</v>
      </c>
      <c r="K3" s="142" t="s">
        <v>6</v>
      </c>
      <c r="L3" s="146" t="s">
        <v>5</v>
      </c>
    </row>
    <row r="4" spans="1:12" s="2" customFormat="1" ht="21" customHeight="1" thickBot="1">
      <c r="A4" s="145"/>
      <c r="B4" s="156"/>
      <c r="C4" s="143"/>
      <c r="D4" s="143"/>
      <c r="E4" s="143"/>
      <c r="F4" s="143"/>
      <c r="G4" s="159"/>
      <c r="H4" s="3" t="s">
        <v>791</v>
      </c>
      <c r="I4" s="124" t="s">
        <v>792</v>
      </c>
      <c r="J4" s="143"/>
      <c r="K4" s="143"/>
      <c r="L4" s="147"/>
    </row>
    <row r="5" spans="2:11" ht="15">
      <c r="B5" s="148" t="s">
        <v>18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59">
        <v>1</v>
      </c>
      <c r="B6" s="21" t="s">
        <v>19</v>
      </c>
      <c r="C6" s="21" t="s">
        <v>20</v>
      </c>
      <c r="D6" s="21" t="s">
        <v>21</v>
      </c>
      <c r="E6" s="21" t="str">
        <f>"0,9156"</f>
        <v>0,9156</v>
      </c>
      <c r="F6" s="21" t="s">
        <v>22</v>
      </c>
      <c r="G6" s="21" t="s">
        <v>960</v>
      </c>
      <c r="H6" s="62" t="s">
        <v>218</v>
      </c>
      <c r="I6" s="94">
        <v>9</v>
      </c>
      <c r="J6" s="64">
        <v>607.5</v>
      </c>
      <c r="K6" s="62" t="str">
        <f>"556,2270"</f>
        <v>556,2270</v>
      </c>
      <c r="L6" s="21" t="s">
        <v>27</v>
      </c>
    </row>
    <row r="8" spans="2:11" ht="15">
      <c r="B8" s="160" t="s">
        <v>40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2.75">
      <c r="A9" s="53">
        <v>1</v>
      </c>
      <c r="B9" s="16" t="s">
        <v>793</v>
      </c>
      <c r="C9" s="16" t="s">
        <v>794</v>
      </c>
      <c r="D9" s="16" t="s">
        <v>795</v>
      </c>
      <c r="E9" s="16" t="str">
        <f>"0,6852"</f>
        <v>0,6852</v>
      </c>
      <c r="F9" s="16" t="s">
        <v>14</v>
      </c>
      <c r="G9" s="16" t="s">
        <v>796</v>
      </c>
      <c r="H9" s="70" t="s">
        <v>33</v>
      </c>
      <c r="I9" s="84">
        <v>29</v>
      </c>
      <c r="J9" s="55">
        <v>2247.5</v>
      </c>
      <c r="K9" s="70" t="str">
        <f>"1539,8747"</f>
        <v>1539,8747</v>
      </c>
      <c r="L9" s="16" t="s">
        <v>63</v>
      </c>
    </row>
    <row r="10" spans="1:12" ht="12.75">
      <c r="A10" s="74">
        <v>2</v>
      </c>
      <c r="B10" s="18" t="s">
        <v>797</v>
      </c>
      <c r="C10" s="18" t="s">
        <v>798</v>
      </c>
      <c r="D10" s="18" t="s">
        <v>577</v>
      </c>
      <c r="E10" s="18" t="str">
        <f>"0,6755"</f>
        <v>0,6755</v>
      </c>
      <c r="F10" s="18" t="s">
        <v>14</v>
      </c>
      <c r="G10" s="18" t="s">
        <v>1015</v>
      </c>
      <c r="H10" s="78" t="s">
        <v>33</v>
      </c>
      <c r="I10" s="85">
        <v>16</v>
      </c>
      <c r="J10" s="76">
        <v>1240</v>
      </c>
      <c r="K10" s="78" t="str">
        <f>"837,6200"</f>
        <v>837,6200</v>
      </c>
      <c r="L10" s="18" t="s">
        <v>63</v>
      </c>
    </row>
    <row r="11" spans="1:12" ht="12.75">
      <c r="A11" s="54">
        <v>1</v>
      </c>
      <c r="B11" s="19" t="s">
        <v>797</v>
      </c>
      <c r="C11" s="19" t="s">
        <v>799</v>
      </c>
      <c r="D11" s="19" t="s">
        <v>577</v>
      </c>
      <c r="E11" s="19" t="str">
        <f>"0,6755"</f>
        <v>0,6755</v>
      </c>
      <c r="F11" s="19" t="s">
        <v>14</v>
      </c>
      <c r="G11" s="19" t="s">
        <v>1015</v>
      </c>
      <c r="H11" s="73" t="s">
        <v>33</v>
      </c>
      <c r="I11" s="80">
        <v>16</v>
      </c>
      <c r="J11" s="57">
        <v>1240</v>
      </c>
      <c r="K11" s="73" t="str">
        <f>"837,6200"</f>
        <v>837,6200</v>
      </c>
      <c r="L11" s="19" t="s">
        <v>63</v>
      </c>
    </row>
    <row r="13" spans="2:11" ht="15">
      <c r="B13" s="160" t="s">
        <v>78</v>
      </c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2" ht="12.75">
      <c r="A14" s="53">
        <v>1</v>
      </c>
      <c r="B14" s="16" t="s">
        <v>85</v>
      </c>
      <c r="C14" s="16" t="s">
        <v>86</v>
      </c>
      <c r="D14" s="16" t="s">
        <v>87</v>
      </c>
      <c r="E14" s="16" t="str">
        <f>"0,6173"</f>
        <v>0,6173</v>
      </c>
      <c r="F14" s="16" t="s">
        <v>14</v>
      </c>
      <c r="G14" s="16" t="s">
        <v>960</v>
      </c>
      <c r="H14" s="70" t="s">
        <v>26</v>
      </c>
      <c r="I14" s="84">
        <v>36</v>
      </c>
      <c r="J14" s="55">
        <v>3240</v>
      </c>
      <c r="K14" s="70" t="str">
        <f>"2000,0519"</f>
        <v>2000,0519</v>
      </c>
      <c r="L14" s="16" t="s">
        <v>63</v>
      </c>
    </row>
    <row r="15" spans="1:12" ht="12.75">
      <c r="A15" s="74">
        <v>2</v>
      </c>
      <c r="B15" s="18" t="s">
        <v>800</v>
      </c>
      <c r="C15" s="18" t="s">
        <v>801</v>
      </c>
      <c r="D15" s="18" t="s">
        <v>670</v>
      </c>
      <c r="E15" s="18" t="str">
        <f>"0,6177"</f>
        <v>0,6177</v>
      </c>
      <c r="F15" s="18" t="s">
        <v>14</v>
      </c>
      <c r="G15" s="18" t="s">
        <v>1016</v>
      </c>
      <c r="H15" s="78" t="s">
        <v>26</v>
      </c>
      <c r="I15" s="85">
        <v>33</v>
      </c>
      <c r="J15" s="76">
        <v>2970</v>
      </c>
      <c r="K15" s="78" t="str">
        <f>"1834,5689"</f>
        <v>1834,5689</v>
      </c>
      <c r="L15" s="18" t="s">
        <v>63</v>
      </c>
    </row>
    <row r="16" spans="1:12" ht="12.75">
      <c r="A16" s="74">
        <v>3</v>
      </c>
      <c r="B16" s="18" t="s">
        <v>90</v>
      </c>
      <c r="C16" s="18" t="s">
        <v>91</v>
      </c>
      <c r="D16" s="18" t="s">
        <v>92</v>
      </c>
      <c r="E16" s="18" t="str">
        <f>"0,6217"</f>
        <v>0,6217</v>
      </c>
      <c r="F16" s="18" t="s">
        <v>14</v>
      </c>
      <c r="G16" s="18" t="s">
        <v>1016</v>
      </c>
      <c r="H16" s="78" t="s">
        <v>25</v>
      </c>
      <c r="I16" s="85">
        <v>29</v>
      </c>
      <c r="J16" s="76">
        <v>2537.5</v>
      </c>
      <c r="K16" s="78" t="str">
        <f>"1577,6906"</f>
        <v>1577,6906</v>
      </c>
      <c r="L16" s="18" t="s">
        <v>938</v>
      </c>
    </row>
    <row r="17" spans="1:12" ht="12.75">
      <c r="A17" s="54">
        <v>1</v>
      </c>
      <c r="B17" s="19" t="s">
        <v>97</v>
      </c>
      <c r="C17" s="19" t="s">
        <v>802</v>
      </c>
      <c r="D17" s="19" t="s">
        <v>99</v>
      </c>
      <c r="E17" s="19" t="str">
        <f>"0,6222"</f>
        <v>0,6222</v>
      </c>
      <c r="F17" s="19" t="s">
        <v>14</v>
      </c>
      <c r="G17" s="19" t="s">
        <v>962</v>
      </c>
      <c r="H17" s="73" t="s">
        <v>25</v>
      </c>
      <c r="I17" s="80">
        <v>30</v>
      </c>
      <c r="J17" s="57">
        <v>2625</v>
      </c>
      <c r="K17" s="73" t="str">
        <f>"1703,3689"</f>
        <v>1703,3689</v>
      </c>
      <c r="L17" s="19" t="s">
        <v>63</v>
      </c>
    </row>
    <row r="19" spans="2:11" ht="15">
      <c r="B19" s="160" t="s">
        <v>108</v>
      </c>
      <c r="C19" s="160"/>
      <c r="D19" s="160"/>
      <c r="E19" s="160"/>
      <c r="F19" s="160"/>
      <c r="G19" s="160"/>
      <c r="H19" s="160"/>
      <c r="I19" s="160"/>
      <c r="J19" s="160"/>
      <c r="K19" s="160"/>
    </row>
    <row r="20" spans="1:12" ht="12.75">
      <c r="A20" s="53">
        <v>1</v>
      </c>
      <c r="B20" s="16" t="s">
        <v>113</v>
      </c>
      <c r="C20" s="16" t="s">
        <v>114</v>
      </c>
      <c r="D20" s="16" t="s">
        <v>115</v>
      </c>
      <c r="E20" s="16" t="str">
        <f>"0,5905"</f>
        <v>0,5905</v>
      </c>
      <c r="F20" s="16" t="s">
        <v>14</v>
      </c>
      <c r="G20" s="16" t="s">
        <v>116</v>
      </c>
      <c r="H20" s="70" t="s">
        <v>243</v>
      </c>
      <c r="I20" s="84">
        <v>42</v>
      </c>
      <c r="J20" s="55">
        <v>4095</v>
      </c>
      <c r="K20" s="70" t="str">
        <f>"2418,0975"</f>
        <v>2418,0975</v>
      </c>
      <c r="L20" s="16" t="s">
        <v>63</v>
      </c>
    </row>
    <row r="21" spans="1:12" ht="12.75">
      <c r="A21" s="74">
        <v>2</v>
      </c>
      <c r="B21" s="18" t="s">
        <v>124</v>
      </c>
      <c r="C21" s="18" t="s">
        <v>125</v>
      </c>
      <c r="D21" s="18" t="s">
        <v>126</v>
      </c>
      <c r="E21" s="18" t="str">
        <f>"0,5961"</f>
        <v>0,5961</v>
      </c>
      <c r="F21" s="18" t="s">
        <v>38</v>
      </c>
      <c r="G21" s="18" t="s">
        <v>960</v>
      </c>
      <c r="H21" s="78" t="s">
        <v>262</v>
      </c>
      <c r="I21" s="85">
        <v>41</v>
      </c>
      <c r="J21" s="76">
        <v>3895</v>
      </c>
      <c r="K21" s="78" t="str">
        <f>"2322,0042"</f>
        <v>2322,0042</v>
      </c>
      <c r="L21" s="18" t="s">
        <v>63</v>
      </c>
    </row>
    <row r="22" spans="1:12" ht="12.75">
      <c r="A22" s="74">
        <v>3</v>
      </c>
      <c r="B22" s="18" t="s">
        <v>803</v>
      </c>
      <c r="C22" s="18" t="s">
        <v>804</v>
      </c>
      <c r="D22" s="18" t="s">
        <v>805</v>
      </c>
      <c r="E22" s="18" t="str">
        <f>"0,5917"</f>
        <v>0,5917</v>
      </c>
      <c r="F22" s="18" t="s">
        <v>14</v>
      </c>
      <c r="G22" s="18" t="s">
        <v>806</v>
      </c>
      <c r="H22" s="78" t="s">
        <v>243</v>
      </c>
      <c r="I22" s="85">
        <v>38</v>
      </c>
      <c r="J22" s="76">
        <v>3705</v>
      </c>
      <c r="K22" s="78" t="str">
        <f>"2192,0633"</f>
        <v>2192,0633</v>
      </c>
      <c r="L22" s="18" t="s">
        <v>63</v>
      </c>
    </row>
    <row r="23" spans="1:12" ht="12.75">
      <c r="A23" s="54">
        <v>1</v>
      </c>
      <c r="B23" s="19" t="s">
        <v>124</v>
      </c>
      <c r="C23" s="19" t="s">
        <v>807</v>
      </c>
      <c r="D23" s="19" t="s">
        <v>126</v>
      </c>
      <c r="E23" s="19" t="str">
        <f>"0,5961"</f>
        <v>0,5961</v>
      </c>
      <c r="F23" s="19" t="s">
        <v>38</v>
      </c>
      <c r="G23" s="19" t="s">
        <v>960</v>
      </c>
      <c r="H23" s="73" t="s">
        <v>262</v>
      </c>
      <c r="I23" s="80">
        <v>41</v>
      </c>
      <c r="J23" s="57">
        <v>3895</v>
      </c>
      <c r="K23" s="73" t="str">
        <f>"2345,2242"</f>
        <v>2345,2242</v>
      </c>
      <c r="L23" s="19" t="s">
        <v>63</v>
      </c>
    </row>
    <row r="25" spans="2:11" ht="15">
      <c r="B25" s="160" t="s">
        <v>137</v>
      </c>
      <c r="C25" s="160"/>
      <c r="D25" s="160"/>
      <c r="E25" s="160"/>
      <c r="F25" s="160"/>
      <c r="G25" s="160"/>
      <c r="H25" s="160"/>
      <c r="I25" s="160"/>
      <c r="J25" s="160"/>
      <c r="K25" s="160"/>
    </row>
    <row r="26" spans="1:12" ht="12.75">
      <c r="A26" s="53">
        <v>1</v>
      </c>
      <c r="B26" s="16" t="s">
        <v>142</v>
      </c>
      <c r="C26" s="16" t="s">
        <v>143</v>
      </c>
      <c r="D26" s="16" t="s">
        <v>144</v>
      </c>
      <c r="E26" s="16" t="str">
        <f>"0,5731"</f>
        <v>0,5731</v>
      </c>
      <c r="F26" s="16" t="s">
        <v>22</v>
      </c>
      <c r="G26" s="16" t="s">
        <v>1016</v>
      </c>
      <c r="H26" s="70" t="s">
        <v>244</v>
      </c>
      <c r="I26" s="84">
        <v>31</v>
      </c>
      <c r="J26" s="55">
        <v>3255</v>
      </c>
      <c r="K26" s="70" t="str">
        <f>"1865,6032"</f>
        <v>1865,6032</v>
      </c>
      <c r="L26" s="16" t="s">
        <v>63</v>
      </c>
    </row>
    <row r="27" spans="1:12" ht="12.75">
      <c r="A27" s="54">
        <v>2</v>
      </c>
      <c r="B27" s="19" t="s">
        <v>775</v>
      </c>
      <c r="C27" s="19" t="s">
        <v>776</v>
      </c>
      <c r="D27" s="19" t="s">
        <v>601</v>
      </c>
      <c r="E27" s="19" t="str">
        <f>"0,5666"</f>
        <v>0,5666</v>
      </c>
      <c r="F27" s="19" t="s">
        <v>14</v>
      </c>
      <c r="G27" s="19" t="s">
        <v>1017</v>
      </c>
      <c r="H27" s="73" t="s">
        <v>343</v>
      </c>
      <c r="I27" s="80">
        <v>18</v>
      </c>
      <c r="J27" s="57">
        <v>1935</v>
      </c>
      <c r="K27" s="73" t="str">
        <f>"1096,4677"</f>
        <v>1096,4677</v>
      </c>
      <c r="L27" s="19" t="s">
        <v>27</v>
      </c>
    </row>
    <row r="29" spans="2:11" ht="15">
      <c r="B29" s="160" t="s">
        <v>165</v>
      </c>
      <c r="C29" s="160"/>
      <c r="D29" s="160"/>
      <c r="E29" s="160"/>
      <c r="F29" s="160"/>
      <c r="G29" s="160"/>
      <c r="H29" s="160"/>
      <c r="I29" s="160"/>
      <c r="J29" s="160"/>
      <c r="K29" s="160"/>
    </row>
    <row r="30" spans="1:12" ht="12.75">
      <c r="A30" s="59">
        <v>1</v>
      </c>
      <c r="B30" s="21" t="s">
        <v>166</v>
      </c>
      <c r="C30" s="21" t="s">
        <v>167</v>
      </c>
      <c r="D30" s="21" t="s">
        <v>808</v>
      </c>
      <c r="E30" s="21" t="str">
        <f>"0,5528"</f>
        <v>0,5528</v>
      </c>
      <c r="F30" s="21" t="s">
        <v>14</v>
      </c>
      <c r="G30" s="21" t="s">
        <v>962</v>
      </c>
      <c r="H30" s="62" t="s">
        <v>106</v>
      </c>
      <c r="I30" s="94">
        <v>31</v>
      </c>
      <c r="J30" s="64">
        <v>3720</v>
      </c>
      <c r="K30" s="62" t="str">
        <f>"2056,4160"</f>
        <v>2056,4160</v>
      </c>
      <c r="L30" s="21" t="s">
        <v>941</v>
      </c>
    </row>
    <row r="32" spans="2:3" ht="18">
      <c r="B32" s="15" t="s">
        <v>177</v>
      </c>
      <c r="C32" s="15"/>
    </row>
    <row r="34" spans="2:3" ht="14.25">
      <c r="B34" s="24"/>
      <c r="C34" s="25" t="s">
        <v>178</v>
      </c>
    </row>
    <row r="35" spans="2:6" ht="15">
      <c r="B35" s="26" t="s">
        <v>179</v>
      </c>
      <c r="C35" s="26" t="s">
        <v>180</v>
      </c>
      <c r="D35" s="26" t="s">
        <v>181</v>
      </c>
      <c r="E35" s="26" t="s">
        <v>182</v>
      </c>
      <c r="F35" s="26" t="s">
        <v>809</v>
      </c>
    </row>
    <row r="36" spans="2:6" ht="12.75">
      <c r="B36" s="23" t="s">
        <v>113</v>
      </c>
      <c r="C36" s="51" t="s">
        <v>178</v>
      </c>
      <c r="D36" s="67" t="s">
        <v>1001</v>
      </c>
      <c r="E36" s="67" t="s">
        <v>810</v>
      </c>
      <c r="F36" s="67" t="s">
        <v>811</v>
      </c>
    </row>
    <row r="37" spans="2:6" ht="12.75">
      <c r="B37" s="23" t="s">
        <v>124</v>
      </c>
      <c r="C37" s="51" t="s">
        <v>178</v>
      </c>
      <c r="D37" s="67" t="s">
        <v>1001</v>
      </c>
      <c r="E37" s="67" t="s">
        <v>812</v>
      </c>
      <c r="F37" s="67" t="s">
        <v>813</v>
      </c>
    </row>
    <row r="38" spans="2:6" ht="12.75">
      <c r="B38" s="23" t="s">
        <v>803</v>
      </c>
      <c r="C38" s="51" t="s">
        <v>178</v>
      </c>
      <c r="D38" s="67" t="s">
        <v>1001</v>
      </c>
      <c r="E38" s="67" t="s">
        <v>814</v>
      </c>
      <c r="F38" s="67" t="s">
        <v>815</v>
      </c>
    </row>
  </sheetData>
  <sheetProtection/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  <mergeCell ref="B29:K29"/>
    <mergeCell ref="L3:L4"/>
    <mergeCell ref="B5:K5"/>
    <mergeCell ref="B8:K8"/>
    <mergeCell ref="B13:K13"/>
    <mergeCell ref="B19:K19"/>
    <mergeCell ref="B25:K2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0.62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6.875" style="13" customWidth="1"/>
    <col min="8" max="8" width="6.00390625" style="13" customWidth="1"/>
    <col min="9" max="9" width="9.125" style="13" customWidth="1"/>
    <col min="10" max="10" width="9.375" style="51" customWidth="1"/>
    <col min="11" max="11" width="8.625" style="13" bestFit="1" customWidth="1"/>
    <col min="12" max="12" width="28.125" style="13" bestFit="1" customWidth="1"/>
  </cols>
  <sheetData>
    <row r="1" spans="1:12" s="1" customFormat="1" ht="15" customHeight="1">
      <c r="A1" s="50"/>
      <c r="B1" s="169" t="s">
        <v>984</v>
      </c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s="1" customFormat="1" ht="78.75" customHeight="1" thickBot="1">
      <c r="A2" s="50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2</v>
      </c>
      <c r="I3" s="142"/>
      <c r="J3" s="142" t="s">
        <v>1014</v>
      </c>
      <c r="K3" s="142" t="s">
        <v>6</v>
      </c>
      <c r="L3" s="146" t="s">
        <v>5</v>
      </c>
    </row>
    <row r="4" spans="1:12" s="2" customFormat="1" ht="21" customHeight="1" thickBot="1">
      <c r="A4" s="145"/>
      <c r="B4" s="156"/>
      <c r="C4" s="143"/>
      <c r="D4" s="143"/>
      <c r="E4" s="143"/>
      <c r="F4" s="143"/>
      <c r="G4" s="159"/>
      <c r="H4" s="3" t="s">
        <v>791</v>
      </c>
      <c r="I4" s="124" t="s">
        <v>792</v>
      </c>
      <c r="J4" s="143"/>
      <c r="K4" s="143"/>
      <c r="L4" s="147"/>
    </row>
    <row r="5" spans="2:11" ht="15">
      <c r="B5" s="148" t="s">
        <v>190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53">
        <v>1</v>
      </c>
      <c r="B6" s="16" t="s">
        <v>191</v>
      </c>
      <c r="C6" s="16" t="s">
        <v>816</v>
      </c>
      <c r="D6" s="16" t="s">
        <v>817</v>
      </c>
      <c r="E6" s="16" t="str">
        <f>"1,1247"</f>
        <v>1,1247</v>
      </c>
      <c r="F6" s="16" t="s">
        <v>162</v>
      </c>
      <c r="G6" s="16" t="s">
        <v>1011</v>
      </c>
      <c r="H6" s="70" t="s">
        <v>224</v>
      </c>
      <c r="I6" s="70" t="s">
        <v>1018</v>
      </c>
      <c r="J6" s="55">
        <v>550</v>
      </c>
      <c r="K6" s="70" t="str">
        <f>"618,5850"</f>
        <v>618,5850</v>
      </c>
      <c r="L6" s="16" t="s">
        <v>925</v>
      </c>
    </row>
    <row r="7" spans="1:12" ht="12.75">
      <c r="A7" s="74">
        <v>1</v>
      </c>
      <c r="B7" s="18" t="s">
        <v>207</v>
      </c>
      <c r="C7" s="18" t="s">
        <v>208</v>
      </c>
      <c r="D7" s="18" t="s">
        <v>681</v>
      </c>
      <c r="E7" s="18" t="str">
        <f>"1,1093"</f>
        <v>1,1093</v>
      </c>
      <c r="F7" s="18" t="s">
        <v>14</v>
      </c>
      <c r="G7" s="21" t="s">
        <v>960</v>
      </c>
      <c r="H7" s="78" t="s">
        <v>224</v>
      </c>
      <c r="I7" s="78" t="s">
        <v>1019</v>
      </c>
      <c r="J7" s="76">
        <v>467.5</v>
      </c>
      <c r="K7" s="78" t="str">
        <f>"518,5978"</f>
        <v>518,5978</v>
      </c>
      <c r="L7" s="18" t="s">
        <v>910</v>
      </c>
    </row>
    <row r="8" spans="1:12" ht="12.75">
      <c r="A8" s="54">
        <v>1</v>
      </c>
      <c r="B8" s="19" t="s">
        <v>201</v>
      </c>
      <c r="C8" s="19" t="s">
        <v>818</v>
      </c>
      <c r="D8" s="19" t="s">
        <v>819</v>
      </c>
      <c r="E8" s="19" t="str">
        <f>"1,1282"</f>
        <v>1,1282</v>
      </c>
      <c r="F8" s="19" t="s">
        <v>204</v>
      </c>
      <c r="G8" s="19" t="s">
        <v>898</v>
      </c>
      <c r="H8" s="73" t="s">
        <v>224</v>
      </c>
      <c r="I8" s="73" t="s">
        <v>1020</v>
      </c>
      <c r="J8" s="57">
        <v>770</v>
      </c>
      <c r="K8" s="73" t="str">
        <f>"886,0883"</f>
        <v>886,0883</v>
      </c>
      <c r="L8" s="19" t="s">
        <v>63</v>
      </c>
    </row>
    <row r="10" spans="2:11" ht="15">
      <c r="B10" s="160" t="s">
        <v>210</v>
      </c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2" ht="12.75">
      <c r="A11" s="59">
        <v>1</v>
      </c>
      <c r="B11" s="21" t="s">
        <v>820</v>
      </c>
      <c r="C11" s="21" t="s">
        <v>821</v>
      </c>
      <c r="D11" s="21" t="s">
        <v>822</v>
      </c>
      <c r="E11" s="21" t="str">
        <f>"1,0037"</f>
        <v>1,0037</v>
      </c>
      <c r="F11" s="21" t="s">
        <v>162</v>
      </c>
      <c r="G11" s="21" t="s">
        <v>1011</v>
      </c>
      <c r="H11" s="62" t="s">
        <v>194</v>
      </c>
      <c r="I11" s="62" t="s">
        <v>694</v>
      </c>
      <c r="J11" s="94">
        <v>0</v>
      </c>
      <c r="K11" s="62" t="s">
        <v>955</v>
      </c>
      <c r="L11" s="21" t="s">
        <v>944</v>
      </c>
    </row>
  </sheetData>
  <sheetProtection/>
  <mergeCells count="14">
    <mergeCell ref="B10:K10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A3:A4"/>
    <mergeCell ref="B5:K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B26" sqref="B26"/>
    </sheetView>
  </sheetViews>
  <sheetFormatPr defaultColWidth="8.75390625" defaultRowHeight="12.75"/>
  <cols>
    <col min="1" max="1" width="9.125" style="52" customWidth="1"/>
    <col min="2" max="2" width="19.25390625" style="13" customWidth="1"/>
    <col min="3" max="3" width="26.125" style="13" customWidth="1"/>
    <col min="4" max="4" width="10.625" style="13" bestFit="1" customWidth="1"/>
    <col min="5" max="5" width="8.375" style="13" bestFit="1" customWidth="1"/>
    <col min="6" max="6" width="19.25390625" style="13" customWidth="1"/>
    <col min="7" max="7" width="36.875" style="13" customWidth="1"/>
    <col min="8" max="8" width="4.625" style="67" bestFit="1" customWidth="1"/>
    <col min="9" max="10" width="5.625" style="67" bestFit="1" customWidth="1"/>
    <col min="11" max="15" width="4.625" style="67" bestFit="1" customWidth="1"/>
    <col min="16" max="16" width="7.875" style="91" bestFit="1" customWidth="1"/>
    <col min="17" max="17" width="8.625" style="67" bestFit="1" customWidth="1"/>
    <col min="18" max="18" width="15.75390625" style="13" bestFit="1" customWidth="1"/>
  </cols>
  <sheetData>
    <row r="1" spans="1:18" s="1" customFormat="1" ht="15" customHeight="1">
      <c r="A1" s="50"/>
      <c r="B1" s="169" t="s">
        <v>1032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1"/>
    </row>
    <row r="2" spans="1:18" s="1" customFormat="1" ht="74.25" customHeight="1" thickBot="1">
      <c r="A2" s="50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</row>
    <row r="3" spans="1:18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833</v>
      </c>
      <c r="I3" s="142"/>
      <c r="J3" s="142"/>
      <c r="K3" s="142"/>
      <c r="L3" s="142" t="s">
        <v>834</v>
      </c>
      <c r="M3" s="142"/>
      <c r="N3" s="142"/>
      <c r="O3" s="142"/>
      <c r="P3" s="175" t="s">
        <v>4</v>
      </c>
      <c r="Q3" s="142" t="s">
        <v>6</v>
      </c>
      <c r="R3" s="146" t="s">
        <v>5</v>
      </c>
    </row>
    <row r="4" spans="1:18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76"/>
      <c r="Q4" s="143"/>
      <c r="R4" s="147"/>
    </row>
    <row r="5" spans="2:17" ht="15">
      <c r="B5" s="148" t="s">
        <v>28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8" ht="12.75">
      <c r="A6" s="59">
        <v>1</v>
      </c>
      <c r="B6" s="29" t="s">
        <v>835</v>
      </c>
      <c r="C6" s="21" t="s">
        <v>836</v>
      </c>
      <c r="D6" s="21" t="s">
        <v>837</v>
      </c>
      <c r="E6" s="21" t="str">
        <f>"0,6920"</f>
        <v>0,6920</v>
      </c>
      <c r="F6" s="21" t="s">
        <v>14</v>
      </c>
      <c r="G6" s="21" t="s">
        <v>960</v>
      </c>
      <c r="H6" s="89" t="s">
        <v>55</v>
      </c>
      <c r="I6" s="89" t="s">
        <v>39</v>
      </c>
      <c r="J6" s="65" t="s">
        <v>33</v>
      </c>
      <c r="K6" s="66"/>
      <c r="L6" s="65" t="s">
        <v>199</v>
      </c>
      <c r="M6" s="65" t="s">
        <v>200</v>
      </c>
      <c r="N6" s="89" t="s">
        <v>200</v>
      </c>
      <c r="O6" s="66"/>
      <c r="P6" s="64">
        <v>130</v>
      </c>
      <c r="Q6" s="62" t="str">
        <f>"89,9535"</f>
        <v>89,9535</v>
      </c>
      <c r="R6" s="21" t="s">
        <v>63</v>
      </c>
    </row>
    <row r="8" spans="2:17" ht="15">
      <c r="B8" s="160" t="s">
        <v>40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8" ht="12.75">
      <c r="A9" s="53">
        <v>1</v>
      </c>
      <c r="B9" s="30" t="s">
        <v>838</v>
      </c>
      <c r="C9" s="16" t="s">
        <v>839</v>
      </c>
      <c r="D9" s="16" t="s">
        <v>449</v>
      </c>
      <c r="E9" s="16" t="str">
        <f>"0,6670"</f>
        <v>0,6670</v>
      </c>
      <c r="F9" s="16" t="s">
        <v>14</v>
      </c>
      <c r="G9" s="16" t="s">
        <v>1031</v>
      </c>
      <c r="H9" s="133" t="s">
        <v>26</v>
      </c>
      <c r="I9" s="133" t="s">
        <v>262</v>
      </c>
      <c r="J9" s="68" t="s">
        <v>243</v>
      </c>
      <c r="K9" s="69"/>
      <c r="L9" s="133" t="s">
        <v>34</v>
      </c>
      <c r="M9" s="133" t="s">
        <v>24</v>
      </c>
      <c r="N9" s="68" t="s">
        <v>44</v>
      </c>
      <c r="O9" s="69"/>
      <c r="P9" s="55">
        <v>177.5</v>
      </c>
      <c r="Q9" s="70" t="str">
        <f>"118,3925"</f>
        <v>118,3925</v>
      </c>
      <c r="R9" s="16" t="s">
        <v>63</v>
      </c>
    </row>
    <row r="10" spans="1:18" ht="12.75">
      <c r="A10" s="54">
        <v>2</v>
      </c>
      <c r="B10" s="31" t="s">
        <v>275</v>
      </c>
      <c r="C10" s="19" t="s">
        <v>276</v>
      </c>
      <c r="D10" s="19" t="s">
        <v>58</v>
      </c>
      <c r="E10" s="19" t="str">
        <f>"0,6518"</f>
        <v>0,6518</v>
      </c>
      <c r="F10" s="19" t="s">
        <v>14</v>
      </c>
      <c r="G10" s="19" t="s">
        <v>278</v>
      </c>
      <c r="H10" s="134" t="s">
        <v>55</v>
      </c>
      <c r="I10" s="134" t="s">
        <v>34</v>
      </c>
      <c r="J10" s="134" t="s">
        <v>44</v>
      </c>
      <c r="K10" s="72"/>
      <c r="L10" s="134" t="s">
        <v>218</v>
      </c>
      <c r="M10" s="71" t="s">
        <v>39</v>
      </c>
      <c r="N10" s="71" t="s">
        <v>39</v>
      </c>
      <c r="O10" s="72"/>
      <c r="P10" s="57">
        <v>152.5</v>
      </c>
      <c r="Q10" s="73" t="str">
        <f>"99,4071"</f>
        <v>99,4071</v>
      </c>
      <c r="R10" s="19" t="s">
        <v>931</v>
      </c>
    </row>
    <row r="12" spans="2:17" ht="15">
      <c r="B12" s="160" t="s">
        <v>78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</row>
    <row r="13" spans="1:18" ht="12.75">
      <c r="A13" s="197" t="s">
        <v>1046</v>
      </c>
      <c r="B13" s="30" t="s">
        <v>840</v>
      </c>
      <c r="C13" s="16" t="s">
        <v>841</v>
      </c>
      <c r="D13" s="16" t="s">
        <v>842</v>
      </c>
      <c r="E13" s="16" t="str">
        <f>"0,6277"</f>
        <v>0,6277</v>
      </c>
      <c r="F13" s="16" t="s">
        <v>261</v>
      </c>
      <c r="G13" s="16" t="s">
        <v>960</v>
      </c>
      <c r="H13" s="133" t="s">
        <v>34</v>
      </c>
      <c r="I13" s="133" t="s">
        <v>44</v>
      </c>
      <c r="J13" s="68" t="s">
        <v>26</v>
      </c>
      <c r="K13" s="69"/>
      <c r="L13" s="133" t="s">
        <v>214</v>
      </c>
      <c r="M13" s="133" t="s">
        <v>55</v>
      </c>
      <c r="N13" s="133" t="s">
        <v>39</v>
      </c>
      <c r="O13" s="69"/>
      <c r="P13" s="55">
        <v>160</v>
      </c>
      <c r="Q13" s="70" t="str">
        <f>"100,4320"</f>
        <v>100,4320</v>
      </c>
      <c r="R13" s="16" t="s">
        <v>63</v>
      </c>
    </row>
    <row r="14" spans="1:18" ht="12.75">
      <c r="A14" s="54">
        <v>1</v>
      </c>
      <c r="B14" s="31" t="s">
        <v>313</v>
      </c>
      <c r="C14" s="19" t="s">
        <v>314</v>
      </c>
      <c r="D14" s="19" t="s">
        <v>843</v>
      </c>
      <c r="E14" s="19" t="str">
        <f>"0,6126"</f>
        <v>0,6126</v>
      </c>
      <c r="F14" s="19" t="s">
        <v>162</v>
      </c>
      <c r="G14" s="19" t="s">
        <v>1011</v>
      </c>
      <c r="H14" s="134" t="s">
        <v>26</v>
      </c>
      <c r="I14" s="134" t="s">
        <v>262</v>
      </c>
      <c r="J14" s="71" t="s">
        <v>243</v>
      </c>
      <c r="K14" s="72"/>
      <c r="L14" s="134" t="s">
        <v>16</v>
      </c>
      <c r="M14" s="71" t="s">
        <v>214</v>
      </c>
      <c r="N14" s="71" t="s">
        <v>214</v>
      </c>
      <c r="O14" s="72"/>
      <c r="P14" s="57">
        <v>155</v>
      </c>
      <c r="Q14" s="73" t="str">
        <f>"94,9530"</f>
        <v>94,9530</v>
      </c>
      <c r="R14" s="19" t="s">
        <v>63</v>
      </c>
    </row>
    <row r="16" spans="2:17" ht="15">
      <c r="B16" s="160" t="s">
        <v>108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8" ht="12.75">
      <c r="A17" s="59">
        <v>1</v>
      </c>
      <c r="B17" s="29" t="s">
        <v>844</v>
      </c>
      <c r="C17" s="21" t="s">
        <v>610</v>
      </c>
      <c r="D17" s="21" t="s">
        <v>122</v>
      </c>
      <c r="E17" s="21" t="str">
        <f>"0,5859"</f>
        <v>0,5859</v>
      </c>
      <c r="F17" s="21" t="s">
        <v>261</v>
      </c>
      <c r="G17" s="21" t="s">
        <v>962</v>
      </c>
      <c r="H17" s="89" t="s">
        <v>55</v>
      </c>
      <c r="I17" s="89" t="s">
        <v>39</v>
      </c>
      <c r="J17" s="65" t="s">
        <v>34</v>
      </c>
      <c r="K17" s="66"/>
      <c r="L17" s="89" t="s">
        <v>205</v>
      </c>
      <c r="M17" s="89" t="s">
        <v>49</v>
      </c>
      <c r="N17" s="89" t="s">
        <v>199</v>
      </c>
      <c r="O17" s="66"/>
      <c r="P17" s="64">
        <v>125</v>
      </c>
      <c r="Q17" s="62" t="str">
        <f>"73,2313"</f>
        <v>73,2313</v>
      </c>
      <c r="R17" s="21" t="s">
        <v>946</v>
      </c>
    </row>
    <row r="19" spans="2:17" ht="15">
      <c r="B19" s="160" t="s">
        <v>137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</row>
    <row r="20" spans="1:18" ht="12.75">
      <c r="A20" s="59">
        <v>1</v>
      </c>
      <c r="B20" s="29" t="s">
        <v>370</v>
      </c>
      <c r="C20" s="21" t="s">
        <v>371</v>
      </c>
      <c r="D20" s="21" t="s">
        <v>372</v>
      </c>
      <c r="E20" s="21" t="str">
        <f>"0,5756"</f>
        <v>0,5756</v>
      </c>
      <c r="F20" s="21" t="s">
        <v>14</v>
      </c>
      <c r="G20" s="21" t="s">
        <v>962</v>
      </c>
      <c r="H20" s="89" t="s">
        <v>26</v>
      </c>
      <c r="I20" s="65" t="s">
        <v>293</v>
      </c>
      <c r="J20" s="65" t="s">
        <v>293</v>
      </c>
      <c r="K20" s="66"/>
      <c r="L20" s="89" t="s">
        <v>55</v>
      </c>
      <c r="M20" s="89" t="s">
        <v>39</v>
      </c>
      <c r="N20" s="65" t="s">
        <v>24</v>
      </c>
      <c r="O20" s="66"/>
      <c r="P20" s="64">
        <v>165</v>
      </c>
      <c r="Q20" s="62" t="str">
        <f>"94,9822"</f>
        <v>94,9822</v>
      </c>
      <c r="R20" s="21" t="s">
        <v>63</v>
      </c>
    </row>
  </sheetData>
  <sheetProtection/>
  <mergeCells count="18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A3:A4"/>
    <mergeCell ref="B19:Q19"/>
    <mergeCell ref="Q3:Q4"/>
    <mergeCell ref="R3:R4"/>
    <mergeCell ref="B5:Q5"/>
    <mergeCell ref="B8:Q8"/>
    <mergeCell ref="B12:Q12"/>
    <mergeCell ref="B16:Q1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7.625" style="1" customWidth="1"/>
    <col min="2" max="2" width="23.625" style="100" customWidth="1"/>
    <col min="3" max="3" width="26.00390625" style="1" bestFit="1" customWidth="1"/>
    <col min="4" max="4" width="10.625" style="1" bestFit="1" customWidth="1"/>
    <col min="5" max="5" width="8.375" style="1" bestFit="1" customWidth="1"/>
    <col min="6" max="6" width="14.75390625" style="5" customWidth="1"/>
    <col min="7" max="7" width="35.625" style="5" customWidth="1"/>
    <col min="8" max="9" width="4.625" style="1" bestFit="1" customWidth="1"/>
    <col min="10" max="10" width="5.625" style="1" bestFit="1" customWidth="1"/>
    <col min="11" max="15" width="4.625" style="1" bestFit="1" customWidth="1"/>
    <col min="16" max="16" width="7.875" style="4" bestFit="1" customWidth="1"/>
    <col min="17" max="17" width="8.625" style="1" bestFit="1" customWidth="1"/>
    <col min="18" max="18" width="15.375" style="5" bestFit="1" customWidth="1"/>
    <col min="19" max="16384" width="9.125" style="1" customWidth="1"/>
  </cols>
  <sheetData>
    <row r="1" spans="2:18" ht="15" customHeight="1">
      <c r="B1" s="149" t="s">
        <v>986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2:18" ht="90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691</v>
      </c>
      <c r="F3" s="142" t="s">
        <v>7</v>
      </c>
      <c r="G3" s="158" t="s">
        <v>994</v>
      </c>
      <c r="H3" s="142" t="s">
        <v>833</v>
      </c>
      <c r="I3" s="142"/>
      <c r="J3" s="142"/>
      <c r="K3" s="142"/>
      <c r="L3" s="142" t="s">
        <v>834</v>
      </c>
      <c r="M3" s="142"/>
      <c r="N3" s="142"/>
      <c r="O3" s="142"/>
      <c r="P3" s="142" t="s">
        <v>4</v>
      </c>
      <c r="Q3" s="142" t="s">
        <v>6</v>
      </c>
      <c r="R3" s="146" t="s">
        <v>5</v>
      </c>
    </row>
    <row r="4" spans="1:18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43"/>
      <c r="Q4" s="143"/>
      <c r="R4" s="147"/>
    </row>
    <row r="5" spans="2:17" ht="15">
      <c r="B5" s="168" t="s">
        <v>78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8" ht="12.75">
      <c r="A6" s="43" t="s">
        <v>953</v>
      </c>
      <c r="B6" s="98" t="s">
        <v>845</v>
      </c>
      <c r="C6" s="7" t="s">
        <v>846</v>
      </c>
      <c r="D6" s="7" t="s">
        <v>847</v>
      </c>
      <c r="E6" s="7" t="str">
        <f>"0,6295"</f>
        <v>0,6295</v>
      </c>
      <c r="F6" s="8" t="s">
        <v>14</v>
      </c>
      <c r="G6" s="8" t="s">
        <v>848</v>
      </c>
      <c r="H6" s="133" t="s">
        <v>44</v>
      </c>
      <c r="I6" s="110" t="s">
        <v>25</v>
      </c>
      <c r="J6" s="133" t="s">
        <v>25</v>
      </c>
      <c r="K6" s="111"/>
      <c r="L6" s="133" t="s">
        <v>16</v>
      </c>
      <c r="M6" s="133" t="s">
        <v>214</v>
      </c>
      <c r="N6" s="110" t="s">
        <v>55</v>
      </c>
      <c r="O6" s="111"/>
      <c r="P6" s="43" t="s">
        <v>100</v>
      </c>
      <c r="Q6" s="43" t="str">
        <f>"95,9911"</f>
        <v>95,9911</v>
      </c>
      <c r="R6" s="8" t="s">
        <v>63</v>
      </c>
    </row>
    <row r="7" spans="1:18" ht="12.75">
      <c r="A7" s="44" t="s">
        <v>953</v>
      </c>
      <c r="B7" s="99" t="s">
        <v>849</v>
      </c>
      <c r="C7" s="9" t="s">
        <v>850</v>
      </c>
      <c r="D7" s="9" t="s">
        <v>851</v>
      </c>
      <c r="E7" s="9" t="str">
        <f>"0,6251"</f>
        <v>0,6251</v>
      </c>
      <c r="F7" s="10" t="s">
        <v>14</v>
      </c>
      <c r="G7" s="10" t="s">
        <v>960</v>
      </c>
      <c r="H7" s="134" t="s">
        <v>26</v>
      </c>
      <c r="I7" s="134" t="s">
        <v>262</v>
      </c>
      <c r="J7" s="112" t="s">
        <v>293</v>
      </c>
      <c r="K7" s="113"/>
      <c r="L7" s="134" t="s">
        <v>214</v>
      </c>
      <c r="M7" s="134" t="s">
        <v>55</v>
      </c>
      <c r="N7" s="134" t="s">
        <v>39</v>
      </c>
      <c r="O7" s="113"/>
      <c r="P7" s="44" t="s">
        <v>88</v>
      </c>
      <c r="Q7" s="44" t="str">
        <f>"106,2670"</f>
        <v>106,2670</v>
      </c>
      <c r="R7" s="10" t="s">
        <v>63</v>
      </c>
    </row>
  </sheetData>
  <sheetProtection/>
  <mergeCells count="14">
    <mergeCell ref="Q3:Q4"/>
    <mergeCell ref="R3:R4"/>
    <mergeCell ref="B5:Q5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A3: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19.37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15.625" style="13" customWidth="1"/>
    <col min="7" max="7" width="37.625" style="13" customWidth="1"/>
    <col min="8" max="10" width="5.625" style="67" bestFit="1" customWidth="1"/>
    <col min="11" max="11" width="6.00390625" style="67" customWidth="1"/>
    <col min="12" max="12" width="12.00390625" style="67" customWidth="1"/>
    <col min="13" max="13" width="8.625" style="67" bestFit="1" customWidth="1"/>
    <col min="14" max="14" width="16.25390625" style="13" bestFit="1" customWidth="1"/>
  </cols>
  <sheetData>
    <row r="1" spans="1:14" s="1" customFormat="1" ht="15" customHeight="1">
      <c r="A1" s="50"/>
      <c r="B1" s="149" t="s">
        <v>964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72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108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639</v>
      </c>
      <c r="C6" s="21" t="s">
        <v>640</v>
      </c>
      <c r="D6" s="21" t="s">
        <v>641</v>
      </c>
      <c r="E6" s="21" t="str">
        <f>"0,6260"</f>
        <v>0,6260</v>
      </c>
      <c r="F6" s="21" t="s">
        <v>14</v>
      </c>
      <c r="G6" s="21" t="s">
        <v>960</v>
      </c>
      <c r="H6" s="89" t="s">
        <v>89</v>
      </c>
      <c r="I6" s="89" t="s">
        <v>60</v>
      </c>
      <c r="J6" s="89" t="s">
        <v>112</v>
      </c>
      <c r="K6" s="66"/>
      <c r="L6" s="64">
        <v>195</v>
      </c>
      <c r="M6" s="62" t="str">
        <f>"152,5875"</f>
        <v>152,5875</v>
      </c>
      <c r="N6" s="21" t="s">
        <v>891</v>
      </c>
    </row>
    <row r="8" spans="2:13" ht="15">
      <c r="B8" s="160" t="s">
        <v>165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59">
        <v>1</v>
      </c>
      <c r="B9" s="21" t="s">
        <v>614</v>
      </c>
      <c r="C9" s="21" t="s">
        <v>615</v>
      </c>
      <c r="D9" s="21" t="s">
        <v>616</v>
      </c>
      <c r="E9" s="21" t="str">
        <f>"0,5761"</f>
        <v>0,5761</v>
      </c>
      <c r="F9" s="21" t="s">
        <v>14</v>
      </c>
      <c r="G9" s="21" t="s">
        <v>962</v>
      </c>
      <c r="H9" s="89" t="s">
        <v>459</v>
      </c>
      <c r="I9" s="66"/>
      <c r="J9" s="66"/>
      <c r="K9" s="66"/>
      <c r="L9" s="64">
        <v>300</v>
      </c>
      <c r="M9" s="62" t="str">
        <f>"172,8300"</f>
        <v>172,8300</v>
      </c>
      <c r="N9" s="21" t="s">
        <v>63</v>
      </c>
    </row>
  </sheetData>
  <sheetProtection/>
  <mergeCells count="14">
    <mergeCell ref="B1:N2"/>
    <mergeCell ref="B3:B4"/>
    <mergeCell ref="C3:C4"/>
    <mergeCell ref="D3:D4"/>
    <mergeCell ref="E3:E4"/>
    <mergeCell ref="M3:M4"/>
    <mergeCell ref="N3:N4"/>
    <mergeCell ref="A3:A4"/>
    <mergeCell ref="B5:M5"/>
    <mergeCell ref="B8:M8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1.0039062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14.25390625" style="13" customWidth="1"/>
    <col min="7" max="7" width="35.625" style="13" customWidth="1"/>
    <col min="8" max="10" width="5.625" style="67" bestFit="1" customWidth="1"/>
    <col min="11" max="11" width="4.625" style="67" bestFit="1" customWidth="1"/>
    <col min="12" max="12" width="7.875" style="91" bestFit="1" customWidth="1"/>
    <col min="13" max="13" width="8.625" style="67" bestFit="1" customWidth="1"/>
    <col min="14" max="14" width="19.25390625" style="13" bestFit="1" customWidth="1"/>
  </cols>
  <sheetData>
    <row r="1" spans="1:14" s="1" customFormat="1" ht="15" customHeight="1">
      <c r="A1" s="50"/>
      <c r="B1" s="169" t="s">
        <v>1035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4" s="1" customFormat="1" ht="93" customHeight="1" thickBot="1">
      <c r="A2" s="50"/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75" t="s">
        <v>4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76"/>
      <c r="M4" s="143"/>
      <c r="N4" s="147"/>
    </row>
    <row r="5" spans="2:13" ht="15">
      <c r="B5" s="148" t="s">
        <v>867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868</v>
      </c>
      <c r="C6" s="21" t="s">
        <v>869</v>
      </c>
      <c r="D6" s="21" t="s">
        <v>870</v>
      </c>
      <c r="E6" s="21" t="str">
        <f>"0,7494"</f>
        <v>0,7494</v>
      </c>
      <c r="F6" s="21" t="s">
        <v>14</v>
      </c>
      <c r="G6" s="21" t="s">
        <v>962</v>
      </c>
      <c r="H6" s="89" t="s">
        <v>244</v>
      </c>
      <c r="I6" s="89" t="s">
        <v>105</v>
      </c>
      <c r="J6" s="89" t="s">
        <v>285</v>
      </c>
      <c r="K6" s="66"/>
      <c r="L6" s="64">
        <v>115</v>
      </c>
      <c r="M6" s="62" t="str">
        <f>"86,1810"</f>
        <v>86,1810</v>
      </c>
      <c r="N6" s="21" t="s">
        <v>63</v>
      </c>
    </row>
    <row r="8" spans="2:13" ht="15">
      <c r="B8" s="160" t="s">
        <v>871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59">
        <v>1</v>
      </c>
      <c r="B9" s="21" t="s">
        <v>872</v>
      </c>
      <c r="C9" s="21" t="s">
        <v>873</v>
      </c>
      <c r="D9" s="21" t="s">
        <v>874</v>
      </c>
      <c r="E9" s="21" t="str">
        <f>"0,6871"</f>
        <v>0,6871</v>
      </c>
      <c r="F9" s="21" t="s">
        <v>14</v>
      </c>
      <c r="G9" s="21" t="s">
        <v>875</v>
      </c>
      <c r="H9" s="89" t="s">
        <v>339</v>
      </c>
      <c r="I9" s="89" t="s">
        <v>286</v>
      </c>
      <c r="J9" s="89" t="s">
        <v>236</v>
      </c>
      <c r="K9" s="66"/>
      <c r="L9" s="64">
        <v>125</v>
      </c>
      <c r="M9" s="62" t="str">
        <f>"85,8875"</f>
        <v>85,8875</v>
      </c>
      <c r="N9" s="21" t="s">
        <v>949</v>
      </c>
    </row>
    <row r="11" spans="2:13" ht="15">
      <c r="B11" s="160" t="s">
        <v>78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2.75">
      <c r="A12" s="59">
        <v>1</v>
      </c>
      <c r="B12" s="21" t="s">
        <v>287</v>
      </c>
      <c r="C12" s="21" t="s">
        <v>288</v>
      </c>
      <c r="D12" s="21" t="s">
        <v>876</v>
      </c>
      <c r="E12" s="21" t="str">
        <f>"0,6588"</f>
        <v>0,6588</v>
      </c>
      <c r="F12" s="21" t="s">
        <v>14</v>
      </c>
      <c r="G12" s="21" t="s">
        <v>278</v>
      </c>
      <c r="H12" s="89" t="s">
        <v>105</v>
      </c>
      <c r="I12" s="89" t="s">
        <v>106</v>
      </c>
      <c r="J12" s="65" t="s">
        <v>236</v>
      </c>
      <c r="K12" s="66"/>
      <c r="L12" s="64">
        <v>120</v>
      </c>
      <c r="M12" s="62" t="str">
        <f>"79,0560"</f>
        <v>79,0560</v>
      </c>
      <c r="N12" s="21" t="s">
        <v>63</v>
      </c>
    </row>
    <row r="14" spans="2:13" ht="15">
      <c r="B14" s="160" t="s">
        <v>137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4" ht="12.75">
      <c r="A15" s="59">
        <v>1</v>
      </c>
      <c r="B15" s="21" t="s">
        <v>363</v>
      </c>
      <c r="C15" s="21" t="s">
        <v>364</v>
      </c>
      <c r="D15" s="21" t="s">
        <v>365</v>
      </c>
      <c r="E15" s="21" t="str">
        <f>"0,5893"</f>
        <v>0,5893</v>
      </c>
      <c r="F15" s="21" t="s">
        <v>14</v>
      </c>
      <c r="G15" s="21" t="s">
        <v>15</v>
      </c>
      <c r="H15" s="89" t="s">
        <v>366</v>
      </c>
      <c r="I15" s="66"/>
      <c r="J15" s="66"/>
      <c r="K15" s="66"/>
      <c r="L15" s="64">
        <v>182.5</v>
      </c>
      <c r="M15" s="62" t="str">
        <f>"107,5472"</f>
        <v>107,5472</v>
      </c>
      <c r="N15" s="21" t="s">
        <v>950</v>
      </c>
    </row>
    <row r="18" ht="12.75">
      <c r="G18" s="28"/>
    </row>
  </sheetData>
  <sheetProtection/>
  <mergeCells count="16">
    <mergeCell ref="B14:M1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A3:A4"/>
    <mergeCell ref="N3:N4"/>
    <mergeCell ref="B5:M5"/>
    <mergeCell ref="B8:M8"/>
    <mergeCell ref="B11:M11"/>
    <mergeCell ref="M3:M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C17" sqref="C17"/>
    </sheetView>
  </sheetViews>
  <sheetFormatPr defaultColWidth="8.75390625" defaultRowHeight="12.75"/>
  <cols>
    <col min="1" max="1" width="9.125" style="52" customWidth="1"/>
    <col min="2" max="2" width="19.2539062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13.625" style="13" customWidth="1"/>
    <col min="7" max="7" width="36.75390625" style="13" customWidth="1"/>
    <col min="8" max="8" width="6.125" style="67" customWidth="1"/>
    <col min="9" max="9" width="10.125" style="67" customWidth="1"/>
    <col min="10" max="10" width="12.00390625" style="91" customWidth="1"/>
    <col min="11" max="11" width="9.625" style="67" bestFit="1" customWidth="1"/>
    <col min="12" max="12" width="16.75390625" style="13" bestFit="1" customWidth="1"/>
  </cols>
  <sheetData>
    <row r="1" spans="1:12" s="1" customFormat="1" ht="15" customHeight="1">
      <c r="A1" s="50"/>
      <c r="B1" s="149" t="s">
        <v>1036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1:12" s="1" customFormat="1" ht="88.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75" t="s">
        <v>957</v>
      </c>
      <c r="K3" s="142" t="s">
        <v>6</v>
      </c>
      <c r="L3" s="146" t="s">
        <v>5</v>
      </c>
    </row>
    <row r="4" spans="1:12" s="2" customFormat="1" ht="21" customHeight="1" thickBot="1">
      <c r="A4" s="145"/>
      <c r="B4" s="156"/>
      <c r="C4" s="143"/>
      <c r="D4" s="143"/>
      <c r="E4" s="143"/>
      <c r="F4" s="143"/>
      <c r="G4" s="159"/>
      <c r="H4" s="3" t="s">
        <v>791</v>
      </c>
      <c r="I4" s="3" t="s">
        <v>792</v>
      </c>
      <c r="J4" s="176"/>
      <c r="K4" s="143"/>
      <c r="L4" s="147"/>
    </row>
    <row r="5" spans="2:11" ht="15">
      <c r="B5" s="186" t="s">
        <v>867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1:12" ht="12.75">
      <c r="A6" s="59">
        <v>1</v>
      </c>
      <c r="B6" s="21" t="s">
        <v>868</v>
      </c>
      <c r="C6" s="21" t="s">
        <v>869</v>
      </c>
      <c r="D6" s="21" t="s">
        <v>870</v>
      </c>
      <c r="E6" s="21" t="str">
        <f>"0,7494"</f>
        <v>0,7494</v>
      </c>
      <c r="F6" s="21" t="s">
        <v>14</v>
      </c>
      <c r="G6" s="21" t="s">
        <v>962</v>
      </c>
      <c r="H6" s="62" t="s">
        <v>55</v>
      </c>
      <c r="I6" s="62" t="s">
        <v>1021</v>
      </c>
      <c r="J6" s="64">
        <v>1540</v>
      </c>
      <c r="K6" s="62" t="str">
        <f>"1154,0760"</f>
        <v>1154,0760</v>
      </c>
      <c r="L6" s="21" t="s">
        <v>63</v>
      </c>
    </row>
    <row r="8" spans="2:11" ht="15">
      <c r="B8" s="160" t="s">
        <v>871</v>
      </c>
      <c r="C8" s="160"/>
      <c r="D8" s="160"/>
      <c r="E8" s="160"/>
      <c r="F8" s="160"/>
      <c r="G8" s="160"/>
      <c r="H8" s="160"/>
      <c r="I8" s="160"/>
      <c r="J8" s="160"/>
      <c r="K8" s="160"/>
    </row>
    <row r="9" spans="1:12" ht="12.75">
      <c r="A9" s="59">
        <v>1</v>
      </c>
      <c r="B9" s="21" t="s">
        <v>872</v>
      </c>
      <c r="C9" s="21" t="s">
        <v>873</v>
      </c>
      <c r="D9" s="21" t="s">
        <v>874</v>
      </c>
      <c r="E9" s="21" t="str">
        <f>"0,6871"</f>
        <v>0,6871</v>
      </c>
      <c r="F9" s="21" t="s">
        <v>14</v>
      </c>
      <c r="G9" s="21" t="s">
        <v>875</v>
      </c>
      <c r="H9" s="62" t="s">
        <v>34</v>
      </c>
      <c r="I9" s="62" t="s">
        <v>1024</v>
      </c>
      <c r="J9" s="64">
        <v>1520</v>
      </c>
      <c r="K9" s="62" t="str">
        <f>"1044,3920"</f>
        <v>1044,3920</v>
      </c>
      <c r="L9" s="21" t="s">
        <v>951</v>
      </c>
    </row>
  </sheetData>
  <sheetProtection/>
  <mergeCells count="14">
    <mergeCell ref="B8:K8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A3:A4"/>
    <mergeCell ref="B5:K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1.75390625" style="13" customWidth="1"/>
    <col min="3" max="3" width="25.375" style="13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29.375" style="13" bestFit="1" customWidth="1"/>
    <col min="8" max="8" width="5.625" style="13" bestFit="1" customWidth="1"/>
    <col min="9" max="9" width="8.25390625" style="13" customWidth="1"/>
    <col min="10" max="10" width="12.625" style="13" customWidth="1"/>
    <col min="11" max="11" width="9.625" style="13" bestFit="1" customWidth="1"/>
    <col min="12" max="12" width="15.375" style="13" bestFit="1" customWidth="1"/>
  </cols>
  <sheetData>
    <row r="1" spans="2:12" s="1" customFormat="1" ht="15" customHeight="1">
      <c r="B1" s="149" t="s">
        <v>987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2" s="1" customFormat="1" ht="81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75" t="s">
        <v>957</v>
      </c>
      <c r="K3" s="142" t="s">
        <v>6</v>
      </c>
      <c r="L3" s="146" t="s">
        <v>5</v>
      </c>
    </row>
    <row r="4" spans="1:12" s="2" customFormat="1" ht="21" customHeight="1" thickBot="1">
      <c r="A4" s="145"/>
      <c r="B4" s="156"/>
      <c r="C4" s="143"/>
      <c r="D4" s="143"/>
      <c r="E4" s="143"/>
      <c r="F4" s="143"/>
      <c r="G4" s="159"/>
      <c r="H4" s="3" t="s">
        <v>791</v>
      </c>
      <c r="I4" s="3" t="s">
        <v>792</v>
      </c>
      <c r="J4" s="176"/>
      <c r="K4" s="143"/>
      <c r="L4" s="147"/>
    </row>
    <row r="5" spans="2:11" ht="15">
      <c r="B5" s="148" t="s">
        <v>108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59">
        <v>1</v>
      </c>
      <c r="B6" s="21" t="s">
        <v>877</v>
      </c>
      <c r="C6" s="21" t="s">
        <v>878</v>
      </c>
      <c r="D6" s="21" t="s">
        <v>131</v>
      </c>
      <c r="E6" s="21" t="str">
        <f>"0,6169"</f>
        <v>0,6169</v>
      </c>
      <c r="F6" s="21" t="s">
        <v>14</v>
      </c>
      <c r="G6" s="21" t="s">
        <v>500</v>
      </c>
      <c r="H6" s="62" t="s">
        <v>293</v>
      </c>
      <c r="I6" s="62" t="s">
        <v>1037</v>
      </c>
      <c r="J6" s="64">
        <v>2400</v>
      </c>
      <c r="K6" s="62" t="str">
        <f>"1480,5601"</f>
        <v>1480,5601</v>
      </c>
      <c r="L6" s="21" t="s">
        <v>63</v>
      </c>
    </row>
  </sheetData>
  <sheetProtection/>
  <mergeCells count="13"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0.375" style="13" customWidth="1"/>
    <col min="3" max="3" width="27.125" style="13" customWidth="1"/>
    <col min="4" max="4" width="10.625" style="13" bestFit="1" customWidth="1"/>
    <col min="5" max="5" width="8.375" style="13" bestFit="1" customWidth="1"/>
    <col min="6" max="6" width="15.625" style="13" customWidth="1"/>
    <col min="7" max="7" width="29.375" style="13" bestFit="1" customWidth="1"/>
    <col min="8" max="10" width="5.625" style="13" bestFit="1" customWidth="1"/>
    <col min="11" max="11" width="4.625" style="13" bestFit="1" customWidth="1"/>
    <col min="12" max="12" width="11.625" style="13" customWidth="1"/>
    <col min="13" max="13" width="8.625" style="13" bestFit="1" customWidth="1"/>
    <col min="14" max="14" width="15.375" style="13" bestFit="1" customWidth="1"/>
  </cols>
  <sheetData>
    <row r="1" spans="1:14" s="1" customFormat="1" ht="15" customHeight="1">
      <c r="A1" s="50"/>
      <c r="B1" s="149" t="s">
        <v>988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1:14" s="1" customFormat="1" ht="88.5" customHeight="1" thickBot="1">
      <c r="A2" s="50"/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58" t="s">
        <v>2</v>
      </c>
      <c r="I3" s="181"/>
      <c r="J3" s="181"/>
      <c r="K3" s="144"/>
      <c r="L3" s="187" t="s">
        <v>957</v>
      </c>
      <c r="M3" s="187" t="s">
        <v>6</v>
      </c>
      <c r="N3" s="189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88"/>
      <c r="M4" s="188"/>
      <c r="N4" s="190"/>
    </row>
    <row r="5" spans="2:13" ht="15">
      <c r="B5" s="191" t="s">
        <v>108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4" ht="12.75">
      <c r="A6" s="59">
        <v>1</v>
      </c>
      <c r="B6" s="21" t="s">
        <v>877</v>
      </c>
      <c r="C6" s="21" t="s">
        <v>878</v>
      </c>
      <c r="D6" s="21" t="s">
        <v>131</v>
      </c>
      <c r="E6" s="21" t="str">
        <f>"0,6169"</f>
        <v>0,6169</v>
      </c>
      <c r="F6" s="21" t="s">
        <v>14</v>
      </c>
      <c r="G6" s="21" t="s">
        <v>500</v>
      </c>
      <c r="H6" s="89" t="s">
        <v>84</v>
      </c>
      <c r="I6" s="65" t="s">
        <v>405</v>
      </c>
      <c r="J6" s="65" t="s">
        <v>89</v>
      </c>
      <c r="K6" s="66"/>
      <c r="L6" s="64">
        <v>165</v>
      </c>
      <c r="M6" s="62" t="str">
        <f>"101,7885"</f>
        <v>101,7885</v>
      </c>
      <c r="N6" s="21" t="s">
        <v>63</v>
      </c>
    </row>
    <row r="8" spans="2:13" ht="15">
      <c r="B8" s="183" t="s">
        <v>879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9" spans="1:14" ht="12.75">
      <c r="A9" s="59">
        <v>1</v>
      </c>
      <c r="B9" s="21" t="s">
        <v>880</v>
      </c>
      <c r="C9" s="21" t="s">
        <v>881</v>
      </c>
      <c r="D9" s="21" t="s">
        <v>882</v>
      </c>
      <c r="E9" s="21" t="str">
        <f>"0,5707"</f>
        <v>0,5707</v>
      </c>
      <c r="F9" s="21" t="s">
        <v>14</v>
      </c>
      <c r="G9" s="21" t="s">
        <v>883</v>
      </c>
      <c r="H9" s="89" t="s">
        <v>88</v>
      </c>
      <c r="I9" s="89" t="s">
        <v>127</v>
      </c>
      <c r="J9" s="65" t="s">
        <v>60</v>
      </c>
      <c r="K9" s="66"/>
      <c r="L9" s="64">
        <v>180</v>
      </c>
      <c r="M9" s="62" t="str">
        <f>"102,7260"</f>
        <v>102,7260</v>
      </c>
      <c r="N9" s="21" t="s">
        <v>63</v>
      </c>
    </row>
  </sheetData>
  <sheetProtection/>
  <mergeCells count="14"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3:A4"/>
    <mergeCell ref="B5:M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6.875" style="0" customWidth="1"/>
    <col min="2" max="2" width="23.125" style="13" customWidth="1"/>
    <col min="3" max="3" width="27.875" style="13" customWidth="1"/>
    <col min="4" max="4" width="10.625" style="13" bestFit="1" customWidth="1"/>
    <col min="5" max="5" width="8.375" style="13" bestFit="1" customWidth="1"/>
    <col min="6" max="6" width="17.125" style="13" customWidth="1"/>
    <col min="7" max="7" width="36.125" style="13" customWidth="1"/>
    <col min="8" max="8" width="5.625" style="13" bestFit="1" customWidth="1"/>
    <col min="9" max="11" width="4.625" style="13" bestFit="1" customWidth="1"/>
    <col min="12" max="12" width="11.625" style="13" customWidth="1"/>
    <col min="13" max="13" width="7.625" style="13" bestFit="1" customWidth="1"/>
    <col min="14" max="14" width="15.375" style="13" bestFit="1" customWidth="1"/>
  </cols>
  <sheetData>
    <row r="1" spans="2:14" s="1" customFormat="1" ht="15" customHeight="1">
      <c r="B1" s="149" t="s">
        <v>989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s="1" customFormat="1" ht="87.7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78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75">
        <v>1</v>
      </c>
      <c r="B6" s="21" t="s">
        <v>849</v>
      </c>
      <c r="C6" s="21" t="s">
        <v>850</v>
      </c>
      <c r="D6" s="21" t="s">
        <v>851</v>
      </c>
      <c r="E6" s="21" t="str">
        <f>"0,6511"</f>
        <v>0,6511</v>
      </c>
      <c r="F6" s="21" t="s">
        <v>14</v>
      </c>
      <c r="G6" s="21" t="s">
        <v>962</v>
      </c>
      <c r="H6" s="89" t="s">
        <v>262</v>
      </c>
      <c r="I6" s="66"/>
      <c r="J6" s="66"/>
      <c r="K6" s="66"/>
      <c r="L6" s="64">
        <v>95</v>
      </c>
      <c r="M6" s="62" t="str">
        <f>"61,8545"</f>
        <v>61,8545</v>
      </c>
      <c r="N6" s="21" t="s">
        <v>63</v>
      </c>
    </row>
    <row r="8" spans="2:13" ht="15">
      <c r="B8" s="160" t="s">
        <v>108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75">
        <v>1</v>
      </c>
      <c r="B9" s="21" t="s">
        <v>689</v>
      </c>
      <c r="C9" s="21" t="s">
        <v>690</v>
      </c>
      <c r="D9" s="21" t="s">
        <v>884</v>
      </c>
      <c r="E9" s="21" t="str">
        <f>"0,6349"</f>
        <v>0,6349</v>
      </c>
      <c r="F9" s="21" t="s">
        <v>14</v>
      </c>
      <c r="G9" s="21" t="s">
        <v>962</v>
      </c>
      <c r="H9" s="65" t="s">
        <v>44</v>
      </c>
      <c r="I9" s="89" t="s">
        <v>44</v>
      </c>
      <c r="J9" s="65" t="s">
        <v>262</v>
      </c>
      <c r="K9" s="66"/>
      <c r="L9" s="64">
        <v>85</v>
      </c>
      <c r="M9" s="62" t="str">
        <f>"53,9665"</f>
        <v>53,9665</v>
      </c>
      <c r="N9" s="21" t="s">
        <v>63</v>
      </c>
    </row>
  </sheetData>
  <sheetProtection/>
  <mergeCells count="14"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3:A4"/>
    <mergeCell ref="B5:M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6.00390625" style="13" bestFit="1" customWidth="1"/>
    <col min="3" max="3" width="27.25390625" style="13" customWidth="1"/>
    <col min="4" max="4" width="12.125" style="13" customWidth="1"/>
    <col min="5" max="5" width="6.625" style="13" bestFit="1" customWidth="1"/>
    <col min="6" max="6" width="16.125" style="13" customWidth="1"/>
    <col min="7" max="7" width="36.625" style="13" customWidth="1"/>
    <col min="8" max="8" width="6.125" style="13" customWidth="1"/>
    <col min="9" max="9" width="8.75390625" style="13" customWidth="1"/>
    <col min="10" max="10" width="7.875" style="13" bestFit="1" customWidth="1"/>
    <col min="11" max="11" width="6.625" style="13" bestFit="1" customWidth="1"/>
    <col min="12" max="12" width="15.375" style="13" bestFit="1" customWidth="1"/>
  </cols>
  <sheetData>
    <row r="1" spans="2:12" s="1" customFormat="1" ht="15" customHeight="1">
      <c r="B1" s="149" t="s">
        <v>990</v>
      </c>
      <c r="C1" s="150"/>
      <c r="D1" s="150"/>
      <c r="E1" s="150"/>
      <c r="F1" s="150"/>
      <c r="G1" s="150"/>
      <c r="H1" s="150"/>
      <c r="I1" s="150"/>
      <c r="J1" s="150"/>
      <c r="K1" s="150"/>
      <c r="L1" s="151"/>
    </row>
    <row r="2" spans="2:12" s="1" customFormat="1" ht="94.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1:12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 t="s">
        <v>1014</v>
      </c>
      <c r="K3" s="142" t="s">
        <v>6</v>
      </c>
      <c r="L3" s="146" t="s">
        <v>5</v>
      </c>
    </row>
    <row r="4" spans="1:12" s="2" customFormat="1" ht="21" customHeight="1" thickBot="1">
      <c r="A4" s="145"/>
      <c r="B4" s="156"/>
      <c r="C4" s="143"/>
      <c r="D4" s="143"/>
      <c r="E4" s="143"/>
      <c r="F4" s="143"/>
      <c r="G4" s="159"/>
      <c r="H4" s="3" t="s">
        <v>791</v>
      </c>
      <c r="I4" s="3" t="s">
        <v>792</v>
      </c>
      <c r="J4" s="143"/>
      <c r="K4" s="143"/>
      <c r="L4" s="147"/>
    </row>
    <row r="5" spans="2:11" ht="15">
      <c r="B5" s="148" t="s">
        <v>78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2.75">
      <c r="A6" s="59">
        <v>1</v>
      </c>
      <c r="B6" s="29" t="s">
        <v>849</v>
      </c>
      <c r="C6" s="21" t="s">
        <v>850</v>
      </c>
      <c r="D6" s="21" t="s">
        <v>851</v>
      </c>
      <c r="E6" s="21" t="str">
        <f>"0,6511"</f>
        <v>0,6511</v>
      </c>
      <c r="F6" s="21" t="s">
        <v>14</v>
      </c>
      <c r="G6" s="21" t="s">
        <v>962</v>
      </c>
      <c r="H6" s="62" t="s">
        <v>49</v>
      </c>
      <c r="I6" s="62" t="s">
        <v>1038</v>
      </c>
      <c r="J6" s="62" t="s">
        <v>1045</v>
      </c>
      <c r="K6" s="62" t="s">
        <v>955</v>
      </c>
      <c r="L6" s="21" t="s">
        <v>63</v>
      </c>
    </row>
  </sheetData>
  <sheetProtection/>
  <mergeCells count="13">
    <mergeCell ref="L3:L4"/>
    <mergeCell ref="B5:K5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6.875" style="0" customWidth="1"/>
    <col min="2" max="2" width="23.125" style="13" customWidth="1"/>
    <col min="3" max="3" width="27.875" style="13" customWidth="1"/>
    <col min="4" max="4" width="10.625" style="13" bestFit="1" customWidth="1"/>
    <col min="5" max="5" width="8.375" style="13" bestFit="1" customWidth="1"/>
    <col min="6" max="6" width="17.125" style="13" customWidth="1"/>
    <col min="7" max="7" width="36.125" style="13" customWidth="1"/>
    <col min="8" max="8" width="5.625" style="13" bestFit="1" customWidth="1"/>
    <col min="9" max="11" width="4.625" style="13" bestFit="1" customWidth="1"/>
    <col min="12" max="12" width="6.00390625" style="13" customWidth="1"/>
    <col min="13" max="13" width="8.125" style="13" customWidth="1"/>
    <col min="14" max="14" width="11.625" style="13" customWidth="1"/>
    <col min="15" max="15" width="8.125" style="13" customWidth="1"/>
    <col min="16" max="16" width="15.375" style="13" bestFit="1" customWidth="1"/>
  </cols>
  <sheetData>
    <row r="1" spans="2:16" s="1" customFormat="1" ht="15" customHeight="1">
      <c r="B1" s="149" t="s">
        <v>1042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</row>
    <row r="2" spans="2:16" s="1" customFormat="1" ht="87.7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1039</v>
      </c>
      <c r="I3" s="142"/>
      <c r="J3" s="142"/>
      <c r="K3" s="142"/>
      <c r="L3" s="158" t="s">
        <v>1040</v>
      </c>
      <c r="M3" s="144"/>
      <c r="N3" s="142" t="s">
        <v>1014</v>
      </c>
      <c r="O3" s="142" t="s">
        <v>1043</v>
      </c>
      <c r="P3" s="146" t="s">
        <v>5</v>
      </c>
    </row>
    <row r="4" spans="1:16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 t="s">
        <v>791</v>
      </c>
      <c r="M4" s="3" t="s">
        <v>1041</v>
      </c>
      <c r="N4" s="143"/>
      <c r="O4" s="143"/>
      <c r="P4" s="147"/>
    </row>
    <row r="5" spans="2:15" ht="15">
      <c r="B5" s="148" t="s">
        <v>78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6" ht="12.75">
      <c r="A6" s="75">
        <v>1</v>
      </c>
      <c r="B6" s="21" t="s">
        <v>849</v>
      </c>
      <c r="C6" s="21" t="s">
        <v>850</v>
      </c>
      <c r="D6" s="21" t="s">
        <v>851</v>
      </c>
      <c r="E6" s="21" t="str">
        <f>"0,6511"</f>
        <v>0,6511</v>
      </c>
      <c r="F6" s="21" t="s">
        <v>14</v>
      </c>
      <c r="G6" s="21" t="s">
        <v>962</v>
      </c>
      <c r="H6" s="89" t="s">
        <v>262</v>
      </c>
      <c r="I6" s="66"/>
      <c r="J6" s="66"/>
      <c r="K6" s="66"/>
      <c r="L6" s="62" t="s">
        <v>49</v>
      </c>
      <c r="M6" s="62" t="s">
        <v>1038</v>
      </c>
      <c r="N6" s="64">
        <v>1485</v>
      </c>
      <c r="O6" s="62" t="s">
        <v>1044</v>
      </c>
      <c r="P6" s="21" t="s">
        <v>63</v>
      </c>
    </row>
  </sheetData>
  <sheetProtection/>
  <mergeCells count="14">
    <mergeCell ref="B1:P2"/>
    <mergeCell ref="A3:A4"/>
    <mergeCell ref="B3:B4"/>
    <mergeCell ref="C3:C4"/>
    <mergeCell ref="D3:D4"/>
    <mergeCell ref="E3:E4"/>
    <mergeCell ref="F3:F4"/>
    <mergeCell ref="G3:G4"/>
    <mergeCell ref="H3:K3"/>
    <mergeCell ref="N3:N4"/>
    <mergeCell ref="O3:O4"/>
    <mergeCell ref="P3:P4"/>
    <mergeCell ref="B5:O5"/>
    <mergeCell ref="L3:M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19.7539062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15.25390625" style="13" customWidth="1"/>
    <col min="7" max="7" width="30.00390625" style="13" bestFit="1" customWidth="1"/>
    <col min="8" max="10" width="5.625" style="13" bestFit="1" customWidth="1"/>
    <col min="11" max="11" width="4.625" style="13" bestFit="1" customWidth="1"/>
    <col min="12" max="12" width="12.25390625" style="13" customWidth="1"/>
    <col min="13" max="13" width="8.625" style="13" bestFit="1" customWidth="1"/>
    <col min="14" max="14" width="15.75390625" style="13" bestFit="1" customWidth="1"/>
  </cols>
  <sheetData>
    <row r="1" spans="2:14" s="1" customFormat="1" ht="15" customHeight="1">
      <c r="B1" s="149" t="s">
        <v>991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s="1" customFormat="1" ht="93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108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38">
        <v>1</v>
      </c>
      <c r="B6" s="21" t="s">
        <v>885</v>
      </c>
      <c r="C6" s="21" t="s">
        <v>886</v>
      </c>
      <c r="D6" s="21" t="s">
        <v>887</v>
      </c>
      <c r="E6" s="21" t="str">
        <f>"0,6116"</f>
        <v>0,6116</v>
      </c>
      <c r="F6" s="21" t="s">
        <v>14</v>
      </c>
      <c r="G6" s="21" t="s">
        <v>888</v>
      </c>
      <c r="H6" s="89" t="s">
        <v>169</v>
      </c>
      <c r="I6" s="65" t="s">
        <v>421</v>
      </c>
      <c r="J6" s="65" t="s">
        <v>421</v>
      </c>
      <c r="K6" s="66"/>
      <c r="L6" s="62" t="s">
        <v>169</v>
      </c>
      <c r="M6" s="62" t="str">
        <f>"140,6680"</f>
        <v>140,6680</v>
      </c>
      <c r="N6" s="21" t="s">
        <v>63</v>
      </c>
    </row>
    <row r="8" spans="2:13" ht="15">
      <c r="B8" s="160" t="s">
        <v>879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38"/>
      <c r="B9" s="29" t="s">
        <v>880</v>
      </c>
      <c r="C9" s="21" t="s">
        <v>889</v>
      </c>
      <c r="D9" s="21" t="s">
        <v>882</v>
      </c>
      <c r="E9" s="21" t="str">
        <f>"0,5707"</f>
        <v>0,5707</v>
      </c>
      <c r="F9" s="21" t="s">
        <v>14</v>
      </c>
      <c r="G9" s="21" t="s">
        <v>883</v>
      </c>
      <c r="H9" s="65" t="s">
        <v>151</v>
      </c>
      <c r="I9" s="66"/>
      <c r="J9" s="66"/>
      <c r="K9" s="66"/>
      <c r="L9" s="62">
        <v>0</v>
      </c>
      <c r="M9" s="62" t="s">
        <v>955</v>
      </c>
      <c r="N9" s="21" t="s">
        <v>63</v>
      </c>
    </row>
  </sheetData>
  <sheetProtection/>
  <mergeCells count="14"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A3:A4"/>
    <mergeCell ref="B5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0.625" style="13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21.00390625" style="13" customWidth="1"/>
    <col min="7" max="7" width="36.875" style="13" customWidth="1"/>
    <col min="8" max="9" width="5.625" style="67" bestFit="1" customWidth="1"/>
    <col min="10" max="10" width="6.625" style="67" bestFit="1" customWidth="1"/>
    <col min="11" max="11" width="4.625" style="67" bestFit="1" customWidth="1"/>
    <col min="12" max="14" width="5.625" style="67" bestFit="1" customWidth="1"/>
    <col min="15" max="15" width="4.625" style="67" bestFit="1" customWidth="1"/>
    <col min="16" max="16" width="7.875" style="67" bestFit="1" customWidth="1"/>
    <col min="17" max="17" width="8.625" style="67" bestFit="1" customWidth="1"/>
    <col min="18" max="18" width="17.25390625" style="13" bestFit="1" customWidth="1"/>
  </cols>
  <sheetData>
    <row r="1" spans="1:18" s="1" customFormat="1" ht="15" customHeight="1">
      <c r="A1" s="50"/>
      <c r="B1" s="149" t="s">
        <v>965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s="1" customFormat="1" ht="83.2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3</v>
      </c>
      <c r="M3" s="142"/>
      <c r="N3" s="142"/>
      <c r="O3" s="142"/>
      <c r="P3" s="142" t="s">
        <v>4</v>
      </c>
      <c r="Q3" s="142" t="s">
        <v>6</v>
      </c>
      <c r="R3" s="146" t="s">
        <v>5</v>
      </c>
    </row>
    <row r="4" spans="1:18" s="2" customFormat="1" ht="21" customHeight="1" thickBot="1">
      <c r="A4" s="145"/>
      <c r="B4" s="156"/>
      <c r="C4" s="143"/>
      <c r="D4" s="143"/>
      <c r="E4" s="143"/>
      <c r="F4" s="143"/>
      <c r="G4" s="159"/>
      <c r="H4" s="37">
        <v>1</v>
      </c>
      <c r="I4" s="37">
        <v>2</v>
      </c>
      <c r="J4" s="37">
        <v>3</v>
      </c>
      <c r="K4" s="37" t="s">
        <v>8</v>
      </c>
      <c r="L4" s="37">
        <v>1</v>
      </c>
      <c r="M4" s="37">
        <v>2</v>
      </c>
      <c r="N4" s="37">
        <v>3</v>
      </c>
      <c r="O4" s="37" t="s">
        <v>8</v>
      </c>
      <c r="P4" s="143"/>
      <c r="Q4" s="143"/>
      <c r="R4" s="147"/>
    </row>
    <row r="5" spans="2:17" ht="15">
      <c r="B5" s="148" t="s">
        <v>190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8" ht="12.75">
      <c r="A6" s="59">
        <v>1</v>
      </c>
      <c r="B6" s="21" t="s">
        <v>679</v>
      </c>
      <c r="C6" s="21" t="s">
        <v>680</v>
      </c>
      <c r="D6" s="21" t="s">
        <v>681</v>
      </c>
      <c r="E6" s="21" t="str">
        <f>"1,2485"</f>
        <v>1,2485</v>
      </c>
      <c r="F6" s="21" t="s">
        <v>261</v>
      </c>
      <c r="G6" s="21" t="s">
        <v>960</v>
      </c>
      <c r="H6" s="89" t="s">
        <v>49</v>
      </c>
      <c r="I6" s="89" t="s">
        <v>433</v>
      </c>
      <c r="J6" s="89" t="s">
        <v>199</v>
      </c>
      <c r="K6" s="66"/>
      <c r="L6" s="89" t="s">
        <v>26</v>
      </c>
      <c r="M6" s="89" t="s">
        <v>262</v>
      </c>
      <c r="N6" s="89" t="s">
        <v>293</v>
      </c>
      <c r="O6" s="66"/>
      <c r="P6" s="64">
        <v>150</v>
      </c>
      <c r="Q6" s="62" t="str">
        <f>"187,2750"</f>
        <v>187,2750</v>
      </c>
      <c r="R6" s="21" t="s">
        <v>892</v>
      </c>
    </row>
    <row r="8" spans="2:17" ht="15">
      <c r="B8" s="160" t="s">
        <v>28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8" ht="12.75">
      <c r="A9" s="59">
        <v>1</v>
      </c>
      <c r="B9" s="21" t="s">
        <v>530</v>
      </c>
      <c r="C9" s="21" t="s">
        <v>531</v>
      </c>
      <c r="D9" s="21" t="s">
        <v>532</v>
      </c>
      <c r="E9" s="21" t="str">
        <f>"0,9797"</f>
        <v>0,9797</v>
      </c>
      <c r="F9" s="21" t="s">
        <v>261</v>
      </c>
      <c r="G9" s="21" t="s">
        <v>962</v>
      </c>
      <c r="H9" s="89" t="s">
        <v>199</v>
      </c>
      <c r="I9" s="65" t="s">
        <v>50</v>
      </c>
      <c r="J9" s="65" t="s">
        <v>200</v>
      </c>
      <c r="K9" s="66"/>
      <c r="L9" s="89" t="s">
        <v>285</v>
      </c>
      <c r="M9" s="89" t="s">
        <v>236</v>
      </c>
      <c r="N9" s="89" t="s">
        <v>237</v>
      </c>
      <c r="O9" s="66"/>
      <c r="P9" s="62">
        <v>182.5</v>
      </c>
      <c r="Q9" s="62" t="str">
        <f>"178,7953"</f>
        <v>178,7953</v>
      </c>
      <c r="R9" s="21" t="s">
        <v>893</v>
      </c>
    </row>
    <row r="11" spans="2:17" ht="15">
      <c r="B11" s="160" t="s">
        <v>18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8" ht="12.75">
      <c r="A12" s="59">
        <v>1</v>
      </c>
      <c r="B12" s="21" t="s">
        <v>682</v>
      </c>
      <c r="C12" s="21" t="s">
        <v>683</v>
      </c>
      <c r="D12" s="21" t="s">
        <v>684</v>
      </c>
      <c r="E12" s="21" t="str">
        <f>"0,8402"</f>
        <v>0,8402</v>
      </c>
      <c r="F12" s="21" t="s">
        <v>14</v>
      </c>
      <c r="G12" s="21" t="s">
        <v>960</v>
      </c>
      <c r="H12" s="65" t="s">
        <v>244</v>
      </c>
      <c r="I12" s="89" t="s">
        <v>105</v>
      </c>
      <c r="J12" s="89" t="s">
        <v>285</v>
      </c>
      <c r="K12" s="66"/>
      <c r="L12" s="89" t="s">
        <v>77</v>
      </c>
      <c r="M12" s="89" t="s">
        <v>84</v>
      </c>
      <c r="N12" s="89" t="s">
        <v>88</v>
      </c>
      <c r="O12" s="66"/>
      <c r="P12" s="64">
        <v>285</v>
      </c>
      <c r="Q12" s="62" t="str">
        <f>"239,4570"</f>
        <v>239,4570</v>
      </c>
      <c r="R12" s="21" t="s">
        <v>63</v>
      </c>
    </row>
    <row r="14" spans="2:17" ht="15">
      <c r="B14" s="160" t="s">
        <v>78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8" ht="12.75">
      <c r="A15" s="59">
        <v>1</v>
      </c>
      <c r="B15" s="21" t="s">
        <v>668</v>
      </c>
      <c r="C15" s="21" t="s">
        <v>669</v>
      </c>
      <c r="D15" s="21" t="s">
        <v>670</v>
      </c>
      <c r="E15" s="21" t="str">
        <f>"0,6440"</f>
        <v>0,6440</v>
      </c>
      <c r="F15" s="21" t="s">
        <v>14</v>
      </c>
      <c r="G15" s="21" t="s">
        <v>671</v>
      </c>
      <c r="H15" s="89" t="s">
        <v>72</v>
      </c>
      <c r="I15" s="89" t="s">
        <v>155</v>
      </c>
      <c r="J15" s="89" t="s">
        <v>405</v>
      </c>
      <c r="K15" s="66"/>
      <c r="L15" s="89" t="s">
        <v>169</v>
      </c>
      <c r="M15" s="89" t="s">
        <v>421</v>
      </c>
      <c r="N15" s="65" t="s">
        <v>465</v>
      </c>
      <c r="O15" s="66"/>
      <c r="P15" s="62">
        <v>422.5</v>
      </c>
      <c r="Q15" s="62" t="str">
        <f>"272,0900"</f>
        <v>272,0900</v>
      </c>
      <c r="R15" s="21" t="s">
        <v>63</v>
      </c>
    </row>
    <row r="17" spans="2:17" ht="15">
      <c r="B17" s="160" t="s">
        <v>137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8" spans="1:18" ht="12.75">
      <c r="A18" s="59">
        <v>1</v>
      </c>
      <c r="B18" s="21" t="s">
        <v>380</v>
      </c>
      <c r="C18" s="21" t="s">
        <v>381</v>
      </c>
      <c r="D18" s="21" t="s">
        <v>382</v>
      </c>
      <c r="E18" s="21" t="str">
        <f>"0,5902"</f>
        <v>0,5902</v>
      </c>
      <c r="F18" s="21" t="s">
        <v>32</v>
      </c>
      <c r="G18" s="21" t="s">
        <v>962</v>
      </c>
      <c r="H18" s="89" t="s">
        <v>77</v>
      </c>
      <c r="I18" s="89" t="s">
        <v>83</v>
      </c>
      <c r="J18" s="89" t="s">
        <v>155</v>
      </c>
      <c r="K18" s="66"/>
      <c r="L18" s="89" t="s">
        <v>127</v>
      </c>
      <c r="M18" s="89" t="s">
        <v>112</v>
      </c>
      <c r="N18" s="65" t="s">
        <v>468</v>
      </c>
      <c r="O18" s="66"/>
      <c r="P18" s="62">
        <v>362.5</v>
      </c>
      <c r="Q18" s="62" t="str">
        <f>"213,9475"</f>
        <v>213,9475</v>
      </c>
      <c r="R18" s="21" t="s">
        <v>383</v>
      </c>
    </row>
  </sheetData>
  <sheetProtection/>
  <mergeCells count="18">
    <mergeCell ref="R3:R4"/>
    <mergeCell ref="B14:Q14"/>
    <mergeCell ref="B17:Q17"/>
    <mergeCell ref="P3:P4"/>
    <mergeCell ref="Q3:Q4"/>
    <mergeCell ref="B5:Q5"/>
    <mergeCell ref="B8:Q8"/>
    <mergeCell ref="B11:Q11"/>
    <mergeCell ref="A3:A4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17.125" style="13" customWidth="1"/>
    <col min="3" max="3" width="27.12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29.25390625" style="13" bestFit="1" customWidth="1"/>
    <col min="8" max="10" width="5.625" style="27" bestFit="1" customWidth="1"/>
    <col min="11" max="11" width="4.625" style="27" bestFit="1" customWidth="1"/>
    <col min="12" max="14" width="5.625" style="27" bestFit="1" customWidth="1"/>
    <col min="15" max="15" width="4.625" style="27" bestFit="1" customWidth="1"/>
    <col min="16" max="16" width="7.875" style="27" bestFit="1" customWidth="1"/>
    <col min="17" max="17" width="8.625" style="27" bestFit="1" customWidth="1"/>
    <col min="18" max="18" width="15.375" style="13" bestFit="1" customWidth="1"/>
  </cols>
  <sheetData>
    <row r="1" spans="1:18" s="1" customFormat="1" ht="15" customHeight="1">
      <c r="A1" s="50"/>
      <c r="B1" s="149" t="s">
        <v>966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/>
    </row>
    <row r="2" spans="1:18" s="1" customFormat="1" ht="85.5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18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2</v>
      </c>
      <c r="I3" s="142"/>
      <c r="J3" s="142"/>
      <c r="K3" s="142"/>
      <c r="L3" s="142" t="s">
        <v>3</v>
      </c>
      <c r="M3" s="142"/>
      <c r="N3" s="142"/>
      <c r="O3" s="142"/>
      <c r="P3" s="142" t="s">
        <v>4</v>
      </c>
      <c r="Q3" s="142" t="s">
        <v>6</v>
      </c>
      <c r="R3" s="146" t="s">
        <v>5</v>
      </c>
    </row>
    <row r="4" spans="1:18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143"/>
      <c r="Q4" s="143"/>
      <c r="R4" s="147"/>
    </row>
    <row r="5" spans="2:17" ht="15">
      <c r="B5" s="148" t="s">
        <v>18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8" ht="12.75">
      <c r="A6" s="59">
        <v>1</v>
      </c>
      <c r="B6" s="21" t="s">
        <v>51</v>
      </c>
      <c r="C6" s="21" t="s">
        <v>52</v>
      </c>
      <c r="D6" s="21" t="s">
        <v>53</v>
      </c>
      <c r="E6" s="21" t="str">
        <f>"0,7756"</f>
        <v>0,7756</v>
      </c>
      <c r="F6" s="21" t="s">
        <v>14</v>
      </c>
      <c r="G6" s="21" t="s">
        <v>54</v>
      </c>
      <c r="H6" s="61"/>
      <c r="I6" s="132" t="s">
        <v>34</v>
      </c>
      <c r="J6" s="60" t="s">
        <v>44</v>
      </c>
      <c r="K6" s="61"/>
      <c r="L6" s="132" t="s">
        <v>107</v>
      </c>
      <c r="M6" s="132" t="s">
        <v>164</v>
      </c>
      <c r="N6" s="132" t="s">
        <v>69</v>
      </c>
      <c r="O6" s="61"/>
      <c r="P6" s="64">
        <v>230</v>
      </c>
      <c r="Q6" s="63" t="str">
        <f>"178,3880"</f>
        <v>178,3880</v>
      </c>
      <c r="R6" s="21" t="s">
        <v>63</v>
      </c>
    </row>
    <row r="8" spans="2:17" ht="15">
      <c r="B8" s="160" t="s">
        <v>401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18" ht="12.75">
      <c r="A9" s="59">
        <v>1</v>
      </c>
      <c r="B9" s="21" t="s">
        <v>676</v>
      </c>
      <c r="C9" s="21" t="s">
        <v>677</v>
      </c>
      <c r="D9" s="21" t="s">
        <v>678</v>
      </c>
      <c r="E9" s="21" t="str">
        <f>"0,5685"</f>
        <v>0,5685</v>
      </c>
      <c r="F9" s="21" t="s">
        <v>14</v>
      </c>
      <c r="G9" s="21" t="s">
        <v>521</v>
      </c>
      <c r="H9" s="132" t="s">
        <v>127</v>
      </c>
      <c r="I9" s="132" t="s">
        <v>151</v>
      </c>
      <c r="J9" s="132" t="s">
        <v>112</v>
      </c>
      <c r="K9" s="61"/>
      <c r="L9" s="132" t="s">
        <v>504</v>
      </c>
      <c r="M9" s="132" t="s">
        <v>459</v>
      </c>
      <c r="N9" s="132" t="s">
        <v>612</v>
      </c>
      <c r="O9" s="61"/>
      <c r="P9" s="64">
        <v>505</v>
      </c>
      <c r="Q9" s="63" t="str">
        <f>"287,0925"</f>
        <v>287,0925</v>
      </c>
      <c r="R9" s="21" t="s">
        <v>63</v>
      </c>
    </row>
  </sheetData>
  <sheetProtection/>
  <mergeCells count="15">
    <mergeCell ref="B1:R2"/>
    <mergeCell ref="B3:B4"/>
    <mergeCell ref="C3:C4"/>
    <mergeCell ref="D3:D4"/>
    <mergeCell ref="E3:E4"/>
    <mergeCell ref="P3:P4"/>
    <mergeCell ref="Q3:Q4"/>
    <mergeCell ref="R3:R4"/>
    <mergeCell ref="A3:A4"/>
    <mergeCell ref="F3:F4"/>
    <mergeCell ref="G3:G4"/>
    <mergeCell ref="H3:K3"/>
    <mergeCell ref="L3:O3"/>
    <mergeCell ref="B8:Q8"/>
    <mergeCell ref="B5:Q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6.00390625" style="13" bestFit="1" customWidth="1"/>
    <col min="3" max="3" width="25.125" style="13" customWidth="1"/>
    <col min="4" max="4" width="10.625" style="13" bestFit="1" customWidth="1"/>
    <col min="5" max="5" width="8.375" style="13" bestFit="1" customWidth="1"/>
    <col min="6" max="6" width="16.75390625" style="13" customWidth="1"/>
    <col min="7" max="7" width="27.875" style="13" bestFit="1" customWidth="1"/>
    <col min="8" max="10" width="5.625" style="13" bestFit="1" customWidth="1"/>
    <col min="11" max="11" width="4.625" style="13" bestFit="1" customWidth="1"/>
    <col min="12" max="12" width="11.00390625" style="13" customWidth="1"/>
    <col min="13" max="13" width="8.625" style="13" bestFit="1" customWidth="1"/>
    <col min="14" max="14" width="22.00390625" style="13" bestFit="1" customWidth="1"/>
  </cols>
  <sheetData>
    <row r="1" spans="2:14" s="1" customFormat="1" ht="15" customHeight="1">
      <c r="B1" s="149" t="s">
        <v>967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s="1" customFormat="1" ht="85.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3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108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423</v>
      </c>
      <c r="C6" s="21" t="s">
        <v>424</v>
      </c>
      <c r="D6" s="21" t="s">
        <v>675</v>
      </c>
      <c r="E6" s="21" t="str">
        <f>"0,6235"</f>
        <v>0,6235</v>
      </c>
      <c r="F6" s="21" t="s">
        <v>14</v>
      </c>
      <c r="G6" s="21" t="s">
        <v>426</v>
      </c>
      <c r="H6" s="89" t="s">
        <v>420</v>
      </c>
      <c r="I6" s="89" t="s">
        <v>465</v>
      </c>
      <c r="J6" s="89" t="s">
        <v>504</v>
      </c>
      <c r="K6" s="66"/>
      <c r="L6" s="64">
        <v>280</v>
      </c>
      <c r="M6" s="62" t="str">
        <f>"174,5800"</f>
        <v>174,5800</v>
      </c>
      <c r="N6" s="21" t="s">
        <v>894</v>
      </c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0" customWidth="1"/>
    <col min="2" max="2" width="26.00390625" style="13" bestFit="1" customWidth="1"/>
    <col min="3" max="3" width="28.875" style="13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28.125" style="13" bestFit="1" customWidth="1"/>
    <col min="8" max="9" width="5.625" style="13" bestFit="1" customWidth="1"/>
    <col min="10" max="10" width="2.125" style="13" bestFit="1" customWidth="1"/>
    <col min="11" max="11" width="4.625" style="13" bestFit="1" customWidth="1"/>
    <col min="12" max="12" width="12.125" style="13" customWidth="1"/>
    <col min="13" max="13" width="8.625" style="13" bestFit="1" customWidth="1"/>
    <col min="14" max="14" width="19.875" style="13" bestFit="1" customWidth="1"/>
  </cols>
  <sheetData>
    <row r="1" spans="2:14" s="1" customFormat="1" ht="15" customHeight="1">
      <c r="B1" s="149" t="s">
        <v>968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2:14" s="1" customFormat="1" ht="87.75" customHeight="1" thickBot="1"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3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137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642</v>
      </c>
      <c r="C6" s="21" t="s">
        <v>643</v>
      </c>
      <c r="D6" s="21" t="s">
        <v>644</v>
      </c>
      <c r="E6" s="21" t="str">
        <f>"0,5895"</f>
        <v>0,5895</v>
      </c>
      <c r="F6" s="21" t="s">
        <v>14</v>
      </c>
      <c r="G6" s="21" t="s">
        <v>521</v>
      </c>
      <c r="H6" s="89" t="s">
        <v>612</v>
      </c>
      <c r="I6" s="89" t="s">
        <v>645</v>
      </c>
      <c r="J6" s="66"/>
      <c r="K6" s="66"/>
      <c r="L6" s="62">
        <v>322.5</v>
      </c>
      <c r="M6" s="62" t="str">
        <f>"190,1138"</f>
        <v>190,1138</v>
      </c>
      <c r="N6" s="21" t="s">
        <v>895</v>
      </c>
    </row>
  </sheetData>
  <sheetProtection/>
  <mergeCells count="13">
    <mergeCell ref="F3:F4"/>
    <mergeCell ref="G3:G4"/>
    <mergeCell ref="H3:K3"/>
    <mergeCell ref="L3:L4"/>
    <mergeCell ref="M3:M4"/>
    <mergeCell ref="A3:A4"/>
    <mergeCell ref="N3:N4"/>
    <mergeCell ref="B5:M5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6.87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8.00390625" style="13" customWidth="1"/>
    <col min="8" max="10" width="5.625" style="67" bestFit="1" customWidth="1"/>
    <col min="11" max="11" width="4.625" style="67" bestFit="1" customWidth="1"/>
    <col min="12" max="12" width="11.25390625" style="67" customWidth="1"/>
    <col min="13" max="13" width="8.625" style="67" bestFit="1" customWidth="1"/>
    <col min="14" max="14" width="22.125" style="13" bestFit="1" customWidth="1"/>
  </cols>
  <sheetData>
    <row r="1" spans="1:14" s="1" customFormat="1" ht="15" customHeight="1">
      <c r="A1" s="50"/>
      <c r="B1" s="149" t="s">
        <v>969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90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3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190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657</v>
      </c>
      <c r="C6" s="21" t="s">
        <v>658</v>
      </c>
      <c r="D6" s="21" t="s">
        <v>659</v>
      </c>
      <c r="E6" s="21" t="str">
        <f>"1,2885"</f>
        <v>1,2885</v>
      </c>
      <c r="F6" s="21" t="s">
        <v>14</v>
      </c>
      <c r="G6" s="21" t="s">
        <v>995</v>
      </c>
      <c r="H6" s="89" t="s">
        <v>39</v>
      </c>
      <c r="I6" s="89" t="s">
        <v>24</v>
      </c>
      <c r="J6" s="65" t="s">
        <v>25</v>
      </c>
      <c r="K6" s="66"/>
      <c r="L6" s="62">
        <v>82.5</v>
      </c>
      <c r="M6" s="62" t="str">
        <f>"106,3012"</f>
        <v>106,3012</v>
      </c>
      <c r="N6" s="21" t="s">
        <v>896</v>
      </c>
    </row>
    <row r="8" spans="2:13" ht="15">
      <c r="B8" s="160" t="s">
        <v>18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59">
        <v>1</v>
      </c>
      <c r="B9" s="21" t="s">
        <v>660</v>
      </c>
      <c r="C9" s="21" t="s">
        <v>661</v>
      </c>
      <c r="D9" s="21" t="s">
        <v>528</v>
      </c>
      <c r="E9" s="21" t="str">
        <f>"1,0871"</f>
        <v>1,0871</v>
      </c>
      <c r="F9" s="21" t="s">
        <v>14</v>
      </c>
      <c r="G9" s="21" t="s">
        <v>995</v>
      </c>
      <c r="H9" s="89" t="s">
        <v>44</v>
      </c>
      <c r="I9" s="89" t="s">
        <v>262</v>
      </c>
      <c r="J9" s="89" t="s">
        <v>243</v>
      </c>
      <c r="K9" s="66"/>
      <c r="L9" s="62">
        <v>97.5</v>
      </c>
      <c r="M9" s="62" t="str">
        <f>"143,0895"</f>
        <v>143,0895</v>
      </c>
      <c r="N9" s="21" t="s">
        <v>897</v>
      </c>
    </row>
    <row r="11" spans="2:13" ht="15">
      <c r="B11" s="160" t="s">
        <v>40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4" ht="12.75">
      <c r="A12" s="53">
        <v>1</v>
      </c>
      <c r="B12" s="16" t="s">
        <v>662</v>
      </c>
      <c r="C12" s="16" t="s">
        <v>663</v>
      </c>
      <c r="D12" s="16" t="s">
        <v>664</v>
      </c>
      <c r="E12" s="16" t="str">
        <f>"0,6910"</f>
        <v>0,6910</v>
      </c>
      <c r="F12" s="16" t="s">
        <v>14</v>
      </c>
      <c r="G12" s="16" t="s">
        <v>529</v>
      </c>
      <c r="H12" s="133" t="s">
        <v>62</v>
      </c>
      <c r="I12" s="133" t="s">
        <v>119</v>
      </c>
      <c r="J12" s="68" t="s">
        <v>169</v>
      </c>
      <c r="K12" s="69"/>
      <c r="L12" s="55">
        <v>220</v>
      </c>
      <c r="M12" s="70" t="str">
        <f>"152,0200"</f>
        <v>152,0200</v>
      </c>
      <c r="N12" s="16" t="s">
        <v>63</v>
      </c>
    </row>
    <row r="13" spans="1:14" ht="12.75">
      <c r="A13" s="54">
        <v>2</v>
      </c>
      <c r="B13" s="19" t="s">
        <v>665</v>
      </c>
      <c r="C13" s="19" t="s">
        <v>666</v>
      </c>
      <c r="D13" s="19" t="s">
        <v>667</v>
      </c>
      <c r="E13" s="19" t="str">
        <f>"0,6774"</f>
        <v>0,6774</v>
      </c>
      <c r="F13" s="19" t="s">
        <v>261</v>
      </c>
      <c r="G13" s="19" t="s">
        <v>995</v>
      </c>
      <c r="H13" s="134" t="s">
        <v>62</v>
      </c>
      <c r="I13" s="134" t="s">
        <v>415</v>
      </c>
      <c r="J13" s="71" t="s">
        <v>119</v>
      </c>
      <c r="K13" s="72"/>
      <c r="L13" s="57">
        <v>210</v>
      </c>
      <c r="M13" s="73" t="str">
        <f>"142,2540"</f>
        <v>142,2540</v>
      </c>
      <c r="N13" s="19" t="s">
        <v>893</v>
      </c>
    </row>
    <row r="15" spans="2:13" ht="15">
      <c r="B15" s="160" t="s">
        <v>78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4" ht="12.75">
      <c r="A16" s="53">
        <v>1</v>
      </c>
      <c r="B16" s="16" t="s">
        <v>668</v>
      </c>
      <c r="C16" s="16" t="s">
        <v>669</v>
      </c>
      <c r="D16" s="16" t="s">
        <v>670</v>
      </c>
      <c r="E16" s="16" t="str">
        <f>"0,6440"</f>
        <v>0,6440</v>
      </c>
      <c r="F16" s="16" t="s">
        <v>14</v>
      </c>
      <c r="G16" s="16" t="s">
        <v>671</v>
      </c>
      <c r="H16" s="133" t="s">
        <v>421</v>
      </c>
      <c r="I16" s="69"/>
      <c r="J16" s="69"/>
      <c r="K16" s="69"/>
      <c r="L16" s="55">
        <v>250</v>
      </c>
      <c r="M16" s="70" t="str">
        <f>"161,0000"</f>
        <v>161,0000</v>
      </c>
      <c r="N16" s="16" t="s">
        <v>63</v>
      </c>
    </row>
    <row r="17" spans="1:14" ht="12.75">
      <c r="A17" s="54">
        <v>2</v>
      </c>
      <c r="B17" s="19" t="s">
        <v>546</v>
      </c>
      <c r="C17" s="19" t="s">
        <v>547</v>
      </c>
      <c r="D17" s="19" t="s">
        <v>305</v>
      </c>
      <c r="E17" s="19" t="str">
        <f>"0,6540"</f>
        <v>0,6540</v>
      </c>
      <c r="F17" s="19" t="s">
        <v>14</v>
      </c>
      <c r="G17" s="19" t="s">
        <v>995</v>
      </c>
      <c r="H17" s="134" t="s">
        <v>420</v>
      </c>
      <c r="I17" s="72"/>
      <c r="J17" s="72"/>
      <c r="K17" s="72"/>
      <c r="L17" s="57">
        <v>240</v>
      </c>
      <c r="M17" s="73" t="str">
        <f>"156,9600"</f>
        <v>156,9600</v>
      </c>
      <c r="N17" s="19" t="s">
        <v>63</v>
      </c>
    </row>
    <row r="19" spans="2:13" ht="15">
      <c r="B19" s="160" t="s">
        <v>108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4" ht="12.75">
      <c r="A20" s="59">
        <v>1</v>
      </c>
      <c r="B20" s="21" t="s">
        <v>672</v>
      </c>
      <c r="C20" s="21" t="s">
        <v>673</v>
      </c>
      <c r="D20" s="21" t="s">
        <v>674</v>
      </c>
      <c r="E20" s="21" t="str">
        <f>"0,6139"</f>
        <v>0,6139</v>
      </c>
      <c r="F20" s="21" t="s">
        <v>248</v>
      </c>
      <c r="G20" s="21" t="s">
        <v>898</v>
      </c>
      <c r="H20" s="89" t="s">
        <v>119</v>
      </c>
      <c r="I20" s="89" t="s">
        <v>420</v>
      </c>
      <c r="J20" s="89" t="s">
        <v>421</v>
      </c>
      <c r="K20" s="66"/>
      <c r="L20" s="64">
        <v>250</v>
      </c>
      <c r="M20" s="62" t="str">
        <f>"154,2424"</f>
        <v>154,2424</v>
      </c>
      <c r="N20" s="21" t="s">
        <v>63</v>
      </c>
    </row>
    <row r="22" spans="2:13" ht="15">
      <c r="B22" s="160" t="s">
        <v>137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4" ht="12.75">
      <c r="A23" s="59">
        <v>1</v>
      </c>
      <c r="B23" s="21" t="s">
        <v>559</v>
      </c>
      <c r="C23" s="21" t="s">
        <v>560</v>
      </c>
      <c r="D23" s="21" t="s">
        <v>561</v>
      </c>
      <c r="E23" s="21" t="str">
        <f>"0,5890"</f>
        <v>0,5890</v>
      </c>
      <c r="F23" s="21" t="s">
        <v>14</v>
      </c>
      <c r="G23" s="21" t="s">
        <v>962</v>
      </c>
      <c r="H23" s="89" t="s">
        <v>467</v>
      </c>
      <c r="I23" s="66"/>
      <c r="J23" s="66"/>
      <c r="K23" s="66"/>
      <c r="L23" s="64">
        <v>282.5</v>
      </c>
      <c r="M23" s="62" t="str">
        <f>"166,3925"</f>
        <v>166,3925</v>
      </c>
      <c r="N23" s="21" t="s">
        <v>63</v>
      </c>
    </row>
  </sheetData>
  <sheetProtection/>
  <mergeCells count="18">
    <mergeCell ref="B15:M15"/>
    <mergeCell ref="B19:M19"/>
    <mergeCell ref="B22:M22"/>
    <mergeCell ref="L3:L4"/>
    <mergeCell ref="M3:M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N3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125" style="52" customWidth="1"/>
    <col min="2" max="2" width="26.00390625" style="13" bestFit="1" customWidth="1"/>
    <col min="3" max="3" width="27.125" style="13" bestFit="1" customWidth="1"/>
    <col min="4" max="4" width="10.625" style="13" bestFit="1" customWidth="1"/>
    <col min="5" max="5" width="8.375" style="13" bestFit="1" customWidth="1"/>
    <col min="6" max="6" width="22.75390625" style="13" bestFit="1" customWidth="1"/>
    <col min="7" max="7" width="35.625" style="13" customWidth="1"/>
    <col min="8" max="11" width="5.625" style="67" bestFit="1" customWidth="1"/>
    <col min="12" max="12" width="11.875" style="67" customWidth="1"/>
    <col min="13" max="13" width="8.625" style="67" bestFit="1" customWidth="1"/>
    <col min="14" max="14" width="29.00390625" style="13" bestFit="1" customWidth="1"/>
  </cols>
  <sheetData>
    <row r="1" spans="1:14" s="1" customFormat="1" ht="15" customHeight="1">
      <c r="A1" s="50"/>
      <c r="B1" s="149" t="s">
        <v>970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81" customHeight="1" thickBot="1">
      <c r="A2" s="50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s="2" customFormat="1" ht="12.75" customHeight="1">
      <c r="A3" s="144" t="s">
        <v>952</v>
      </c>
      <c r="B3" s="155" t="s">
        <v>0</v>
      </c>
      <c r="C3" s="157" t="s">
        <v>992</v>
      </c>
      <c r="D3" s="157" t="s">
        <v>993</v>
      </c>
      <c r="E3" s="142" t="s">
        <v>9</v>
      </c>
      <c r="F3" s="142" t="s">
        <v>7</v>
      </c>
      <c r="G3" s="158" t="s">
        <v>994</v>
      </c>
      <c r="H3" s="142" t="s">
        <v>3</v>
      </c>
      <c r="I3" s="142"/>
      <c r="J3" s="142"/>
      <c r="K3" s="142"/>
      <c r="L3" s="142" t="s">
        <v>957</v>
      </c>
      <c r="M3" s="142" t="s">
        <v>6</v>
      </c>
      <c r="N3" s="146" t="s">
        <v>5</v>
      </c>
    </row>
    <row r="4" spans="1:14" s="2" customFormat="1" ht="21" customHeight="1" thickBot="1">
      <c r="A4" s="145"/>
      <c r="B4" s="156"/>
      <c r="C4" s="143"/>
      <c r="D4" s="143"/>
      <c r="E4" s="143"/>
      <c r="F4" s="143"/>
      <c r="G4" s="159"/>
      <c r="H4" s="3">
        <v>1</v>
      </c>
      <c r="I4" s="3">
        <v>2</v>
      </c>
      <c r="J4" s="3">
        <v>3</v>
      </c>
      <c r="K4" s="3" t="s">
        <v>8</v>
      </c>
      <c r="L4" s="143"/>
      <c r="M4" s="143"/>
      <c r="N4" s="147"/>
    </row>
    <row r="5" spans="2:13" ht="15">
      <c r="B5" s="148" t="s">
        <v>18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2.75">
      <c r="A6" s="59">
        <v>1</v>
      </c>
      <c r="B6" s="21" t="s">
        <v>51</v>
      </c>
      <c r="C6" s="21" t="s">
        <v>52</v>
      </c>
      <c r="D6" s="21" t="s">
        <v>53</v>
      </c>
      <c r="E6" s="21" t="str">
        <f>"0,7756"</f>
        <v>0,7756</v>
      </c>
      <c r="F6" s="21" t="s">
        <v>14</v>
      </c>
      <c r="G6" s="21" t="s">
        <v>54</v>
      </c>
      <c r="H6" s="89" t="s">
        <v>107</v>
      </c>
      <c r="I6" s="89" t="s">
        <v>164</v>
      </c>
      <c r="J6" s="89" t="s">
        <v>69</v>
      </c>
      <c r="K6" s="66"/>
      <c r="L6" s="64">
        <v>150</v>
      </c>
      <c r="M6" s="62" t="str">
        <f>"116,3400"</f>
        <v>116,3400</v>
      </c>
      <c r="N6" s="21" t="s">
        <v>63</v>
      </c>
    </row>
    <row r="8" spans="2:13" ht="15">
      <c r="B8" s="160" t="s">
        <v>78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1:14" ht="12.75">
      <c r="A9" s="53">
        <v>1</v>
      </c>
      <c r="B9" s="16" t="s">
        <v>457</v>
      </c>
      <c r="C9" s="16" t="s">
        <v>458</v>
      </c>
      <c r="D9" s="16" t="s">
        <v>92</v>
      </c>
      <c r="E9" s="16" t="str">
        <f>"0,6479"</f>
        <v>0,6479</v>
      </c>
      <c r="F9" s="16" t="s">
        <v>14</v>
      </c>
      <c r="G9" s="16" t="s">
        <v>962</v>
      </c>
      <c r="H9" s="133" t="s">
        <v>460</v>
      </c>
      <c r="I9" s="69"/>
      <c r="J9" s="69"/>
      <c r="K9" s="69"/>
      <c r="L9" s="55">
        <v>320</v>
      </c>
      <c r="M9" s="70" t="str">
        <f>"207,3280"</f>
        <v>207,3280</v>
      </c>
      <c r="N9" s="16" t="s">
        <v>63</v>
      </c>
    </row>
    <row r="10" spans="1:14" ht="12.75">
      <c r="A10" s="74">
        <v>2</v>
      </c>
      <c r="B10" s="18" t="s">
        <v>582</v>
      </c>
      <c r="C10" s="18" t="s">
        <v>583</v>
      </c>
      <c r="D10" s="18" t="s">
        <v>584</v>
      </c>
      <c r="E10" s="18" t="str">
        <f>"0,6384"</f>
        <v>0,6384</v>
      </c>
      <c r="F10" s="18" t="s">
        <v>14</v>
      </c>
      <c r="G10" s="18" t="s">
        <v>521</v>
      </c>
      <c r="H10" s="135" t="s">
        <v>586</v>
      </c>
      <c r="I10" s="77"/>
      <c r="J10" s="77"/>
      <c r="K10" s="77"/>
      <c r="L10" s="76">
        <v>305</v>
      </c>
      <c r="M10" s="78" t="str">
        <f>"194,7120"</f>
        <v>194,7120</v>
      </c>
      <c r="N10" s="18" t="s">
        <v>899</v>
      </c>
    </row>
    <row r="11" spans="1:14" ht="12.75">
      <c r="A11" s="54">
        <v>1</v>
      </c>
      <c r="B11" s="19" t="s">
        <v>627</v>
      </c>
      <c r="C11" s="19" t="s">
        <v>628</v>
      </c>
      <c r="D11" s="19" t="s">
        <v>87</v>
      </c>
      <c r="E11" s="19" t="str">
        <f>"0,6436"</f>
        <v>0,6436</v>
      </c>
      <c r="F11" s="19" t="s">
        <v>32</v>
      </c>
      <c r="G11" s="19" t="s">
        <v>961</v>
      </c>
      <c r="H11" s="134" t="s">
        <v>420</v>
      </c>
      <c r="I11" s="134" t="s">
        <v>465</v>
      </c>
      <c r="J11" s="71" t="s">
        <v>629</v>
      </c>
      <c r="K11" s="72"/>
      <c r="L11" s="57">
        <v>260</v>
      </c>
      <c r="M11" s="73" t="str">
        <f>"186,4123"</f>
        <v>186,4123</v>
      </c>
      <c r="N11" s="19" t="s">
        <v>63</v>
      </c>
    </row>
    <row r="13" spans="2:13" ht="15">
      <c r="B13" s="160" t="s">
        <v>108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1:14" ht="12.75">
      <c r="A14" s="53">
        <v>1</v>
      </c>
      <c r="B14" s="16" t="s">
        <v>630</v>
      </c>
      <c r="C14" s="16" t="s">
        <v>631</v>
      </c>
      <c r="D14" s="16" t="s">
        <v>632</v>
      </c>
      <c r="E14" s="16" t="str">
        <f>"0,6158"</f>
        <v>0,6158</v>
      </c>
      <c r="F14" s="86" t="s">
        <v>14</v>
      </c>
      <c r="G14" s="16" t="s">
        <v>898</v>
      </c>
      <c r="H14" s="136" t="s">
        <v>633</v>
      </c>
      <c r="I14" s="68" t="s">
        <v>634</v>
      </c>
      <c r="J14" s="133" t="s">
        <v>635</v>
      </c>
      <c r="K14" s="133" t="s">
        <v>481</v>
      </c>
      <c r="L14" s="70">
        <v>262.5</v>
      </c>
      <c r="M14" s="70" t="str">
        <f>"161,6475"</f>
        <v>161,6475</v>
      </c>
      <c r="N14" s="16" t="s">
        <v>900</v>
      </c>
    </row>
    <row r="15" spans="1:14" ht="12.75">
      <c r="A15" s="74">
        <v>1</v>
      </c>
      <c r="B15" s="18" t="s">
        <v>636</v>
      </c>
      <c r="C15" s="18" t="s">
        <v>637</v>
      </c>
      <c r="D15" s="18" t="s">
        <v>349</v>
      </c>
      <c r="E15" s="18" t="str">
        <f>"0,6163"</f>
        <v>0,6163</v>
      </c>
      <c r="F15" s="87" t="s">
        <v>14</v>
      </c>
      <c r="G15" s="18" t="s">
        <v>123</v>
      </c>
      <c r="H15" s="137" t="s">
        <v>421</v>
      </c>
      <c r="I15" s="135" t="s">
        <v>613</v>
      </c>
      <c r="J15" s="135" t="s">
        <v>504</v>
      </c>
      <c r="K15" s="77"/>
      <c r="L15" s="76">
        <v>280</v>
      </c>
      <c r="M15" s="78" t="str">
        <f>"172,5640"</f>
        <v>172,5640</v>
      </c>
      <c r="N15" s="18" t="s">
        <v>63</v>
      </c>
    </row>
    <row r="16" spans="1:14" ht="12.75">
      <c r="A16" s="74">
        <v>2</v>
      </c>
      <c r="B16" s="18" t="s">
        <v>630</v>
      </c>
      <c r="C16" s="18" t="s">
        <v>638</v>
      </c>
      <c r="D16" s="18" t="s">
        <v>632</v>
      </c>
      <c r="E16" s="18" t="str">
        <f>"0,6158"</f>
        <v>0,6158</v>
      </c>
      <c r="F16" s="87" t="s">
        <v>14</v>
      </c>
      <c r="G16" s="18" t="s">
        <v>898</v>
      </c>
      <c r="H16" s="137" t="s">
        <v>633</v>
      </c>
      <c r="I16" s="79" t="s">
        <v>634</v>
      </c>
      <c r="J16" s="135" t="s">
        <v>635</v>
      </c>
      <c r="K16" s="135" t="s">
        <v>481</v>
      </c>
      <c r="L16" s="78">
        <v>262.5</v>
      </c>
      <c r="M16" s="78" t="str">
        <f>"161,6475"</f>
        <v>161,6475</v>
      </c>
      <c r="N16" s="18" t="s">
        <v>900</v>
      </c>
    </row>
    <row r="17" spans="1:14" ht="12.75">
      <c r="A17" s="54">
        <v>1</v>
      </c>
      <c r="B17" s="19" t="s">
        <v>639</v>
      </c>
      <c r="C17" s="19" t="s">
        <v>640</v>
      </c>
      <c r="D17" s="19" t="s">
        <v>641</v>
      </c>
      <c r="E17" s="19" t="str">
        <f>"0,6260"</f>
        <v>0,6260</v>
      </c>
      <c r="F17" s="88" t="s">
        <v>14</v>
      </c>
      <c r="G17" s="19" t="s">
        <v>962</v>
      </c>
      <c r="H17" s="138" t="s">
        <v>415</v>
      </c>
      <c r="I17" s="134" t="s">
        <v>119</v>
      </c>
      <c r="J17" s="134" t="s">
        <v>169</v>
      </c>
      <c r="K17" s="72"/>
      <c r="L17" s="57">
        <v>230</v>
      </c>
      <c r="M17" s="73" t="str">
        <f>"179,9750"</f>
        <v>179,9750</v>
      </c>
      <c r="N17" s="19" t="s">
        <v>901</v>
      </c>
    </row>
    <row r="19" spans="2:13" ht="15">
      <c r="B19" s="160" t="s">
        <v>137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4" ht="12.75">
      <c r="A20" s="53">
        <v>1</v>
      </c>
      <c r="B20" s="16" t="s">
        <v>489</v>
      </c>
      <c r="C20" s="16" t="s">
        <v>490</v>
      </c>
      <c r="D20" s="16" t="s">
        <v>491</v>
      </c>
      <c r="E20" s="16" t="str">
        <f>"0,5970"</f>
        <v>0,5970</v>
      </c>
      <c r="F20" s="16" t="s">
        <v>14</v>
      </c>
      <c r="G20" s="16" t="s">
        <v>898</v>
      </c>
      <c r="H20" s="133" t="s">
        <v>481</v>
      </c>
      <c r="I20" s="69"/>
      <c r="J20" s="69"/>
      <c r="K20" s="69"/>
      <c r="L20" s="55">
        <v>270</v>
      </c>
      <c r="M20" s="70" t="str">
        <f>"161,1900"</f>
        <v>161,1900</v>
      </c>
      <c r="N20" s="16" t="s">
        <v>902</v>
      </c>
    </row>
    <row r="21" spans="1:14" ht="12.75">
      <c r="A21" s="74">
        <v>1</v>
      </c>
      <c r="B21" s="18" t="s">
        <v>642</v>
      </c>
      <c r="C21" s="18" t="s">
        <v>643</v>
      </c>
      <c r="D21" s="18" t="s">
        <v>644</v>
      </c>
      <c r="E21" s="18" t="str">
        <f>"0,5895"</f>
        <v>0,5895</v>
      </c>
      <c r="F21" s="18" t="s">
        <v>14</v>
      </c>
      <c r="G21" s="18" t="s">
        <v>521</v>
      </c>
      <c r="H21" s="135" t="s">
        <v>645</v>
      </c>
      <c r="I21" s="77"/>
      <c r="J21" s="77"/>
      <c r="K21" s="77"/>
      <c r="L21" s="78">
        <v>322.5</v>
      </c>
      <c r="M21" s="78" t="str">
        <f>"190,1138"</f>
        <v>190,1138</v>
      </c>
      <c r="N21" s="18" t="s">
        <v>903</v>
      </c>
    </row>
    <row r="22" spans="1:14" ht="12.75">
      <c r="A22" s="74">
        <v>2</v>
      </c>
      <c r="B22" s="18" t="s">
        <v>599</v>
      </c>
      <c r="C22" s="18" t="s">
        <v>600</v>
      </c>
      <c r="D22" s="18" t="s">
        <v>601</v>
      </c>
      <c r="E22" s="18" t="str">
        <f>"0,5932"</f>
        <v>0,5932</v>
      </c>
      <c r="F22" s="18" t="s">
        <v>204</v>
      </c>
      <c r="G22" s="18" t="s">
        <v>898</v>
      </c>
      <c r="H22" s="135" t="s">
        <v>119</v>
      </c>
      <c r="I22" s="77"/>
      <c r="J22" s="77"/>
      <c r="K22" s="77"/>
      <c r="L22" s="76">
        <v>220</v>
      </c>
      <c r="M22" s="78" t="str">
        <f>"130,5040"</f>
        <v>130,5040</v>
      </c>
      <c r="N22" s="18" t="s">
        <v>904</v>
      </c>
    </row>
    <row r="23" spans="1:14" ht="12.75">
      <c r="A23" s="54">
        <v>3</v>
      </c>
      <c r="B23" s="19" t="s">
        <v>646</v>
      </c>
      <c r="C23" s="19" t="s">
        <v>647</v>
      </c>
      <c r="D23" s="19" t="s">
        <v>648</v>
      </c>
      <c r="E23" s="19" t="str">
        <f>"0,5948"</f>
        <v>0,5948</v>
      </c>
      <c r="F23" s="19" t="s">
        <v>38</v>
      </c>
      <c r="G23" s="19" t="s">
        <v>962</v>
      </c>
      <c r="H23" s="134" t="s">
        <v>88</v>
      </c>
      <c r="I23" s="134" t="s">
        <v>127</v>
      </c>
      <c r="J23" s="71" t="s">
        <v>151</v>
      </c>
      <c r="K23" s="72"/>
      <c r="L23" s="57">
        <v>180</v>
      </c>
      <c r="M23" s="73" t="str">
        <f>"107,0640"</f>
        <v>107,0640</v>
      </c>
      <c r="N23" s="19" t="s">
        <v>905</v>
      </c>
    </row>
    <row r="25" spans="2:13" ht="15">
      <c r="B25" s="160" t="s">
        <v>165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14" ht="12.75">
      <c r="A26" s="53">
        <v>1</v>
      </c>
      <c r="B26" s="16" t="s">
        <v>649</v>
      </c>
      <c r="C26" s="16" t="s">
        <v>650</v>
      </c>
      <c r="D26" s="16" t="s">
        <v>651</v>
      </c>
      <c r="E26" s="16" t="str">
        <f>"0,5797"</f>
        <v>0,5797</v>
      </c>
      <c r="F26" s="16" t="s">
        <v>14</v>
      </c>
      <c r="G26" s="16" t="s">
        <v>426</v>
      </c>
      <c r="H26" s="133" t="s">
        <v>652</v>
      </c>
      <c r="I26" s="133" t="s">
        <v>508</v>
      </c>
      <c r="J26" s="133" t="s">
        <v>653</v>
      </c>
      <c r="K26" s="69"/>
      <c r="L26" s="55">
        <v>390</v>
      </c>
      <c r="M26" s="70" t="str">
        <f>"226,0830"</f>
        <v>226,0830</v>
      </c>
      <c r="N26" s="16" t="s">
        <v>63</v>
      </c>
    </row>
    <row r="27" spans="1:14" ht="12.75">
      <c r="A27" s="74">
        <v>2</v>
      </c>
      <c r="B27" s="18" t="s">
        <v>605</v>
      </c>
      <c r="C27" s="18" t="s">
        <v>606</v>
      </c>
      <c r="D27" s="18" t="s">
        <v>607</v>
      </c>
      <c r="E27" s="18" t="str">
        <f>"0,5809"</f>
        <v>0,5809</v>
      </c>
      <c r="F27" s="18" t="s">
        <v>14</v>
      </c>
      <c r="G27" s="18" t="s">
        <v>500</v>
      </c>
      <c r="H27" s="135" t="s">
        <v>515</v>
      </c>
      <c r="I27" s="77"/>
      <c r="J27" s="77"/>
      <c r="K27" s="77"/>
      <c r="L27" s="76">
        <v>330</v>
      </c>
      <c r="M27" s="78" t="str">
        <f>"191,6970"</f>
        <v>191,6970</v>
      </c>
      <c r="N27" s="18" t="s">
        <v>63</v>
      </c>
    </row>
    <row r="28" spans="1:14" ht="12.75">
      <c r="A28" s="74">
        <v>3</v>
      </c>
      <c r="B28" s="18" t="s">
        <v>498</v>
      </c>
      <c r="C28" s="18" t="s">
        <v>174</v>
      </c>
      <c r="D28" s="18" t="s">
        <v>499</v>
      </c>
      <c r="E28" s="18" t="str">
        <f>"0,5849"</f>
        <v>0,5849</v>
      </c>
      <c r="F28" s="18" t="s">
        <v>14</v>
      </c>
      <c r="G28" s="18" t="s">
        <v>500</v>
      </c>
      <c r="H28" s="135" t="s">
        <v>466</v>
      </c>
      <c r="I28" s="77"/>
      <c r="J28" s="77"/>
      <c r="K28" s="77"/>
      <c r="L28" s="76">
        <v>275</v>
      </c>
      <c r="M28" s="78" t="str">
        <f>"160,8475"</f>
        <v>160,8475</v>
      </c>
      <c r="N28" s="18" t="s">
        <v>63</v>
      </c>
    </row>
    <row r="29" spans="1:14" ht="12.75">
      <c r="A29" s="54"/>
      <c r="B29" s="19" t="s">
        <v>614</v>
      </c>
      <c r="C29" s="19" t="s">
        <v>615</v>
      </c>
      <c r="D29" s="19" t="s">
        <v>616</v>
      </c>
      <c r="E29" s="19" t="str">
        <f>"0,5761"</f>
        <v>0,5761</v>
      </c>
      <c r="F29" s="19" t="s">
        <v>14</v>
      </c>
      <c r="G29" s="19" t="s">
        <v>962</v>
      </c>
      <c r="H29" s="71" t="s">
        <v>504</v>
      </c>
      <c r="I29" s="71" t="s">
        <v>504</v>
      </c>
      <c r="J29" s="72"/>
      <c r="K29" s="72"/>
      <c r="L29" s="80">
        <v>0</v>
      </c>
      <c r="M29" s="73" t="s">
        <v>955</v>
      </c>
      <c r="N29" s="18" t="s">
        <v>63</v>
      </c>
    </row>
    <row r="30" ht="12.75">
      <c r="N30" s="35"/>
    </row>
    <row r="31" spans="2:3" ht="18">
      <c r="B31" s="15" t="s">
        <v>177</v>
      </c>
      <c r="C31" s="15"/>
    </row>
    <row r="33" spans="2:3" ht="14.25">
      <c r="B33" s="24"/>
      <c r="C33" s="25" t="s">
        <v>178</v>
      </c>
    </row>
    <row r="34" spans="2:6" ht="15">
      <c r="B34" s="26" t="s">
        <v>179</v>
      </c>
      <c r="C34" s="26" t="s">
        <v>180</v>
      </c>
      <c r="D34" s="26" t="s">
        <v>181</v>
      </c>
      <c r="E34" s="26" t="s">
        <v>182</v>
      </c>
      <c r="F34" s="26" t="s">
        <v>183</v>
      </c>
    </row>
    <row r="35" spans="1:6" ht="12.75">
      <c r="A35" s="75">
        <v>1</v>
      </c>
      <c r="B35" s="23" t="s">
        <v>649</v>
      </c>
      <c r="C35" s="51" t="s">
        <v>178</v>
      </c>
      <c r="D35" s="67" t="s">
        <v>996</v>
      </c>
      <c r="E35" s="67" t="s">
        <v>653</v>
      </c>
      <c r="F35" s="67" t="s">
        <v>654</v>
      </c>
    </row>
    <row r="36" spans="1:6" ht="12.75">
      <c r="A36" s="75">
        <v>2</v>
      </c>
      <c r="B36" s="23" t="s">
        <v>457</v>
      </c>
      <c r="C36" s="51" t="s">
        <v>178</v>
      </c>
      <c r="D36" s="67" t="s">
        <v>997</v>
      </c>
      <c r="E36" s="67" t="s">
        <v>460</v>
      </c>
      <c r="F36" s="67" t="s">
        <v>655</v>
      </c>
    </row>
    <row r="37" spans="1:6" ht="12.75">
      <c r="A37" s="75">
        <v>3</v>
      </c>
      <c r="B37" s="23" t="s">
        <v>582</v>
      </c>
      <c r="C37" s="51" t="s">
        <v>178</v>
      </c>
      <c r="D37" s="67" t="s">
        <v>997</v>
      </c>
      <c r="E37" s="67" t="s">
        <v>586</v>
      </c>
      <c r="F37" s="67" t="s">
        <v>656</v>
      </c>
    </row>
  </sheetData>
  <sheetProtection/>
  <mergeCells count="17">
    <mergeCell ref="B19:M19"/>
    <mergeCell ref="B25:M25"/>
    <mergeCell ref="L3:L4"/>
    <mergeCell ref="M3:M4"/>
    <mergeCell ref="B5:M5"/>
    <mergeCell ref="B8:M8"/>
    <mergeCell ref="B13:M13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N3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Леонид</cp:lastModifiedBy>
  <cp:lastPrinted>2015-07-16T19:10:53Z</cp:lastPrinted>
  <dcterms:created xsi:type="dcterms:W3CDTF">2002-06-16T13:36:44Z</dcterms:created>
  <dcterms:modified xsi:type="dcterms:W3CDTF">2017-02-06T08:25:36Z</dcterms:modified>
  <cp:category/>
  <cp:version/>
  <cp:contentType/>
  <cp:contentStatus/>
</cp:coreProperties>
</file>