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40" yWindow="0" windowWidth="11340" windowHeight="9700" firstSheet="22" activeTab="23"/>
  </bookViews>
  <sheets>
    <sheet name="Тяга в экипировке ДК" sheetId="1" r:id="rId1"/>
    <sheet name="Тяга в экипировке" sheetId="2" r:id="rId2"/>
    <sheet name="Тяга без экипировки ДК" sheetId="3" r:id="rId3"/>
    <sheet name="Тяга без экипировки" sheetId="4" r:id="rId4"/>
    <sheet name="Тяга без экипировки парная" sheetId="5" r:id="rId5"/>
    <sheet name="Жим лежа без экипировки СФО" sheetId="6" r:id="rId6"/>
    <sheet name="Жим многослой" sheetId="7" r:id="rId7"/>
    <sheet name="Жим однослой ДК" sheetId="8" r:id="rId8"/>
    <sheet name="Жим однослой" sheetId="9" r:id="rId9"/>
    <sheet name="Жим без экипировки ДК" sheetId="10" r:id="rId10"/>
    <sheet name="Жим без экипировки" sheetId="11" r:id="rId11"/>
    <sheet name="Присед в бинтах" sheetId="12" r:id="rId12"/>
    <sheet name="Присед без экипировки ДК" sheetId="13" r:id="rId13"/>
    <sheet name="Присед без экипировки" sheetId="14" r:id="rId14"/>
    <sheet name="Двоеборье в экипировке" sheetId="15" r:id="rId15"/>
    <sheet name="Двоеборье без экипировки ДК" sheetId="16" r:id="rId16"/>
    <sheet name="Двоеборье без экипировки" sheetId="17" r:id="rId17"/>
    <sheet name="Пауэрлифтинг многослой" sheetId="18" r:id="rId18"/>
    <sheet name="Пауэрлифтинг однослой" sheetId="19" r:id="rId19"/>
    <sheet name="Пауэрлифтинг в бинтах" sheetId="20" r:id="rId20"/>
    <sheet name="Пауэрлифтинг без экипировки ДК" sheetId="21" r:id="rId21"/>
    <sheet name="Пауэрлифтинг без экипировки" sheetId="22" r:id="rId22"/>
    <sheet name="Народный жим" sheetId="23" r:id="rId23"/>
    <sheet name="Народный жим ДК" sheetId="24" r:id="rId24"/>
    <sheet name="Жимовое двоеборье" sheetId="25" r:id="rId25"/>
    <sheet name="Роллинг Тандер" sheetId="26" r:id="rId26"/>
    <sheet name="Аполлон Аксель" sheetId="27" r:id="rId27"/>
    <sheet name="Судейская коллегия" sheetId="28" r:id="rId28"/>
  </sheets>
  <definedNames/>
  <calcPr fullCalcOnLoad="1" refMode="R1C1"/>
</workbook>
</file>

<file path=xl/sharedStrings.xml><?xml version="1.0" encoding="utf-8"?>
<sst xmlns="http://schemas.openxmlformats.org/spreadsheetml/2006/main" count="5880" uniqueCount="1564">
  <si>
    <t>ФИО</t>
  </si>
  <si>
    <t>Тяга</t>
  </si>
  <si>
    <t>Сумма</t>
  </si>
  <si>
    <t>Тренер</t>
  </si>
  <si>
    <t>Команда</t>
  </si>
  <si>
    <t>Рек</t>
  </si>
  <si>
    <t>Город</t>
  </si>
  <si>
    <t xml:space="preserve">Абсолютный зачёт </t>
  </si>
  <si>
    <t>ВЕСОВАЯ КАТЕГОРИЯ   52</t>
  </si>
  <si>
    <t>Бурнашова Светлана</t>
  </si>
  <si>
    <t>Open (26.10.1977)/37</t>
  </si>
  <si>
    <t>49,20</t>
  </si>
  <si>
    <t xml:space="preserve">Буйволы </t>
  </si>
  <si>
    <t xml:space="preserve">Буй/Костромская область </t>
  </si>
  <si>
    <t>107,5</t>
  </si>
  <si>
    <t>115,0</t>
  </si>
  <si>
    <t>120,0</t>
  </si>
  <si>
    <t>67,5</t>
  </si>
  <si>
    <t>72,5</t>
  </si>
  <si>
    <t>75,0</t>
  </si>
  <si>
    <t>155,0</t>
  </si>
  <si>
    <t>162,5</t>
  </si>
  <si>
    <t xml:space="preserve">Бурнашов, Длужневский </t>
  </si>
  <si>
    <t>ВЕСОВАЯ КАТЕГОРИЯ   75</t>
  </si>
  <si>
    <t>Сверчкова Анна</t>
  </si>
  <si>
    <t>Juniors 20-23 (22.04.1991)/23</t>
  </si>
  <si>
    <t>74,40</t>
  </si>
  <si>
    <t xml:space="preserve">Лично </t>
  </si>
  <si>
    <t xml:space="preserve">Архангельск/Архангельская область </t>
  </si>
  <si>
    <t>125,0</t>
  </si>
  <si>
    <t>135,0</t>
  </si>
  <si>
    <t>70,0</t>
  </si>
  <si>
    <t>80,0</t>
  </si>
  <si>
    <t>82,5</t>
  </si>
  <si>
    <t>130,0</t>
  </si>
  <si>
    <t>140,0</t>
  </si>
  <si>
    <t xml:space="preserve">Хохулин Сергей </t>
  </si>
  <si>
    <t>Соколов Николай</t>
  </si>
  <si>
    <t>Open (28.10.1985)/29</t>
  </si>
  <si>
    <t>74,80</t>
  </si>
  <si>
    <t xml:space="preserve">Одинцово/Московская область </t>
  </si>
  <si>
    <t>210,0</t>
  </si>
  <si>
    <t>230,0</t>
  </si>
  <si>
    <t>245,0</t>
  </si>
  <si>
    <t>160,0</t>
  </si>
  <si>
    <t>170,0</t>
  </si>
  <si>
    <t>175,0</t>
  </si>
  <si>
    <t>280,0</t>
  </si>
  <si>
    <t>300,0</t>
  </si>
  <si>
    <t>315,0</t>
  </si>
  <si>
    <t>Александров Иван</t>
  </si>
  <si>
    <t>74,50</t>
  </si>
  <si>
    <t>180,0</t>
  </si>
  <si>
    <t>110,0</t>
  </si>
  <si>
    <t>220,0</t>
  </si>
  <si>
    <t xml:space="preserve">Лебедев Михаил </t>
  </si>
  <si>
    <t>Кузнецов Вадим</t>
  </si>
  <si>
    <t>Open (01.01.1985)/29</t>
  </si>
  <si>
    <t>73,00</t>
  </si>
  <si>
    <t xml:space="preserve">Мурманская область </t>
  </si>
  <si>
    <t xml:space="preserve">Апатиты/Мурманская область </t>
  </si>
  <si>
    <t>100,0</t>
  </si>
  <si>
    <t>112,5</t>
  </si>
  <si>
    <t>185,0</t>
  </si>
  <si>
    <t>192,5</t>
  </si>
  <si>
    <t xml:space="preserve">Кирьянов Руслан </t>
  </si>
  <si>
    <t>ВЕСОВАЯ КАТЕГОРИЯ   82.5</t>
  </si>
  <si>
    <t>Никулин Алексей</t>
  </si>
  <si>
    <t>Open (01.11.1982)/32</t>
  </si>
  <si>
    <t>82,50</t>
  </si>
  <si>
    <t>285,0</t>
  </si>
  <si>
    <t>307,5</t>
  </si>
  <si>
    <t>165,0</t>
  </si>
  <si>
    <t>305,0</t>
  </si>
  <si>
    <t>320,0</t>
  </si>
  <si>
    <t>Смирнов Сергей</t>
  </si>
  <si>
    <t>Open (29.07.1987)/27</t>
  </si>
  <si>
    <t>80,60</t>
  </si>
  <si>
    <t xml:space="preserve">Грязовец/Вологодская область </t>
  </si>
  <si>
    <t>215,0</t>
  </si>
  <si>
    <t>222,5</t>
  </si>
  <si>
    <t>250,0</t>
  </si>
  <si>
    <t>260,0</t>
  </si>
  <si>
    <t>270,0</t>
  </si>
  <si>
    <t>Ивашко Анатолий</t>
  </si>
  <si>
    <t>Open (03.01.1990)/24</t>
  </si>
  <si>
    <t>79,60</t>
  </si>
  <si>
    <t xml:space="preserve">Прайд </t>
  </si>
  <si>
    <t xml:space="preserve">Череповец/Вологодская область </t>
  </si>
  <si>
    <t>190,0</t>
  </si>
  <si>
    <t>205,0</t>
  </si>
  <si>
    <t>150,0</t>
  </si>
  <si>
    <t>240,0</t>
  </si>
  <si>
    <t xml:space="preserve">Смыслов Иван </t>
  </si>
  <si>
    <t>Куковеров Сергей</t>
  </si>
  <si>
    <t>Masters 40-44 (07.12.1973)/41</t>
  </si>
  <si>
    <t>76,80</t>
  </si>
  <si>
    <t xml:space="preserve">Котлас/Архангельская область </t>
  </si>
  <si>
    <t>200,0</t>
  </si>
  <si>
    <t>142,5</t>
  </si>
  <si>
    <t>ВЕСОВАЯ КАТЕГОРИЯ   90</t>
  </si>
  <si>
    <t>Лебедев Михаил</t>
  </si>
  <si>
    <t>89,20</t>
  </si>
  <si>
    <t>247,5</t>
  </si>
  <si>
    <t>177,5</t>
  </si>
  <si>
    <t>Лентин Сергей</t>
  </si>
  <si>
    <t>Open (22.12.1988)/26</t>
  </si>
  <si>
    <t>88,60</t>
  </si>
  <si>
    <t>225,0</t>
  </si>
  <si>
    <t>172,5</t>
  </si>
  <si>
    <t>252,5</t>
  </si>
  <si>
    <t xml:space="preserve">самостоятельно </t>
  </si>
  <si>
    <t>Морозов Александр</t>
  </si>
  <si>
    <t>Open (30.07.1983)/31</t>
  </si>
  <si>
    <t>85,00</t>
  </si>
  <si>
    <t>195,0</t>
  </si>
  <si>
    <t>137,5</t>
  </si>
  <si>
    <t>ВЕСОВАЯ КАТЕГОРИЯ   100</t>
  </si>
  <si>
    <t>Парамонов Игорь</t>
  </si>
  <si>
    <t>Open (17.11.1983)/31</t>
  </si>
  <si>
    <t>93,10</t>
  </si>
  <si>
    <t xml:space="preserve">Хотьково/Московская область </t>
  </si>
  <si>
    <t>262,5</t>
  </si>
  <si>
    <t>272,5</t>
  </si>
  <si>
    <t>290,0</t>
  </si>
  <si>
    <t>Потемкин Павел</t>
  </si>
  <si>
    <t>Open (10.08.1987)/27</t>
  </si>
  <si>
    <t>95,40</t>
  </si>
  <si>
    <t xml:space="preserve">Тверская </t>
  </si>
  <si>
    <t xml:space="preserve">Тверь/Тверская область </t>
  </si>
  <si>
    <t>235,0</t>
  </si>
  <si>
    <t>0,0</t>
  </si>
  <si>
    <t xml:space="preserve">Бобров Виталий </t>
  </si>
  <si>
    <t>Моисеев Сергей</t>
  </si>
  <si>
    <t>Open (24.08.1977)/37</t>
  </si>
  <si>
    <t>97,40</t>
  </si>
  <si>
    <t xml:space="preserve">Великий Устюг/Вологодская область </t>
  </si>
  <si>
    <t>145,0</t>
  </si>
  <si>
    <t>ВЕСОВАЯ КАТЕГОРИЯ   110</t>
  </si>
  <si>
    <t>Клопков Илья</t>
  </si>
  <si>
    <t>Juniors 20-23 (03.05.1994)/20</t>
  </si>
  <si>
    <t>106,80</t>
  </si>
  <si>
    <t xml:space="preserve">Саратов/Саратовская область </t>
  </si>
  <si>
    <t>167,5</t>
  </si>
  <si>
    <t xml:space="preserve">Расторгуев Дмитрий </t>
  </si>
  <si>
    <t>Полуэктов Павел</t>
  </si>
  <si>
    <t>Juniors 20-23 (09.10.1993)/21</t>
  </si>
  <si>
    <t>109,10</t>
  </si>
  <si>
    <t xml:space="preserve">Вологда/Вологодская область </t>
  </si>
  <si>
    <t>Соловьев Иван</t>
  </si>
  <si>
    <t>Open (15.01.1984)/30</t>
  </si>
  <si>
    <t>110,00</t>
  </si>
  <si>
    <t xml:space="preserve">Рыбинск/Ярославская область </t>
  </si>
  <si>
    <t>330,0</t>
  </si>
  <si>
    <t>295,0</t>
  </si>
  <si>
    <t>310,0</t>
  </si>
  <si>
    <t>Бобров Виталий</t>
  </si>
  <si>
    <t>Open (30.07.1981)/33</t>
  </si>
  <si>
    <t>100,80</t>
  </si>
  <si>
    <t>217,5</t>
  </si>
  <si>
    <t>322,5</t>
  </si>
  <si>
    <t xml:space="preserve">Степанов. А.Н. </t>
  </si>
  <si>
    <t>Лысиков Дмитрий</t>
  </si>
  <si>
    <t>Open (18.02.1987)/27</t>
  </si>
  <si>
    <t xml:space="preserve">Вегетарианская сила </t>
  </si>
  <si>
    <t xml:space="preserve">Смирнов Олег </t>
  </si>
  <si>
    <t>ВЕСОВАЯ КАТЕГОРИЯ   125</t>
  </si>
  <si>
    <t>Милов Денис</t>
  </si>
  <si>
    <t>Open (13.04.1989)/25</t>
  </si>
  <si>
    <t>119,20</t>
  </si>
  <si>
    <t xml:space="preserve">Пенза/Пензенская область </t>
  </si>
  <si>
    <t>255,0</t>
  </si>
  <si>
    <t>157,5</t>
  </si>
  <si>
    <t>302,5</t>
  </si>
  <si>
    <t>312,5</t>
  </si>
  <si>
    <t xml:space="preserve">Женщины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</si>
  <si>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</si>
  <si>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</si>
  <si>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</si>
  <si>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</si>
  <si>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Коэф. </t>
  </si>
  <si>
    <t xml:space="preserve">75 </t>
  </si>
  <si>
    <t>355,0</t>
  </si>
  <si>
    <t>550,3210</t>
  </si>
  <si>
    <t xml:space="preserve">Open </t>
  </si>
  <si>
    <t xml:space="preserve">Открытая </t>
  </si>
  <si>
    <t xml:space="preserve">52 </t>
  </si>
  <si>
    <t>350,0</t>
  </si>
  <si>
    <t>781,6900</t>
  </si>
  <si>
    <t xml:space="preserve">Мужчины </t>
  </si>
  <si>
    <t xml:space="preserve">110 </t>
  </si>
  <si>
    <t>598,1760</t>
  </si>
  <si>
    <t>478,9800</t>
  </si>
  <si>
    <t xml:space="preserve">82.5 </t>
  </si>
  <si>
    <t>770,0</t>
  </si>
  <si>
    <t>792,3300</t>
  </si>
  <si>
    <t>695,0</t>
  </si>
  <si>
    <t>777,9830</t>
  </si>
  <si>
    <t>860,0</t>
  </si>
  <si>
    <t>761,1000</t>
  </si>
  <si>
    <t xml:space="preserve">100 </t>
  </si>
  <si>
    <t>737,5</t>
  </si>
  <si>
    <t>698,8550</t>
  </si>
  <si>
    <t>652,5</t>
  </si>
  <si>
    <t>683,2980</t>
  </si>
  <si>
    <t xml:space="preserve">90 </t>
  </si>
  <si>
    <t>697,5</t>
  </si>
  <si>
    <t>679,6440</t>
  </si>
  <si>
    <t>610,0</t>
  </si>
  <si>
    <t>645,8680</t>
  </si>
  <si>
    <t>657,5</t>
  </si>
  <si>
    <t>643,4295</t>
  </si>
  <si>
    <t xml:space="preserve">125 </t>
  </si>
  <si>
    <t>732,5</t>
  </si>
  <si>
    <t>633,7590</t>
  </si>
  <si>
    <t>650,0</t>
  </si>
  <si>
    <t>607,3600</t>
  </si>
  <si>
    <t>601,5100</t>
  </si>
  <si>
    <t>525,0</t>
  </si>
  <si>
    <t>590,1000</t>
  </si>
  <si>
    <t>562,5</t>
  </si>
  <si>
    <t>565,8750</t>
  </si>
  <si>
    <t>635,0</t>
  </si>
  <si>
    <t>561,9750</t>
  </si>
  <si>
    <t>420,0</t>
  </si>
  <si>
    <t>481,7400</t>
  </si>
  <si>
    <t xml:space="preserve">Мастера 40 - 44 </t>
  </si>
  <si>
    <t>630,8610</t>
  </si>
  <si>
    <t>ВЕСОВАЯ КАТЕГОРИЯ   44</t>
  </si>
  <si>
    <t>Лазарева Анастасия</t>
  </si>
  <si>
    <t>Open (06.09.1987)/27</t>
  </si>
  <si>
    <t>43,30</t>
  </si>
  <si>
    <t>50,0</t>
  </si>
  <si>
    <t>60,0</t>
  </si>
  <si>
    <t>65,0</t>
  </si>
  <si>
    <t>30,0</t>
  </si>
  <si>
    <t>35,0</t>
  </si>
  <si>
    <t>37,5</t>
  </si>
  <si>
    <t>85,0</t>
  </si>
  <si>
    <t>90,0</t>
  </si>
  <si>
    <t xml:space="preserve">Нагибин Денис </t>
  </si>
  <si>
    <t>Демидова Валентина</t>
  </si>
  <si>
    <t>Open (06.08.1987)/27</t>
  </si>
  <si>
    <t>44,00</t>
  </si>
  <si>
    <t xml:space="preserve">Медведь </t>
  </si>
  <si>
    <t>40,0</t>
  </si>
  <si>
    <t>42,5</t>
  </si>
  <si>
    <t xml:space="preserve">Есин Михаил </t>
  </si>
  <si>
    <t>ВЕСОВАЯ КАТЕГОРИЯ   56</t>
  </si>
  <si>
    <t>Узунова Марина</t>
  </si>
  <si>
    <t>Teen 16-17 (10.05.1998)/16</t>
  </si>
  <si>
    <t>56,00</t>
  </si>
  <si>
    <t>45,0</t>
  </si>
  <si>
    <t>52,5</t>
  </si>
  <si>
    <t>55,0</t>
  </si>
  <si>
    <t>105,0</t>
  </si>
  <si>
    <t xml:space="preserve">Ильин Алесандр </t>
  </si>
  <si>
    <t>ВЕСОВАЯ КАТЕГОРИЯ   60</t>
  </si>
  <si>
    <t>Моисеева Ксения</t>
  </si>
  <si>
    <t>Teen 16-17 (12.06.1997)/17</t>
  </si>
  <si>
    <t>56,40</t>
  </si>
  <si>
    <t xml:space="preserve">Моисеев Сергей </t>
  </si>
  <si>
    <t>Евстафьева Анастасия</t>
  </si>
  <si>
    <t>Teen 16-17 (18.01.1997)/17</t>
  </si>
  <si>
    <t>57,50</t>
  </si>
  <si>
    <t xml:space="preserve">Гальков Эдуард </t>
  </si>
  <si>
    <t>Шварц Нелли</t>
  </si>
  <si>
    <t>Juniors 20-23 (20.10.1992)/22</t>
  </si>
  <si>
    <t>58,90</t>
  </si>
  <si>
    <t>Чащина Мария</t>
  </si>
  <si>
    <t>Juniors 20-23 (13.07.1992)/22</t>
  </si>
  <si>
    <t>58,70</t>
  </si>
  <si>
    <t xml:space="preserve">Флекс </t>
  </si>
  <si>
    <t>77,5</t>
  </si>
  <si>
    <t>47,5</t>
  </si>
  <si>
    <t>95,0</t>
  </si>
  <si>
    <t xml:space="preserve">Карташов Максим </t>
  </si>
  <si>
    <t>Акименко Яна</t>
  </si>
  <si>
    <t>Open (29.11.1986)/28</t>
  </si>
  <si>
    <t>59,80</t>
  </si>
  <si>
    <t xml:space="preserve">Ивашко Анатолий </t>
  </si>
  <si>
    <t>Коробицина Светлана</t>
  </si>
  <si>
    <t>Open (03.09.1984)/30</t>
  </si>
  <si>
    <t>59,10</t>
  </si>
  <si>
    <t>ВЕСОВАЯ КАТЕГОРИЯ   67.5</t>
  </si>
  <si>
    <t>Бутусова Марина</t>
  </si>
  <si>
    <t>Open (09.05.1990)/24</t>
  </si>
  <si>
    <t>65,00</t>
  </si>
  <si>
    <t>97,5</t>
  </si>
  <si>
    <t>57,5</t>
  </si>
  <si>
    <t>62,5</t>
  </si>
  <si>
    <t>Бурнашов Владимир</t>
  </si>
  <si>
    <t>Teen 13-15 (15.11.2002)/12</t>
  </si>
  <si>
    <t>50,00</t>
  </si>
  <si>
    <t>102,5</t>
  </si>
  <si>
    <t xml:space="preserve">Бурнашов Василий </t>
  </si>
  <si>
    <t>Уваров Геннадий</t>
  </si>
  <si>
    <t>Open (03.05.1978)/36</t>
  </si>
  <si>
    <t>58,30</t>
  </si>
  <si>
    <t>122,5</t>
  </si>
  <si>
    <t>87,5</t>
  </si>
  <si>
    <t>147,5</t>
  </si>
  <si>
    <t>152,5</t>
  </si>
  <si>
    <t>Двойников Олег</t>
  </si>
  <si>
    <t>Masters 50-54 (08.10.1960)/54</t>
  </si>
  <si>
    <t>59,30</t>
  </si>
  <si>
    <t>Рек Александр</t>
  </si>
  <si>
    <t>Open (13.07.1987)/27</t>
  </si>
  <si>
    <t>64,90</t>
  </si>
  <si>
    <t>187,5</t>
  </si>
  <si>
    <t>Сергеев Роман</t>
  </si>
  <si>
    <t>Open (16.11.1988)/26</t>
  </si>
  <si>
    <t>65,60</t>
  </si>
  <si>
    <t>Кутумов Антон</t>
  </si>
  <si>
    <t>Open (11.05.1983)/31</t>
  </si>
  <si>
    <t>64,80</t>
  </si>
  <si>
    <t>Гайдук Савелий</t>
  </si>
  <si>
    <t>Masters 55-59 (28.10.1956)/58</t>
  </si>
  <si>
    <t>65,70</t>
  </si>
  <si>
    <t xml:space="preserve">Петрозаводск/Карелия </t>
  </si>
  <si>
    <t xml:space="preserve">Ерошин Геннадий </t>
  </si>
  <si>
    <t>Шептура Артем</t>
  </si>
  <si>
    <t>Teen 13-15 (24.12.2000)/14</t>
  </si>
  <si>
    <t>72,50</t>
  </si>
  <si>
    <t xml:space="preserve">Шептура Валентин </t>
  </si>
  <si>
    <t>Попов Артем</t>
  </si>
  <si>
    <t>Juniors 20-23 (08.04.1991)/23</t>
  </si>
  <si>
    <t xml:space="preserve">Сокол </t>
  </si>
  <si>
    <t xml:space="preserve">Сокол/Вологодская область </t>
  </si>
  <si>
    <t xml:space="preserve">Шетохин Дмитрий </t>
  </si>
  <si>
    <t>Куприяник Иван</t>
  </si>
  <si>
    <t>Open (17.10.1983)/31</t>
  </si>
  <si>
    <t xml:space="preserve">Salute </t>
  </si>
  <si>
    <t>182,5</t>
  </si>
  <si>
    <t>Шашерин Артем</t>
  </si>
  <si>
    <t>Open (08.11.1984)/30</t>
  </si>
  <si>
    <t>73,30</t>
  </si>
  <si>
    <t xml:space="preserve">Рассохин Алесандр </t>
  </si>
  <si>
    <t>Павлов Александр</t>
  </si>
  <si>
    <t>Open (25.06.1989)/25</t>
  </si>
  <si>
    <t>81,90</t>
  </si>
  <si>
    <t>Вишняков Василий</t>
  </si>
  <si>
    <t>Open (11.02.1985)/29</t>
  </si>
  <si>
    <t>82,10</t>
  </si>
  <si>
    <t xml:space="preserve">Чебыкин Андрей </t>
  </si>
  <si>
    <t>Губанов Юрий</t>
  </si>
  <si>
    <t>Open (06.03.1987)/27</t>
  </si>
  <si>
    <t>87,30</t>
  </si>
  <si>
    <t xml:space="preserve">Кострома/Костромская область </t>
  </si>
  <si>
    <t xml:space="preserve">Колесов З. </t>
  </si>
  <si>
    <t>Иванов Андрей</t>
  </si>
  <si>
    <t>Open (08.06.1988)/26</t>
  </si>
  <si>
    <t>83,50</t>
  </si>
  <si>
    <t>Молодцов Александр</t>
  </si>
  <si>
    <t>Open (21.10.1978)/36</t>
  </si>
  <si>
    <t>86,60</t>
  </si>
  <si>
    <t xml:space="preserve">Малюков Алексей </t>
  </si>
  <si>
    <t>Шашерин Николай</t>
  </si>
  <si>
    <t>Open (20.01.1987)/27</t>
  </si>
  <si>
    <t>99,40</t>
  </si>
  <si>
    <t>267,5</t>
  </si>
  <si>
    <t>275,0</t>
  </si>
  <si>
    <t>Андреев Николай</t>
  </si>
  <si>
    <t>Open (20.04.1990)/24</t>
  </si>
  <si>
    <t>97,90</t>
  </si>
  <si>
    <t xml:space="preserve">Космодром Плесецк </t>
  </si>
  <si>
    <t xml:space="preserve">Мирный/Архангельская область </t>
  </si>
  <si>
    <t>132,5</t>
  </si>
  <si>
    <t xml:space="preserve">Глазьев Николай </t>
  </si>
  <si>
    <t>Чащин Дмитрий</t>
  </si>
  <si>
    <t>Open (11.05.1976)/38</t>
  </si>
  <si>
    <t>95,70</t>
  </si>
  <si>
    <t xml:space="preserve">Система Фитнес </t>
  </si>
  <si>
    <t xml:space="preserve">Поповский Антон </t>
  </si>
  <si>
    <t>Ильин Александр</t>
  </si>
  <si>
    <t>97,20</t>
  </si>
  <si>
    <t>Семенин Дмитрий</t>
  </si>
  <si>
    <t>Open (09.12.1983)/31</t>
  </si>
  <si>
    <t>106,30</t>
  </si>
  <si>
    <t xml:space="preserve">60 </t>
  </si>
  <si>
    <t xml:space="preserve">56 </t>
  </si>
  <si>
    <t>227,5</t>
  </si>
  <si>
    <t xml:space="preserve">67.5 </t>
  </si>
  <si>
    <t>747,5</t>
  </si>
  <si>
    <t>668,2650</t>
  </si>
  <si>
    <t>715,0</t>
  </si>
  <si>
    <t>655,9410</t>
  </si>
  <si>
    <t>480,0</t>
  </si>
  <si>
    <t>620,1600</t>
  </si>
  <si>
    <t>527,5</t>
  </si>
  <si>
    <t>609,2625</t>
  </si>
  <si>
    <t>605,0</t>
  </si>
  <si>
    <t>597,6190</t>
  </si>
  <si>
    <t>567,5</t>
  </si>
  <si>
    <t>587,2490</t>
  </si>
  <si>
    <t>510,0</t>
  </si>
  <si>
    <t>582,5220</t>
  </si>
  <si>
    <t>442,5</t>
  </si>
  <si>
    <t>564,8955</t>
  </si>
  <si>
    <t>427,5</t>
  </si>
  <si>
    <t>553,1850</t>
  </si>
  <si>
    <t>370,0</t>
  </si>
  <si>
    <t>549,8200</t>
  </si>
  <si>
    <t>500,0</t>
  </si>
  <si>
    <t>516,4000</t>
  </si>
  <si>
    <t>484,7850</t>
  </si>
  <si>
    <t>467,5</t>
  </si>
  <si>
    <t>476,3825</t>
  </si>
  <si>
    <t>Могурова Ксения</t>
  </si>
  <si>
    <t>59,70</t>
  </si>
  <si>
    <t xml:space="preserve">СЦ Динамит </t>
  </si>
  <si>
    <t>116,0</t>
  </si>
  <si>
    <t xml:space="preserve">Таранухин Георгий </t>
  </si>
  <si>
    <t>Расторгуев Дмитрий</t>
  </si>
  <si>
    <t xml:space="preserve">Михеев Виктор </t>
  </si>
  <si>
    <t>Бурнашов Василий</t>
  </si>
  <si>
    <t>Open (28.11.1977)/37</t>
  </si>
  <si>
    <t>82,40</t>
  </si>
  <si>
    <t>Дурапов Николай</t>
  </si>
  <si>
    <t>Open (17.07.1980)/34</t>
  </si>
  <si>
    <t>87,00</t>
  </si>
  <si>
    <t>89,50</t>
  </si>
  <si>
    <t>Шестимиров Алексей</t>
  </si>
  <si>
    <t>Open (21.09.1976)/38</t>
  </si>
  <si>
    <t>89,10</t>
  </si>
  <si>
    <t>Семенов Илья</t>
  </si>
  <si>
    <t>207,5</t>
  </si>
  <si>
    <t>Скоробрещук Олег</t>
  </si>
  <si>
    <t>Open (27.09.1977)/37</t>
  </si>
  <si>
    <t>105,80</t>
  </si>
  <si>
    <t xml:space="preserve">Ногинск/Московская область </t>
  </si>
  <si>
    <t xml:space="preserve">Фальковский </t>
  </si>
  <si>
    <t>Никитин Олег</t>
  </si>
  <si>
    <t>123,90</t>
  </si>
  <si>
    <t xml:space="preserve">Макеев Иван </t>
  </si>
  <si>
    <t>Воронов Никита</t>
  </si>
  <si>
    <t>Open (05.02.1987)/27</t>
  </si>
  <si>
    <t>118,20</t>
  </si>
  <si>
    <t xml:space="preserve">Николаев Е.Ф. </t>
  </si>
  <si>
    <t>730,0</t>
  </si>
  <si>
    <t>752,5</t>
  </si>
  <si>
    <t>774,9245</t>
  </si>
  <si>
    <t>750,0</t>
  </si>
  <si>
    <t>742,5000</t>
  </si>
  <si>
    <t>709,5600</t>
  </si>
  <si>
    <t>780,0</t>
  </si>
  <si>
    <t>697,3200</t>
  </si>
  <si>
    <t>667,5900</t>
  </si>
  <si>
    <t>665,0</t>
  </si>
  <si>
    <t>595,7070</t>
  </si>
  <si>
    <t>570,0</t>
  </si>
  <si>
    <t>555,8640</t>
  </si>
  <si>
    <t>Семенихин Иван</t>
  </si>
  <si>
    <t>Open (03.03.1991)/23</t>
  </si>
  <si>
    <t>81,60</t>
  </si>
  <si>
    <t xml:space="preserve">Макрашов Владимир </t>
  </si>
  <si>
    <t>Шерохов Сергей</t>
  </si>
  <si>
    <t>Open (10.03.1985)/29</t>
  </si>
  <si>
    <t>88,30</t>
  </si>
  <si>
    <t>242,5</t>
  </si>
  <si>
    <t>Логинов Дмитрий</t>
  </si>
  <si>
    <t>Open (12.05.1989)/25</t>
  </si>
  <si>
    <t>116,10</t>
  </si>
  <si>
    <t>340,0</t>
  </si>
  <si>
    <t>387,5</t>
  </si>
  <si>
    <t>Кочетов Андрей</t>
  </si>
  <si>
    <t>Open (21.05.1990)/24</t>
  </si>
  <si>
    <t>124,70</t>
  </si>
  <si>
    <t xml:space="preserve">Владимир/Владимирская область </t>
  </si>
  <si>
    <t>265,0</t>
  </si>
  <si>
    <t xml:space="preserve">Суслов Николай </t>
  </si>
  <si>
    <t>Емцев Николай</t>
  </si>
  <si>
    <t>Masters 45-49 (23.05.1967)/47</t>
  </si>
  <si>
    <t>122,60</t>
  </si>
  <si>
    <t xml:space="preserve">Кувшиново/Тверская область </t>
  </si>
  <si>
    <t>Цветков Василий</t>
  </si>
  <si>
    <t>Open (05.07.1981)/33</t>
  </si>
  <si>
    <t>80,10</t>
  </si>
  <si>
    <t xml:space="preserve">Дубна/Московская область </t>
  </si>
  <si>
    <t>212,5</t>
  </si>
  <si>
    <t>118,60</t>
  </si>
  <si>
    <t>Трухина Наталья</t>
  </si>
  <si>
    <t>Juniors 20-23 (01.07.1991)/23</t>
  </si>
  <si>
    <t xml:space="preserve">Кузнецов Владислав </t>
  </si>
  <si>
    <t>Рассохин Александр</t>
  </si>
  <si>
    <t>Open (08.10.1985)/29</t>
  </si>
  <si>
    <t>74,10</t>
  </si>
  <si>
    <t>Меньшиков Виталий</t>
  </si>
  <si>
    <t>Open (12.01.1987)/27</t>
  </si>
  <si>
    <t>82,20</t>
  </si>
  <si>
    <t xml:space="preserve">Звезда </t>
  </si>
  <si>
    <t xml:space="preserve">Звездин Игорь </t>
  </si>
  <si>
    <t>Кашулин Дмитрий</t>
  </si>
  <si>
    <t xml:space="preserve">Ильин Александр </t>
  </si>
  <si>
    <t>Ченцов Вадим</t>
  </si>
  <si>
    <t>Open (12.01.1986)/28</t>
  </si>
  <si>
    <t>89,80</t>
  </si>
  <si>
    <t>Смирнов Олег</t>
  </si>
  <si>
    <t>Open (22.01.1986)/28</t>
  </si>
  <si>
    <t>89,00</t>
  </si>
  <si>
    <t>Привезенцев Виталий</t>
  </si>
  <si>
    <t>Open (26.04.1979)/35</t>
  </si>
  <si>
    <t>88,70</t>
  </si>
  <si>
    <t xml:space="preserve">Иваново/Ивановская область </t>
  </si>
  <si>
    <t xml:space="preserve">Цацулин Михаил </t>
  </si>
  <si>
    <t>Осколков Игорь</t>
  </si>
  <si>
    <t>Masters 40-44 (23.04.1970)/44</t>
  </si>
  <si>
    <t>Masters 45-49 (19.01.1968)/46</t>
  </si>
  <si>
    <t>89,90</t>
  </si>
  <si>
    <t>Короглишвили Роман</t>
  </si>
  <si>
    <t>Juniors 20-23 (17.10.1992)/22</t>
  </si>
  <si>
    <t>93,40</t>
  </si>
  <si>
    <t>Панкратьев Александр</t>
  </si>
  <si>
    <t>Open (19.08.1987)/27</t>
  </si>
  <si>
    <t>94,90</t>
  </si>
  <si>
    <t>202,5</t>
  </si>
  <si>
    <t>Седов Олег</t>
  </si>
  <si>
    <t>98,10</t>
  </si>
  <si>
    <t>Смыслов Иван</t>
  </si>
  <si>
    <t>Open (13.04.1985)/29</t>
  </si>
  <si>
    <t>98,40</t>
  </si>
  <si>
    <t xml:space="preserve">Соловьев Вячеслав </t>
  </si>
  <si>
    <t>Марков Артем</t>
  </si>
  <si>
    <t>Open (03.08.1986)/28</t>
  </si>
  <si>
    <t>98,30</t>
  </si>
  <si>
    <t xml:space="preserve">Рассохин Александр </t>
  </si>
  <si>
    <t>Кузеев Дамир</t>
  </si>
  <si>
    <t>Masters 60-64 (14.05.1952)/62</t>
  </si>
  <si>
    <t>99,80</t>
  </si>
  <si>
    <t xml:space="preserve">Североморск/Мурманская область </t>
  </si>
  <si>
    <t>Попов Сергей</t>
  </si>
  <si>
    <t>Open (05.01.1977)/37</t>
  </si>
  <si>
    <t>Глазьев Евгений</t>
  </si>
  <si>
    <t>Open (13.02.1986)/28</t>
  </si>
  <si>
    <t>103,90</t>
  </si>
  <si>
    <t xml:space="preserve">Десногорск/Смоленская область </t>
  </si>
  <si>
    <t>197,5</t>
  </si>
  <si>
    <t>Соловьев Михаил</t>
  </si>
  <si>
    <t>Open (17.08.1985)/29</t>
  </si>
  <si>
    <t>107,40</t>
  </si>
  <si>
    <t>Хохлов Олег</t>
  </si>
  <si>
    <t>Open (18.04.1981)/33</t>
  </si>
  <si>
    <t>108,50</t>
  </si>
  <si>
    <t>Пашовкин Валентин</t>
  </si>
  <si>
    <t>Open (28.05.1985)/29</t>
  </si>
  <si>
    <t>Фаворский Денис</t>
  </si>
  <si>
    <t>Open (16.07.1971)/43</t>
  </si>
  <si>
    <t>108,60</t>
  </si>
  <si>
    <t>Masters 40-44 (16.07.1971)/43</t>
  </si>
  <si>
    <t>Сербин Анатолий</t>
  </si>
  <si>
    <t>Open (26.07.1990)/24</t>
  </si>
  <si>
    <t>113,40</t>
  </si>
  <si>
    <t>Григорьев Константин</t>
  </si>
  <si>
    <t>Open (14.04.1980)/34</t>
  </si>
  <si>
    <t>Литвинов Дмитрий</t>
  </si>
  <si>
    <t>Open (17.01.1989)/25</t>
  </si>
  <si>
    <t>119,40</t>
  </si>
  <si>
    <t xml:space="preserve">Ярославль/Ярославская область </t>
  </si>
  <si>
    <t xml:space="preserve">Прокофьев Вячеслав </t>
  </si>
  <si>
    <t>Григорьев Сергей</t>
  </si>
  <si>
    <t>Open (10.07.1981)/33</t>
  </si>
  <si>
    <t>116,80</t>
  </si>
  <si>
    <t>ВЕСОВАЯ КАТЕГОРИЯ   140</t>
  </si>
  <si>
    <t>Колохин Павел</t>
  </si>
  <si>
    <t>Open (02.07.1984)/30</t>
  </si>
  <si>
    <t>128,20</t>
  </si>
  <si>
    <t>277,5</t>
  </si>
  <si>
    <t>282,5</t>
  </si>
  <si>
    <t xml:space="preserve">140 </t>
  </si>
  <si>
    <t>241,2550</t>
  </si>
  <si>
    <t>227,7600</t>
  </si>
  <si>
    <t>203,8845</t>
  </si>
  <si>
    <t>196,9125</t>
  </si>
  <si>
    <t>189,1330</t>
  </si>
  <si>
    <t>184,2800</t>
  </si>
  <si>
    <t>180,8640</t>
  </si>
  <si>
    <t>178,0265</t>
  </si>
  <si>
    <t>175,3720</t>
  </si>
  <si>
    <t>175,2000</t>
  </si>
  <si>
    <t>174,5640</t>
  </si>
  <si>
    <t>171,5945</t>
  </si>
  <si>
    <t>170,8375</t>
  </si>
  <si>
    <t>170,5330</t>
  </si>
  <si>
    <t>167,5520</t>
  </si>
  <si>
    <t>165,1100</t>
  </si>
  <si>
    <t>156,1600</t>
  </si>
  <si>
    <t>148,9075</t>
  </si>
  <si>
    <t>143,0400</t>
  </si>
  <si>
    <t>122,2750</t>
  </si>
  <si>
    <t>ВЕСОВАЯ КАТЕГОРИЯ   48</t>
  </si>
  <si>
    <t>Красикова Людмила</t>
  </si>
  <si>
    <t>47,20</t>
  </si>
  <si>
    <t>Шушкова Елена</t>
  </si>
  <si>
    <t>Open (02.04.1989)/25</t>
  </si>
  <si>
    <t>44,60</t>
  </si>
  <si>
    <t>Гостева Олеся</t>
  </si>
  <si>
    <t>Open (08.04.1986)/28</t>
  </si>
  <si>
    <t>47,90</t>
  </si>
  <si>
    <t>Шишина Анастасия</t>
  </si>
  <si>
    <t>Juniors 20-23 (26.01.1991)/23</t>
  </si>
  <si>
    <t>52,00</t>
  </si>
  <si>
    <t>Кузнецова Оксана</t>
  </si>
  <si>
    <t>Open (07.07.1990)/24</t>
  </si>
  <si>
    <t>49,50</t>
  </si>
  <si>
    <t>Макарова Ирина</t>
  </si>
  <si>
    <t>Masters 40-44 (05.09.1974)/40</t>
  </si>
  <si>
    <t>54,70</t>
  </si>
  <si>
    <t xml:space="preserve">Красикова Людмила </t>
  </si>
  <si>
    <t>Длужневская Владислава</t>
  </si>
  <si>
    <t>60,00</t>
  </si>
  <si>
    <t>Мышеловская Светлана</t>
  </si>
  <si>
    <t>Open (08.08.1984)/30</t>
  </si>
  <si>
    <t>59,60</t>
  </si>
  <si>
    <t>Тиллоева Ольга</t>
  </si>
  <si>
    <t>Masters 40-44 (11.09.1973)/41</t>
  </si>
  <si>
    <t>57,00</t>
  </si>
  <si>
    <t>Третьякова Алена</t>
  </si>
  <si>
    <t>Степанова Светлана</t>
  </si>
  <si>
    <t>61,50</t>
  </si>
  <si>
    <t>Каморина Юлия</t>
  </si>
  <si>
    <t>Open (02.03.1987)/27</t>
  </si>
  <si>
    <t>60,60</t>
  </si>
  <si>
    <t xml:space="preserve">Ростов/Ярославская область </t>
  </si>
  <si>
    <t>Ильин Илья</t>
  </si>
  <si>
    <t>Teen 13-15 (09.04.2003)/11</t>
  </si>
  <si>
    <t>54,80</t>
  </si>
  <si>
    <t>Пивков Илья</t>
  </si>
  <si>
    <t>Teen 16-17 (15.06.1997)/17</t>
  </si>
  <si>
    <t>57,70</t>
  </si>
  <si>
    <t xml:space="preserve">Горячев Сергей </t>
  </si>
  <si>
    <t>Истомин Алексей</t>
  </si>
  <si>
    <t>Teen 18-19 (04.07.1996)/18</t>
  </si>
  <si>
    <t>56,50</t>
  </si>
  <si>
    <t>Гордеев Кирилл</t>
  </si>
  <si>
    <t>Open (09.09.1989)/25</t>
  </si>
  <si>
    <t>59,00</t>
  </si>
  <si>
    <t>Лукьянов Данил</t>
  </si>
  <si>
    <t>Teen 13-15 (08.05.1999)/15</t>
  </si>
  <si>
    <t>65,10</t>
  </si>
  <si>
    <t xml:space="preserve">Харовск/Вологодская область </t>
  </si>
  <si>
    <t xml:space="preserve">Осокин Александр </t>
  </si>
  <si>
    <t>Осколков Артем</t>
  </si>
  <si>
    <t>Juniors 20-23 (12.05.1993)/21</t>
  </si>
  <si>
    <t>66,30</t>
  </si>
  <si>
    <t xml:space="preserve">Осколков Игорь </t>
  </si>
  <si>
    <t>Матреничев Руслан</t>
  </si>
  <si>
    <t>Juniors 20-23 (03.10.1990)/24</t>
  </si>
  <si>
    <t>66,40</t>
  </si>
  <si>
    <t xml:space="preserve">Lafe Style </t>
  </si>
  <si>
    <t>117,5</t>
  </si>
  <si>
    <t>Гадаев Мовлади</t>
  </si>
  <si>
    <t>Open (16.10.1991)/23</t>
  </si>
  <si>
    <t>67,50</t>
  </si>
  <si>
    <t>Якимов Алексей</t>
  </si>
  <si>
    <t>Open (13.07.1988)/26</t>
  </si>
  <si>
    <t>66,20</t>
  </si>
  <si>
    <t>Бовинов Вячеслав</t>
  </si>
  <si>
    <t>Open (16.06.1980)/34</t>
  </si>
  <si>
    <t>66,10</t>
  </si>
  <si>
    <t>Шеронов Евгений</t>
  </si>
  <si>
    <t>Open (28.06.1988)/26</t>
  </si>
  <si>
    <t>66,80</t>
  </si>
  <si>
    <t xml:space="preserve">Дзержинск/Нижегородская область </t>
  </si>
  <si>
    <t xml:space="preserve">Поляков Андрей </t>
  </si>
  <si>
    <t>Вильчицкий Анатолий</t>
  </si>
  <si>
    <t>Masters 55-59 (24.08.1955)/59</t>
  </si>
  <si>
    <t>64,30</t>
  </si>
  <si>
    <t>72,60</t>
  </si>
  <si>
    <t>Богачев Роман</t>
  </si>
  <si>
    <t>Teen 18-19 (07.02.1996)/18</t>
  </si>
  <si>
    <t>75,00</t>
  </si>
  <si>
    <t>Шелков Михаил</t>
  </si>
  <si>
    <t>Juniors 20-23 (29.11.1992)/22</t>
  </si>
  <si>
    <t>73,20</t>
  </si>
  <si>
    <t>Попов Владимир</t>
  </si>
  <si>
    <t>Open (06.10.1974)/40</t>
  </si>
  <si>
    <t>74,30</t>
  </si>
  <si>
    <t>Литченков Евгений</t>
  </si>
  <si>
    <t>Open (29.03.1982)/32</t>
  </si>
  <si>
    <t>Сколов Алексей</t>
  </si>
  <si>
    <t>Open (04.04.1986)/28</t>
  </si>
  <si>
    <t>70,80</t>
  </si>
  <si>
    <t>Смирнов Евгений</t>
  </si>
  <si>
    <t>Open (09.09.1986)/28</t>
  </si>
  <si>
    <t>71,70</t>
  </si>
  <si>
    <t>127,5</t>
  </si>
  <si>
    <t>Захаров Александр</t>
  </si>
  <si>
    <t>Open (04.06.1987)/27</t>
  </si>
  <si>
    <t>74,00</t>
  </si>
  <si>
    <t xml:space="preserve">Сухов Алексей </t>
  </si>
  <si>
    <t>Бламбирус Александр</t>
  </si>
  <si>
    <t>Open (30.04.1990)/24</t>
  </si>
  <si>
    <t>74,20</t>
  </si>
  <si>
    <t>Полушкин Андрей</t>
  </si>
  <si>
    <t>Masters 40-44 (25.02.1974)/40</t>
  </si>
  <si>
    <t>Логвинов Александр</t>
  </si>
  <si>
    <t>Teen 16-17 (11.01.1997)/17</t>
  </si>
  <si>
    <t>80,70</t>
  </si>
  <si>
    <t>Комаров Виталий</t>
  </si>
  <si>
    <t>80,80</t>
  </si>
  <si>
    <t>Крупеников Алексей</t>
  </si>
  <si>
    <t>Open (05.06.1978)/36</t>
  </si>
  <si>
    <t>Морозов Дмитрий</t>
  </si>
  <si>
    <t>Спирков Сергей</t>
  </si>
  <si>
    <t>Masters 40-44 (05.01.1971)/43</t>
  </si>
  <si>
    <t>92,5</t>
  </si>
  <si>
    <t>Ванин Владимир</t>
  </si>
  <si>
    <t>Masters 60-64 (23.08.1953)/61</t>
  </si>
  <si>
    <t>Гальков Эдуард</t>
  </si>
  <si>
    <t>Open (15.09.1975)/39</t>
  </si>
  <si>
    <t>87,20</t>
  </si>
  <si>
    <t>Смирнов Юрий</t>
  </si>
  <si>
    <t>Open (14.07.1983)/31</t>
  </si>
  <si>
    <t>Шкадов Сергей</t>
  </si>
  <si>
    <t>Open (21.10.1982)/32</t>
  </si>
  <si>
    <t>87,50</t>
  </si>
  <si>
    <t xml:space="preserve">Лебедев Сергей </t>
  </si>
  <si>
    <t>Нелаев Сергей</t>
  </si>
  <si>
    <t>Open (01.03.1982)/32</t>
  </si>
  <si>
    <t>88,90</t>
  </si>
  <si>
    <t>Шамов Сергей</t>
  </si>
  <si>
    <t>Masters 40-44 (21.08.1973)/41</t>
  </si>
  <si>
    <t>90,00</t>
  </si>
  <si>
    <t>Метлин Станислав</t>
  </si>
  <si>
    <t>Masters 50-54 (15.11.1961)/53</t>
  </si>
  <si>
    <t>87,70</t>
  </si>
  <si>
    <t>Канин Михаил</t>
  </si>
  <si>
    <t>Open (06.07.1978)/36</t>
  </si>
  <si>
    <t>Соболев Алексей</t>
  </si>
  <si>
    <t>Open (31.03.1973)/41</t>
  </si>
  <si>
    <t>98,60</t>
  </si>
  <si>
    <t>Волыхин Эрнест</t>
  </si>
  <si>
    <t>Open (11.10.1987)/27</t>
  </si>
  <si>
    <t>99,10</t>
  </si>
  <si>
    <t xml:space="preserve">Павлов Александр </t>
  </si>
  <si>
    <t>Павлов Андрей</t>
  </si>
  <si>
    <t xml:space="preserve">Шарья/Костромская область </t>
  </si>
  <si>
    <t>Open (26.03.1973)/41</t>
  </si>
  <si>
    <t>Шехурин Максим</t>
  </si>
  <si>
    <t>95,10</t>
  </si>
  <si>
    <t>Андреев Павел</t>
  </si>
  <si>
    <t>Open (10.11.1979)/35</t>
  </si>
  <si>
    <t>Masters 40-44 (31.03.1973)/41</t>
  </si>
  <si>
    <t>Masters 40-44 (26.03.1973)/41</t>
  </si>
  <si>
    <t>Коровин Сергей</t>
  </si>
  <si>
    <t>Masters 40-44 (11.12.1972)/42</t>
  </si>
  <si>
    <t>96,30</t>
  </si>
  <si>
    <t xml:space="preserve">Рассохин и Осколков </t>
  </si>
  <si>
    <t>Степышев Алексей</t>
  </si>
  <si>
    <t>Masters 50-54 (10.05.1963)/51</t>
  </si>
  <si>
    <t>99,90</t>
  </si>
  <si>
    <t>Звездин Игорь</t>
  </si>
  <si>
    <t>Masters 55-59 (02.08.1958)/56</t>
  </si>
  <si>
    <t>97,50</t>
  </si>
  <si>
    <t>Ляхов Василий</t>
  </si>
  <si>
    <t>91,00</t>
  </si>
  <si>
    <t>Кузьмин Дмитрий</t>
  </si>
  <si>
    <t>Open (05.10.1984)/30</t>
  </si>
  <si>
    <t>104,70</t>
  </si>
  <si>
    <t>Гладких Сергей</t>
  </si>
  <si>
    <t>Open (29.05.1984)/30</t>
  </si>
  <si>
    <t>105,70</t>
  </si>
  <si>
    <t>Кирьянов Руслан</t>
  </si>
  <si>
    <t>Masters 40-44 (09.01.1972)/42</t>
  </si>
  <si>
    <t>105,60</t>
  </si>
  <si>
    <t>Есин Михаил</t>
  </si>
  <si>
    <t>Masters 40-44 (17.11.1972)/42</t>
  </si>
  <si>
    <t>102,60</t>
  </si>
  <si>
    <t>Малыгин Дмитрий</t>
  </si>
  <si>
    <t>Masters 45-49 (28.10.1966)/48</t>
  </si>
  <si>
    <t>107,90</t>
  </si>
  <si>
    <t>Куротченко Игорь</t>
  </si>
  <si>
    <t>Masters 50-54 (20.03.1962)/52</t>
  </si>
  <si>
    <t>103,60</t>
  </si>
  <si>
    <t>Вшивцев Кирилл</t>
  </si>
  <si>
    <t>Open (14.04.1976)/38</t>
  </si>
  <si>
    <t>117,90</t>
  </si>
  <si>
    <t xml:space="preserve">Богородск/Нижегородская область </t>
  </si>
  <si>
    <t>Логунов Анатолий</t>
  </si>
  <si>
    <t>Open (08.01.1953)/61</t>
  </si>
  <si>
    <t>112,40</t>
  </si>
  <si>
    <t>Минасян Ваган</t>
  </si>
  <si>
    <t>Open (14.08.1977)/37</t>
  </si>
  <si>
    <t>120,70</t>
  </si>
  <si>
    <t>Masters 60-64 (08.01.1953)/61</t>
  </si>
  <si>
    <t>169,3850</t>
  </si>
  <si>
    <t>152,6000</t>
  </si>
  <si>
    <t xml:space="preserve">48 </t>
  </si>
  <si>
    <t>130,4050</t>
  </si>
  <si>
    <t>115,9200</t>
  </si>
  <si>
    <t>114,8940</t>
  </si>
  <si>
    <t>110,6000</t>
  </si>
  <si>
    <t>103,0745</t>
  </si>
  <si>
    <t>81,2490</t>
  </si>
  <si>
    <t>175,6485</t>
  </si>
  <si>
    <t>173,2500</t>
  </si>
  <si>
    <t>172,9700</t>
  </si>
  <si>
    <t>172,0950</t>
  </si>
  <si>
    <t>171,8980</t>
  </si>
  <si>
    <t>168,7105</t>
  </si>
  <si>
    <t>167,9260</t>
  </si>
  <si>
    <t>166,3885</t>
  </si>
  <si>
    <t>165,3680</t>
  </si>
  <si>
    <t>162,8550</t>
  </si>
  <si>
    <t>162,1935</t>
  </si>
  <si>
    <t>160,8100</t>
  </si>
  <si>
    <t>156,9600</t>
  </si>
  <si>
    <t>156,5020</t>
  </si>
  <si>
    <t>155,0775</t>
  </si>
  <si>
    <t>153,8655</t>
  </si>
  <si>
    <t>152,3380</t>
  </si>
  <si>
    <t>149,7925</t>
  </si>
  <si>
    <t>146,5200</t>
  </si>
  <si>
    <t>146,0000</t>
  </si>
  <si>
    <t>143,3920</t>
  </si>
  <si>
    <t>143,0030</t>
  </si>
  <si>
    <t>142,8350</t>
  </si>
  <si>
    <t>140,5440</t>
  </si>
  <si>
    <t>157,2845</t>
  </si>
  <si>
    <t>150,0101</t>
  </si>
  <si>
    <t>143,7180</t>
  </si>
  <si>
    <t>141,2075</t>
  </si>
  <si>
    <t>137,0221</t>
  </si>
  <si>
    <t>131,9686</t>
  </si>
  <si>
    <t>130,9354</t>
  </si>
  <si>
    <t>123,1340</t>
  </si>
  <si>
    <t>96,7389</t>
  </si>
  <si>
    <t>Гунина Ксения</t>
  </si>
  <si>
    <t>Open (09.06.1986)/28</t>
  </si>
  <si>
    <t>67,40</t>
  </si>
  <si>
    <t>Химич Сергей</t>
  </si>
  <si>
    <t>Masters 40-44 (12.04.1970)/44</t>
  </si>
  <si>
    <t>81,40</t>
  </si>
  <si>
    <t xml:space="preserve">Тольятти/Самарская область </t>
  </si>
  <si>
    <t xml:space="preserve">Мамедов Эмин </t>
  </si>
  <si>
    <t>Деньжаков Сергей</t>
  </si>
  <si>
    <t>Open (05.05.1989)/25</t>
  </si>
  <si>
    <t>Глазьев Николай</t>
  </si>
  <si>
    <t>Open (29.10.1983)/31</t>
  </si>
  <si>
    <t>112,00</t>
  </si>
  <si>
    <t xml:space="preserve">Абдуллин Марат </t>
  </si>
  <si>
    <t>Каява Кирилл</t>
  </si>
  <si>
    <t>Open (24.06.1976)/38</t>
  </si>
  <si>
    <t>136,50</t>
  </si>
  <si>
    <t xml:space="preserve">Каширин Алексей </t>
  </si>
  <si>
    <t>Лившиц Олег</t>
  </si>
  <si>
    <t>139,70</t>
  </si>
  <si>
    <t>Корякин Сергей</t>
  </si>
  <si>
    <t>Open (01.07.1976)/38</t>
  </si>
  <si>
    <t>79,90</t>
  </si>
  <si>
    <t>Якушевич Алексей</t>
  </si>
  <si>
    <t>Juniors 20-23 (28.10.1992)/22</t>
  </si>
  <si>
    <t>Open (28.10.1992)/22</t>
  </si>
  <si>
    <t xml:space="preserve">Длужневского </t>
  </si>
  <si>
    <t>Каширин Андрей</t>
  </si>
  <si>
    <t>Open (13.07.1984)/30</t>
  </si>
  <si>
    <t>Каширин Алексей</t>
  </si>
  <si>
    <t>Open (09.10.1973)/41</t>
  </si>
  <si>
    <t>103,10</t>
  </si>
  <si>
    <t>Juniors 20-23 (03.03.1991)/23</t>
  </si>
  <si>
    <t>Еремин Юрий</t>
  </si>
  <si>
    <t>Open (23.11.1983)/31</t>
  </si>
  <si>
    <t>78,60</t>
  </si>
  <si>
    <t>Мамедов Эмин</t>
  </si>
  <si>
    <t>Masters 40-44 (31.08.1974)/40</t>
  </si>
  <si>
    <t>99,60</t>
  </si>
  <si>
    <t xml:space="preserve">Ли Александр </t>
  </si>
  <si>
    <t>Кувалдина Ирина</t>
  </si>
  <si>
    <t>Open (08.06.1980)/34</t>
  </si>
  <si>
    <t>55,80</t>
  </si>
  <si>
    <t xml:space="preserve">Musclebone </t>
  </si>
  <si>
    <t xml:space="preserve">Блинков Евгений </t>
  </si>
  <si>
    <t>Никонова Людмила</t>
  </si>
  <si>
    <t>Open (09.04.1980)/34</t>
  </si>
  <si>
    <t>58,20</t>
  </si>
  <si>
    <t>Калиниченко Алла</t>
  </si>
  <si>
    <t>Open (08.04.1971)/43</t>
  </si>
  <si>
    <t xml:space="preserve">Саров/Нижегородская область </t>
  </si>
  <si>
    <t xml:space="preserve">Калиниченко Владимир </t>
  </si>
  <si>
    <t>Данилова Николь</t>
  </si>
  <si>
    <t>Juniors 20-23 (10.02.1991)/23</t>
  </si>
  <si>
    <t>70,00</t>
  </si>
  <si>
    <t>Open (01.07.1991)/23</t>
  </si>
  <si>
    <t>Шарова Оксана</t>
  </si>
  <si>
    <t>Осокин Александр</t>
  </si>
  <si>
    <t>Open (02.02.1990)/24</t>
  </si>
  <si>
    <t>58,50</t>
  </si>
  <si>
    <t>Тарасов Станислав</t>
  </si>
  <si>
    <t>Juniors 20-23 (15.10.1994)/20</t>
  </si>
  <si>
    <t>74,90</t>
  </si>
  <si>
    <t xml:space="preserve">Погодин Игорь </t>
  </si>
  <si>
    <t>Смирнов Всеволод</t>
  </si>
  <si>
    <t>Juniors 20-23 (02.08.1993)/21</t>
  </si>
  <si>
    <t>80,20</t>
  </si>
  <si>
    <t xml:space="preserve">Бурков Алексей </t>
  </si>
  <si>
    <t>81,80</t>
  </si>
  <si>
    <t>Дунаев Масим</t>
  </si>
  <si>
    <t>Open (11.10.1983)/31</t>
  </si>
  <si>
    <t>Голубков Сергей</t>
  </si>
  <si>
    <t>88,80</t>
  </si>
  <si>
    <t>Макеев Иван</t>
  </si>
  <si>
    <t>Juniors 20-23 (23.03.1994)/20</t>
  </si>
  <si>
    <t xml:space="preserve">Шишигин Илья </t>
  </si>
  <si>
    <t>Блинков Евгений</t>
  </si>
  <si>
    <t>Open (03.09.1987)/27</t>
  </si>
  <si>
    <t>97,70</t>
  </si>
  <si>
    <t>327,5</t>
  </si>
  <si>
    <t>Славинский Иван</t>
  </si>
  <si>
    <t>100,00</t>
  </si>
  <si>
    <t>Силов Семен</t>
  </si>
  <si>
    <t>Open (18.05.1985)/29</t>
  </si>
  <si>
    <t>92,80</t>
  </si>
  <si>
    <t>Алексеенко Сергей</t>
  </si>
  <si>
    <t>Open (24.02.1981)/33</t>
  </si>
  <si>
    <t>Еремеев Даниил</t>
  </si>
  <si>
    <t>Juniors 20-23 (05.08.1992)/22</t>
  </si>
  <si>
    <t>103,00</t>
  </si>
  <si>
    <t>Лукаш Виктор</t>
  </si>
  <si>
    <t>Open (10.08.1988)/26</t>
  </si>
  <si>
    <t>101,20</t>
  </si>
  <si>
    <t>Бураков Андрей</t>
  </si>
  <si>
    <t>Masters 55-59 (17.09.1958)/56</t>
  </si>
  <si>
    <t>104,50</t>
  </si>
  <si>
    <t xml:space="preserve">Захаров Павел </t>
  </si>
  <si>
    <t>Цирюльников Сергей</t>
  </si>
  <si>
    <t>Juniors 20-23 (22.02.1994)/20</t>
  </si>
  <si>
    <t>113,60</t>
  </si>
  <si>
    <t>Нагибин Денис</t>
  </si>
  <si>
    <t>Open (14.08.1986)/28</t>
  </si>
  <si>
    <t>120,00</t>
  </si>
  <si>
    <t>Клюшев Александр</t>
  </si>
  <si>
    <t>Open (23.12.1983)/31</t>
  </si>
  <si>
    <t>134,80</t>
  </si>
  <si>
    <t>390,0</t>
  </si>
  <si>
    <t>ВЕСОВАЯ КАТЕГОРИЯ   140+</t>
  </si>
  <si>
    <t>Калиниченко Владимир</t>
  </si>
  <si>
    <t>151,70</t>
  </si>
  <si>
    <t>313,1520</t>
  </si>
  <si>
    <t>322,2450</t>
  </si>
  <si>
    <t>290,9075</t>
  </si>
  <si>
    <t>278,6300</t>
  </si>
  <si>
    <t>238,1080</t>
  </si>
  <si>
    <t>200,7810</t>
  </si>
  <si>
    <t>185,4750</t>
  </si>
  <si>
    <t>315,8580</t>
  </si>
  <si>
    <t>313,4320</t>
  </si>
  <si>
    <t>304,4250</t>
  </si>
  <si>
    <t>298,0545</t>
  </si>
  <si>
    <t>259,2000</t>
  </si>
  <si>
    <t>258,6500</t>
  </si>
  <si>
    <t>251,6250</t>
  </si>
  <si>
    <t>242,1480</t>
  </si>
  <si>
    <t>235,9770</t>
  </si>
  <si>
    <t>218,4480</t>
  </si>
  <si>
    <t>211,7340</t>
  </si>
  <si>
    <t>210,4500</t>
  </si>
  <si>
    <t>183,5200</t>
  </si>
  <si>
    <t>43,40</t>
  </si>
  <si>
    <t>Тарасова Алина</t>
  </si>
  <si>
    <t>Teen 18-19 (19.09.1996)/18</t>
  </si>
  <si>
    <t>49,40</t>
  </si>
  <si>
    <t xml:space="preserve">Смирнов Даниил </t>
  </si>
  <si>
    <t>Архипова Анна</t>
  </si>
  <si>
    <t>Open (15.05.1985)/29</t>
  </si>
  <si>
    <t>51,60</t>
  </si>
  <si>
    <t>Бовинова Елена</t>
  </si>
  <si>
    <t>Open (07.12.1982)/32</t>
  </si>
  <si>
    <t>Куверова Светлана</t>
  </si>
  <si>
    <t>Open (17.12.1989)/25</t>
  </si>
  <si>
    <t>65,90</t>
  </si>
  <si>
    <t>Малинов Артем</t>
  </si>
  <si>
    <t>Teen 13-15 (03.10.2000)/14</t>
  </si>
  <si>
    <t>55,90</t>
  </si>
  <si>
    <t>Букаранов Денис</t>
  </si>
  <si>
    <t>Teen 13-15 (17.08.2001)/13</t>
  </si>
  <si>
    <t>52,80</t>
  </si>
  <si>
    <t>Сенченко Алена</t>
  </si>
  <si>
    <t>Open (10.07.1988)/26</t>
  </si>
  <si>
    <t>58,40</t>
  </si>
  <si>
    <t>Сухов Даниил</t>
  </si>
  <si>
    <t>Teen 13-15 (13.10.1999)/15</t>
  </si>
  <si>
    <t>67,00</t>
  </si>
  <si>
    <t xml:space="preserve">Шуя/Ивановская область </t>
  </si>
  <si>
    <t>Степурин Александр</t>
  </si>
  <si>
    <t>Juniors 20-23 (16.06.1993)/21</t>
  </si>
  <si>
    <t>63,40</t>
  </si>
  <si>
    <t>Дьяченко Иван</t>
  </si>
  <si>
    <t>Open (16.05.1986)/28</t>
  </si>
  <si>
    <t>257,5</t>
  </si>
  <si>
    <t xml:space="preserve">Коновалов Эдуард </t>
  </si>
  <si>
    <t>Елесин Сергей</t>
  </si>
  <si>
    <t>Open (05.04.1990)/24</t>
  </si>
  <si>
    <t>64,60</t>
  </si>
  <si>
    <t>Володин Михаил</t>
  </si>
  <si>
    <t>Teen 13-15 (01.01.1999)/15</t>
  </si>
  <si>
    <t>69,20</t>
  </si>
  <si>
    <t>Железнов Илья</t>
  </si>
  <si>
    <t>Teen 16-17 (19.05.1998)/16</t>
  </si>
  <si>
    <t>Петров Егор</t>
  </si>
  <si>
    <t>Teen 18-19 (09.05.1996)/18</t>
  </si>
  <si>
    <t>Котенков Александр</t>
  </si>
  <si>
    <t>Juniors 20-23 (05.11.1992)/22</t>
  </si>
  <si>
    <t>72,80</t>
  </si>
  <si>
    <t>Войнов Алексей</t>
  </si>
  <si>
    <t>Juniors 20-23 (29.12.1993)/21</t>
  </si>
  <si>
    <t>79,20</t>
  </si>
  <si>
    <t>Круглов Андрей</t>
  </si>
  <si>
    <t>Open (06.10.1978)/36</t>
  </si>
  <si>
    <t>Скворцов Михаил</t>
  </si>
  <si>
    <t>Teen 13-15 (01.04.2000)/14</t>
  </si>
  <si>
    <t>85,80</t>
  </si>
  <si>
    <t>Поляков Андрей</t>
  </si>
  <si>
    <t>Masters 40-44 (09.06.1974)/40</t>
  </si>
  <si>
    <t>88,50</t>
  </si>
  <si>
    <t>Легчилин Роман</t>
  </si>
  <si>
    <t>Juniors 20-23 (01.04.1991)/23</t>
  </si>
  <si>
    <t>Open (01.04.1991)/23</t>
  </si>
  <si>
    <t>Левичев Евгений</t>
  </si>
  <si>
    <t>Open (08.06.1983)/31</t>
  </si>
  <si>
    <t>96,00</t>
  </si>
  <si>
    <t>Open (09.01.1972)/42</t>
  </si>
  <si>
    <t>Руруа Тариел</t>
  </si>
  <si>
    <t>Open (14.04.1979)/35</t>
  </si>
  <si>
    <t>104,80</t>
  </si>
  <si>
    <t>Сотов Алексей</t>
  </si>
  <si>
    <t>Open (04.10.1989)/25</t>
  </si>
  <si>
    <t>123,70</t>
  </si>
  <si>
    <t>194,7000</t>
  </si>
  <si>
    <t>276,1650</t>
  </si>
  <si>
    <t>234,9570</t>
  </si>
  <si>
    <t>327,0250</t>
  </si>
  <si>
    <t>282,3120</t>
  </si>
  <si>
    <t>262,0560</t>
  </si>
  <si>
    <t>239,8620</t>
  </si>
  <si>
    <t>219,6670</t>
  </si>
  <si>
    <t>214,3600</t>
  </si>
  <si>
    <t>197,7360</t>
  </si>
  <si>
    <t>195,5200</t>
  </si>
  <si>
    <t>118,5600</t>
  </si>
  <si>
    <t>Сямиуллин Рафаэль</t>
  </si>
  <si>
    <t>Open (10.01.1984)/30</t>
  </si>
  <si>
    <t>Поповский Антон</t>
  </si>
  <si>
    <t>Juniors 20-23 (25.05.1992)/22</t>
  </si>
  <si>
    <t xml:space="preserve">Новиков Степан </t>
  </si>
  <si>
    <t>Бурков Алексей</t>
  </si>
  <si>
    <t>Juniors 20-23 (04.05.1993)/21</t>
  </si>
  <si>
    <t>98,50</t>
  </si>
  <si>
    <t>Краюшкина Ольга</t>
  </si>
  <si>
    <t>Open (03.04.1989)/25</t>
  </si>
  <si>
    <t>57,90</t>
  </si>
  <si>
    <t>Жим</t>
  </si>
  <si>
    <t>0</t>
  </si>
  <si>
    <t>Женщины</t>
  </si>
  <si>
    <t>Мужчины</t>
  </si>
  <si>
    <t>Присед</t>
  </si>
  <si>
    <t>2,2334</t>
  </si>
  <si>
    <t>1,5502</t>
  </si>
  <si>
    <t>1,1194</t>
  </si>
  <si>
    <t>1,1240</t>
  </si>
  <si>
    <t>1,1470</t>
  </si>
  <si>
    <t>1,0290</t>
  </si>
  <si>
    <t>1,0472</t>
  </si>
  <si>
    <t>1,0588</t>
  </si>
  <si>
    <t>1,0924</t>
  </si>
  <si>
    <t>0,9744</t>
  </si>
  <si>
    <t>0,9786</t>
  </si>
  <si>
    <t>1,0060</t>
  </si>
  <si>
    <t>0,9476</t>
  </si>
  <si>
    <t>0,9344</t>
  </si>
  <si>
    <t>0,9254</t>
  </si>
  <si>
    <t>0,8928</t>
  </si>
  <si>
    <t>0,8870</t>
  </si>
  <si>
    <t>0,8850</t>
  </si>
  <si>
    <t>0,9118</t>
  </si>
  <si>
    <t>0,8652</t>
  </si>
  <si>
    <t>150</t>
  </si>
  <si>
    <t>1</t>
  </si>
  <si>
    <t>375</t>
  </si>
  <si>
    <t>100</t>
  </si>
  <si>
    <t>110</t>
  </si>
  <si>
    <t>380</t>
  </si>
  <si>
    <t>185</t>
  </si>
  <si>
    <t>140</t>
  </si>
  <si>
    <t>Конев Александр</t>
  </si>
  <si>
    <t>Open (11.02.1987)/27</t>
  </si>
  <si>
    <t>Балашов Николай</t>
  </si>
  <si>
    <t>Калявин Максим</t>
  </si>
  <si>
    <t>Open (10.04.1989)/25</t>
  </si>
  <si>
    <t>75</t>
  </si>
  <si>
    <t>Open (23.09.1985)/29</t>
  </si>
  <si>
    <t>0,84665</t>
  </si>
  <si>
    <t>0,5823</t>
  </si>
  <si>
    <t>0,68855</t>
  </si>
  <si>
    <t>0,58825</t>
  </si>
  <si>
    <t>Горячев Станислав</t>
  </si>
  <si>
    <t>Open (05.06.1975)/39</t>
  </si>
  <si>
    <t>0,54071</t>
  </si>
  <si>
    <t>ВЕСОВАЯ КАТЕГОРИЯ  + 140</t>
  </si>
  <si>
    <t>Суханов Михаил</t>
  </si>
  <si>
    <t>0,511075</t>
  </si>
  <si>
    <t>Open (31.08.1974)/40</t>
  </si>
  <si>
    <t>Open (17.10.1992)/22</t>
  </si>
  <si>
    <t>2</t>
  </si>
  <si>
    <t>3</t>
  </si>
  <si>
    <t>862,5</t>
  </si>
  <si>
    <t>786,4275</t>
  </si>
  <si>
    <t>82,4</t>
  </si>
  <si>
    <t>1,031</t>
  </si>
  <si>
    <t>Возрастная группа
Год рождения/Возраст</t>
  </si>
  <si>
    <t>Вес</t>
  </si>
  <si>
    <t>Коэф</t>
  </si>
  <si>
    <t>Длужневский Сергей</t>
  </si>
  <si>
    <t xml:space="preserve">Длужневский Сергей </t>
  </si>
  <si>
    <t>Мускул</t>
  </si>
  <si>
    <t>Таранухин Георгий</t>
  </si>
  <si>
    <t xml:space="preserve">Личутин Никита </t>
  </si>
  <si>
    <t>Емелин Александр</t>
  </si>
  <si>
    <t xml:space="preserve">Нижегородская область 1 </t>
  </si>
  <si>
    <t xml:space="preserve">Короглишвили Роман </t>
  </si>
  <si>
    <t xml:space="preserve">Актив Фитнес </t>
  </si>
  <si>
    <t>0,8958</t>
  </si>
  <si>
    <t>Лично</t>
  </si>
  <si>
    <t>ВЕСОВАЯ КАТЕГОРИЯ  110</t>
  </si>
  <si>
    <t>375,0</t>
  </si>
  <si>
    <t>575,0</t>
  </si>
  <si>
    <t>820,0</t>
  </si>
  <si>
    <t>360,0</t>
  </si>
  <si>
    <t>380,0</t>
  </si>
  <si>
    <t>345,0</t>
  </si>
  <si>
    <t>655,0</t>
  </si>
  <si>
    <t>702,5</t>
  </si>
  <si>
    <t>990,0</t>
  </si>
  <si>
    <t>940,0</t>
  </si>
  <si>
    <t>805,0</t>
  </si>
  <si>
    <t>577,5</t>
  </si>
  <si>
    <t>670,0</t>
  </si>
  <si>
    <t>540,0</t>
  </si>
  <si>
    <t>237,5</t>
  </si>
  <si>
    <t>235</t>
  </si>
  <si>
    <t>400,0</t>
  </si>
  <si>
    <t>490,0</t>
  </si>
  <si>
    <t>335,0</t>
  </si>
  <si>
    <t>680,0</t>
  </si>
  <si>
    <t>125</t>
  </si>
  <si>
    <t>82.5</t>
  </si>
  <si>
    <t>Кубок Евразии по пауэрлифтингу без экипировки
Вологда, 01 - 04 ноября 2014 года</t>
  </si>
  <si>
    <t>Кубок Евразии по пауэрлифтингу без экипировки с прохождением допинг контроля
Вологда, 01 - 04 ноября 2014 года</t>
  </si>
  <si>
    <t>Кубок Евразии по пауэрлифтингу в бинтах
Вологда, 01 - 04 ноября 2014 года</t>
  </si>
  <si>
    <t>Кубок Евразии по пауэрлифтингу в однослойной экипировке
Вологда, 01 - 04 ноября 2014 года</t>
  </si>
  <si>
    <t>Кубок Евразии по пауэрлифтингу в многослойной экипировке
Вологда, 01 - 04 ноября 2014 года</t>
  </si>
  <si>
    <t>Кубок Евразии по силовому двоеборью без экипировки
Вологда, 01 - 04 ноября 2014 года</t>
  </si>
  <si>
    <t>Кубок Евразии по силовому двоеборью без экипировки с прохождением допинг контроля
Вологда, 01 - 04 ноября 2014 года</t>
  </si>
  <si>
    <t>Кубок Евразии по силовому двоеборью в экипировке
Вологда, 01 - 04 ноября 2014 года</t>
  </si>
  <si>
    <t>Кубок Евразии по приседаниям без экипировки
Вологда, 01 - 04 ноября 2014 года</t>
  </si>
  <si>
    <t>Кубок Евразии по приседаниям без экипировки с прохождением допинг контроля
Вологда, 01 - 04 ноября 2014 года</t>
  </si>
  <si>
    <t>Кубок Евразии по приседаниям в бинтах
Вологда, 01 - 04 ноября 2014 года</t>
  </si>
  <si>
    <t>Кубок Евразии по жиму лежа без экипировки
Вологда, 01 - 04 ноября 2014 года</t>
  </si>
  <si>
    <t>Кубок Евразии по жиму лежа без экипировки с прохождением допинг контроля
Вологда, 01 - 04 ноября 2014 года</t>
  </si>
  <si>
    <t>Кубок Евразии по жиму лежа в однослойной экипировке
Вологда, 01 - 04 ноября 2014 года</t>
  </si>
  <si>
    <t>Кубок Евразии по жиму лежа в однослойной экипировке с прохождением допинг контроля
Вологда, 01 - 04 ноября 2014 года</t>
  </si>
  <si>
    <t>Кубок Евразии по жиму лежа в многослойной экипировке
Вологда, 01 - 04 ноября 2014 года</t>
  </si>
  <si>
    <t>Кубок Евразии по жиму лежа без экипировки среди спортсменов с физическими особенностями
Вологда, 01 - 04 ноября 2014 года</t>
  </si>
  <si>
    <t>Кубок Евразии по парной становой тяге
Вологда, 01 - 04 ноября 2014 года</t>
  </si>
  <si>
    <t>Кубок Евразии по становой тяге без экипировки
Вологда, 01 - 04 ноября 2014 года</t>
  </si>
  <si>
    <t>Кубок Евразии по становой тяге без экипировки с прохождением допинг контроля
Вологда, 01 - 04 ноября 2014 года</t>
  </si>
  <si>
    <t>Кубок Евразии по становой тяге в экипировке
Вологда, 01 - 04 ноября 2014 года</t>
  </si>
  <si>
    <t>Кубок Евразии по становой тяге в экипировке с прохождением допинг контроля
Вологда, 01 - 04 ноября 2014 года</t>
  </si>
  <si>
    <t xml:space="preserve">Кузеев Дамир </t>
  </si>
  <si>
    <t>ВЕСОВАЯ КАТЕГОРИЯ  100</t>
  </si>
  <si>
    <t>ВЕСОВАЯ КАТЕГОРИЯ  125</t>
  </si>
  <si>
    <t>Длужневского</t>
  </si>
  <si>
    <t>Сокульский Сергей</t>
  </si>
  <si>
    <t>Звенигород/Московская область</t>
  </si>
  <si>
    <t>Волоколамск/Московская область</t>
  </si>
  <si>
    <t>Рыбинск/Ярославская область</t>
  </si>
  <si>
    <t>140+</t>
  </si>
  <si>
    <t>60</t>
  </si>
  <si>
    <t>Смагин Денис</t>
  </si>
  <si>
    <t>Open (30.08.1979)/35</t>
  </si>
  <si>
    <t>550,0</t>
  </si>
  <si>
    <t>600,0</t>
  </si>
  <si>
    <t>450,0</t>
  </si>
  <si>
    <t xml:space="preserve">Динамит </t>
  </si>
  <si>
    <t>Новокуйбышевск/Самарская область</t>
  </si>
  <si>
    <t xml:space="preserve">Москва/Московская область </t>
  </si>
  <si>
    <t>Вожега/Вологодская область</t>
  </si>
  <si>
    <t>Санкт-Петербург/Ленинградская область</t>
  </si>
  <si>
    <t>Беларусь/Минск/Минская область</t>
  </si>
  <si>
    <t>Москва/Московская область</t>
  </si>
  <si>
    <t>Жим лежа</t>
  </si>
  <si>
    <t>Повторения</t>
  </si>
  <si>
    <t>Тоннаж</t>
  </si>
  <si>
    <t>47,10</t>
  </si>
  <si>
    <t>самостоятельно</t>
  </si>
  <si>
    <t>Кубок Евразии по народному жиму с прохождением допинг контроля
Вологда, 01 - 04 ноября 2014 года</t>
  </si>
  <si>
    <t>812.5</t>
  </si>
  <si>
    <t>Бабатиев Магомед</t>
  </si>
  <si>
    <t>Juniors 20-23 (14.01.1994)/20</t>
  </si>
  <si>
    <t>67,10</t>
  </si>
  <si>
    <t>1147.5</t>
  </si>
  <si>
    <t>1552.5</t>
  </si>
  <si>
    <t>Masters 40-49 (26.03.1973)/41</t>
  </si>
  <si>
    <t>Masters 40-49 (21.08.1973)/41</t>
  </si>
  <si>
    <t>Masters 40-49 (05.09.1974)/40</t>
  </si>
  <si>
    <t>Мехеденко Юрий</t>
  </si>
  <si>
    <t>91,70</t>
  </si>
  <si>
    <t xml:space="preserve">Кронштадт/Ленинградская область </t>
  </si>
  <si>
    <t>1757.5</t>
  </si>
  <si>
    <t>Masters 40-49 (19.04.1970)/44</t>
  </si>
  <si>
    <t>Masters 40-49 (16.07.1971)/43</t>
  </si>
  <si>
    <t>Masters 50-59 (20.03.1962)/52</t>
  </si>
  <si>
    <t>Open (05.10.1984)/29</t>
  </si>
  <si>
    <t>104,00</t>
  </si>
  <si>
    <t>Буйволы</t>
  </si>
  <si>
    <t>119,4</t>
  </si>
  <si>
    <t>Мурманская область</t>
  </si>
  <si>
    <t>1,1961</t>
  </si>
  <si>
    <t>1,0638</t>
  </si>
  <si>
    <t>0,7522</t>
  </si>
  <si>
    <t>0,9683</t>
  </si>
  <si>
    <t>1,0267</t>
  </si>
  <si>
    <t>0,61185</t>
  </si>
  <si>
    <t>0,61796</t>
  </si>
  <si>
    <t>0.5848</t>
  </si>
  <si>
    <t>0,6317</t>
  </si>
  <si>
    <t>0,5919</t>
  </si>
  <si>
    <t>0,5725</t>
  </si>
  <si>
    <t>0,5819</t>
  </si>
  <si>
    <t>0,6678</t>
  </si>
  <si>
    <t>0,5515</t>
  </si>
  <si>
    <t>864.33</t>
  </si>
  <si>
    <t>1/2 собственного 27,5</t>
  </si>
  <si>
    <t>Длужневский и Соколов</t>
  </si>
  <si>
    <t>Masters 40-44</t>
  </si>
  <si>
    <t>Teen 13-15 (10.06.2000)/14</t>
  </si>
  <si>
    <t>Open (10.06.2000)/14</t>
  </si>
  <si>
    <t xml:space="preserve">Бурнашов и Длужневский </t>
  </si>
  <si>
    <t>309,3000</t>
  </si>
  <si>
    <t>321,4800</t>
  </si>
  <si>
    <t>315,1500</t>
  </si>
  <si>
    <t>294,2950</t>
  </si>
  <si>
    <t>91,0150</t>
  </si>
  <si>
    <t>68,8500</t>
  </si>
  <si>
    <t>114,7090</t>
  </si>
  <si>
    <t>76,1820</t>
  </si>
  <si>
    <t>97,3280</t>
  </si>
  <si>
    <t>91,9930</t>
  </si>
  <si>
    <t>483,2300</t>
  </si>
  <si>
    <t>849,4200</t>
  </si>
  <si>
    <t>818,3640</t>
  </si>
  <si>
    <t>Кубок Евразии по народному жиму
Вологда, 01 - 04 ноября 2014 года</t>
  </si>
  <si>
    <t>Шишенин Никита</t>
  </si>
  <si>
    <t>Juniors 20-23 (03.01.1994)/20</t>
  </si>
  <si>
    <t>Хамилов Александр</t>
  </si>
  <si>
    <t>Masters 40-49 (23.05.1965)/49</t>
  </si>
  <si>
    <t xml:space="preserve">Козьмодемьянск/Ярославская область </t>
  </si>
  <si>
    <t>Латышев Сергей</t>
  </si>
  <si>
    <t>Соколов Дмитрий</t>
  </si>
  <si>
    <t>84,30</t>
  </si>
  <si>
    <t>89,60</t>
  </si>
  <si>
    <t>Прайд</t>
  </si>
  <si>
    <t>Open (27.11.1983)/30</t>
  </si>
  <si>
    <t>Open (18.10.1975)/39</t>
  </si>
  <si>
    <t>Masters 40-49 (23.04.1970)/44</t>
  </si>
  <si>
    <t>Ляшенко Александр</t>
  </si>
  <si>
    <t>Open (22.01.1977)/37</t>
  </si>
  <si>
    <t>Прудников Сергей</t>
  </si>
  <si>
    <t>Open (31.03.1981)/33</t>
  </si>
  <si>
    <t>107,50</t>
  </si>
  <si>
    <t xml:space="preserve">Химки/Московская область </t>
  </si>
  <si>
    <t>Бутовичев Игорь</t>
  </si>
  <si>
    <t>Open (17.04.1984)/30</t>
  </si>
  <si>
    <t>115,00</t>
  </si>
  <si>
    <t>Состав судейской коллегии на Кубке Евразии по пауэрлифтингу, отдельным движениям, народному жиму и жимовому двоеборью
Вологда, 01 - 04 ноября 2014 года</t>
  </si>
  <si>
    <t>Главный судья соревнований: Длужневский Сергей/Вологда МК</t>
  </si>
  <si>
    <t>Главный секретарь: Длужневский Сергей/Вологда МК</t>
  </si>
  <si>
    <t>Аппеляционное жюри: Длужневская Эльвира/Вологда МК, Длужневский Сергей/Вологда МК, Новиков Степан/Вологда МК</t>
  </si>
  <si>
    <t xml:space="preserve">Смирнов Олег/Санкт Петербург НК, Семенов Илья/Москва НК, Семенихин Иван/Саратов НК, Куванов Владимир/Вологда, Мухтаров Антон/Вологда НК, </t>
  </si>
  <si>
    <t>Якименков Георгий/Вологда НК, Хомутов Андрей/Вологда РК</t>
  </si>
  <si>
    <t>Помощник главного секретаря: Налимов Виталий/Вологда НК, Нечаева Екатерина/Вологда</t>
  </si>
  <si>
    <t>Центральный судья на помосте: Саксон Александр/Вологда НК</t>
  </si>
  <si>
    <t>Боковые судьи на помосте: Петров Андрей/Нижний Новгород МК, Рассохин Александр/Великий Устюг НК, Лысиков Дмитрий/Санкт Петербург НК,</t>
  </si>
  <si>
    <t>Боковые судьи на помосте: Куванов Владимир/Вологда НК, Длужневская Эльвира/Вологда НК, Пеньковский Роман/Москва</t>
  </si>
  <si>
    <t>Главный секретарь: Длужневская Эльвира/Вологда НК, Длужневский Сергей/Вологда МК</t>
  </si>
  <si>
    <t>90</t>
  </si>
  <si>
    <t>Состав судейской коллегии на Кубке Евразии по армлифтингу
Вологда, 01 - 04 ноября 2014 года</t>
  </si>
  <si>
    <t>4</t>
  </si>
  <si>
    <t>Роллинг Тандер</t>
  </si>
  <si>
    <t>Кубок Евразии по армлифтингу, Роллинг Тандер
Вологда, 01 - 04 ноября 2014 года</t>
  </si>
  <si>
    <t>Juniors (10.05.1998)/16</t>
  </si>
  <si>
    <t>57,60</t>
  </si>
  <si>
    <t>Апатиты</t>
  </si>
  <si>
    <t>30,5</t>
  </si>
  <si>
    <t>35,5</t>
  </si>
  <si>
    <t>40,5</t>
  </si>
  <si>
    <t>97,30</t>
  </si>
  <si>
    <t>129,60</t>
  </si>
  <si>
    <t>167,00</t>
  </si>
  <si>
    <t>58,80</t>
  </si>
  <si>
    <t>43,0</t>
  </si>
  <si>
    <t>45,5</t>
  </si>
  <si>
    <t>48,0</t>
  </si>
  <si>
    <t>ВЕСОВАЯ КАТЕГОРИЯ   60+</t>
  </si>
  <si>
    <t>85,50</t>
  </si>
  <si>
    <t>Кузнецов Владислав</t>
  </si>
  <si>
    <t>70,5</t>
  </si>
  <si>
    <t>65,5</t>
  </si>
  <si>
    <t>60,5</t>
  </si>
  <si>
    <t>50,5</t>
  </si>
  <si>
    <t>ВЕСОВАЯ КАТЕГОРИЯ   70</t>
  </si>
  <si>
    <t>Зыков Дмитрий</t>
  </si>
  <si>
    <t>Juniors (12.01.1993)/21</t>
  </si>
  <si>
    <t>66,60</t>
  </si>
  <si>
    <t>Нижегородская область 2</t>
  </si>
  <si>
    <t>73,0</t>
  </si>
  <si>
    <t>68,0</t>
  </si>
  <si>
    <t>63,60</t>
  </si>
  <si>
    <t>Juniors (16.06.1993)/21</t>
  </si>
  <si>
    <t>63,0</t>
  </si>
  <si>
    <t>Талдыкин Артем</t>
  </si>
  <si>
    <t>Juniors (02.12.1994)/20</t>
  </si>
  <si>
    <t>69,90</t>
  </si>
  <si>
    <t xml:space="preserve">Воронеж/Воронежская область </t>
  </si>
  <si>
    <t>55,5</t>
  </si>
  <si>
    <t>Шевченко Сергей</t>
  </si>
  <si>
    <t>Кысин Константин</t>
  </si>
  <si>
    <t>Juniors (24.05.1994)/20</t>
  </si>
  <si>
    <t>68,60</t>
  </si>
  <si>
    <t>Онучин Дмитрий</t>
  </si>
  <si>
    <t>67,90</t>
  </si>
  <si>
    <t>Богатиков Иван</t>
  </si>
  <si>
    <t>Open (05.03.1982)/32</t>
  </si>
  <si>
    <t>68,50</t>
  </si>
  <si>
    <t>СДЮШОР №7</t>
  </si>
  <si>
    <t>ВЕСОВАЯ КАТЕГОРИЯ   80</t>
  </si>
  <si>
    <t>Juniors (09.05.1996)/18</t>
  </si>
  <si>
    <t>76,60</t>
  </si>
  <si>
    <t>Ткачук Владислав</t>
  </si>
  <si>
    <t>Juniors (03.09.1997)/17</t>
  </si>
  <si>
    <t>Гаврилов - Ямская ДЮСШ</t>
  </si>
  <si>
    <t xml:space="preserve">Гаврилов - Ям/Ярославская область </t>
  </si>
  <si>
    <t>Худяков Владимир</t>
  </si>
  <si>
    <t>Open (11.06.1984)/30</t>
  </si>
  <si>
    <t>76,90</t>
  </si>
  <si>
    <t>75,5</t>
  </si>
  <si>
    <t>Шпикин Анатолий</t>
  </si>
  <si>
    <t>Masters (18.12.1959)/54</t>
  </si>
  <si>
    <t>79,40</t>
  </si>
  <si>
    <t>Актив Фитнес</t>
  </si>
  <si>
    <t>Медков Роман</t>
  </si>
  <si>
    <t>Juniors (23.11.1996)/17</t>
  </si>
  <si>
    <t>78,0</t>
  </si>
  <si>
    <t>Juniors (11.11.1994)/19</t>
  </si>
  <si>
    <t>84,50</t>
  </si>
  <si>
    <t>Миронов Станислав</t>
  </si>
  <si>
    <t>Open (18.08.1983)/31</t>
  </si>
  <si>
    <t>88,40</t>
  </si>
  <si>
    <t>85,5</t>
  </si>
  <si>
    <t>90,5</t>
  </si>
  <si>
    <t>93,0</t>
  </si>
  <si>
    <t>98,0</t>
  </si>
  <si>
    <t>Житарев Иван</t>
  </si>
  <si>
    <t>Open (08.05.1992)/22</t>
  </si>
  <si>
    <t>86,20</t>
  </si>
  <si>
    <t>80,5</t>
  </si>
  <si>
    <t>83,0</t>
  </si>
  <si>
    <t>Сазонов Андрей</t>
  </si>
  <si>
    <t>88,20</t>
  </si>
  <si>
    <t>Open (13.12.1990)/23</t>
  </si>
  <si>
    <t>Мочаев Александр</t>
  </si>
  <si>
    <t>Open (01.06.1977)/35</t>
  </si>
  <si>
    <t>Open (30.04.1974)/40</t>
  </si>
  <si>
    <t>92,00</t>
  </si>
  <si>
    <t>95,5</t>
  </si>
  <si>
    <t>Грушин Владимир</t>
  </si>
  <si>
    <t>Open (04.12.1985)/28</t>
  </si>
  <si>
    <t>95,20</t>
  </si>
  <si>
    <t>88,0</t>
  </si>
  <si>
    <t>Грушин Сергей</t>
  </si>
  <si>
    <t>Пономаренко Вадим</t>
  </si>
  <si>
    <t>Open (13.02.1980)/34</t>
  </si>
  <si>
    <t>99,70</t>
  </si>
  <si>
    <t xml:space="preserve">Норильск/Норильская область </t>
  </si>
  <si>
    <t>Смирнов Никита</t>
  </si>
  <si>
    <t>Open (02.05.1992)/22</t>
  </si>
  <si>
    <t>Акиндинов Анатолий</t>
  </si>
  <si>
    <t>Open (05.07.1982)/32</t>
  </si>
  <si>
    <t>Masters (30.04.1974)/40</t>
  </si>
  <si>
    <t>Masters (20.11.1964)/49</t>
  </si>
  <si>
    <t>98,90</t>
  </si>
  <si>
    <t>Пеньковский Роман</t>
  </si>
  <si>
    <t>Juniors (10.05.1993)/21</t>
  </si>
  <si>
    <t>106,50</t>
  </si>
  <si>
    <t>105,5</t>
  </si>
  <si>
    <t>110,5</t>
  </si>
  <si>
    <t>Бадюк Сергей</t>
  </si>
  <si>
    <t>Open (10.05.1993)/21</t>
  </si>
  <si>
    <t>108,0</t>
  </si>
  <si>
    <t>Хомутов Михаил</t>
  </si>
  <si>
    <t>Open (28.04.1981)/33</t>
  </si>
  <si>
    <t>105,90</t>
  </si>
  <si>
    <t xml:space="preserve">Нижний Новгород/Нижегородская область </t>
  </si>
  <si>
    <t>Борисов Игорь</t>
  </si>
  <si>
    <t>Open (10.04.1963)/51</t>
  </si>
  <si>
    <t>107,80</t>
  </si>
  <si>
    <t xml:space="preserve">Навашино/Нижегородская область </t>
  </si>
  <si>
    <t>Masters (10.04.1963)/51</t>
  </si>
  <si>
    <t>Петров Артем</t>
  </si>
  <si>
    <t>Open (22.03.1991)/23</t>
  </si>
  <si>
    <t>103,0</t>
  </si>
  <si>
    <t>121,20</t>
  </si>
  <si>
    <t xml:space="preserve">Juniors </t>
  </si>
  <si>
    <t>Юниоры</t>
  </si>
  <si>
    <t>70</t>
  </si>
  <si>
    <t>Open</t>
  </si>
  <si>
    <t>Открытая</t>
  </si>
  <si>
    <t>Кубок Евразии по армлифтингу, Аполлон Аксель
Вологда, 01 - 04 ноября 2014 года</t>
  </si>
  <si>
    <t>Аполлон Аксель</t>
  </si>
  <si>
    <t>Juniors (18.01.1997)/17</t>
  </si>
  <si>
    <t>Саров/Нижегородская область</t>
  </si>
  <si>
    <t>Open (02.12.1994)/20</t>
  </si>
  <si>
    <t>Juniors (29.12.1993)/20</t>
  </si>
  <si>
    <t>Masters (25.02.1974)/40</t>
  </si>
  <si>
    <t>76,10</t>
  </si>
  <si>
    <t>Каширин Александр</t>
  </si>
  <si>
    <t>Juniors (02.03.1993)/21</t>
  </si>
  <si>
    <t>87,10</t>
  </si>
  <si>
    <t>Петрозаводск/Карелия</t>
  </si>
  <si>
    <t>Masters (09.06.1974)/40</t>
  </si>
  <si>
    <t>Masters (09.01.1972)/42</t>
  </si>
  <si>
    <t>ВЕСОВАЯ КАТЕГОРИЯ   125+</t>
  </si>
  <si>
    <t>80</t>
  </si>
  <si>
    <t>125+</t>
  </si>
  <si>
    <t>Центральный судья на помосте: Куванов Владимир/Вологда МК, Новиков Степан/Вологда МК, Залуцкий Роман/Москва МК, Лысиков Дмитрий/Санкт Петербург НК</t>
  </si>
  <si>
    <t>0,7600</t>
  </si>
  <si>
    <t>0,7620</t>
  </si>
  <si>
    <t>0.6926</t>
  </si>
  <si>
    <t>0.6947</t>
  </si>
  <si>
    <t>0.6358</t>
  </si>
  <si>
    <t>0.7331</t>
  </si>
  <si>
    <t>0.6133</t>
  </si>
  <si>
    <t>0.6173</t>
  </si>
  <si>
    <t>0.5952</t>
  </si>
  <si>
    <t>0.5625</t>
  </si>
  <si>
    <t>0.5663</t>
  </si>
  <si>
    <t>0.5562</t>
  </si>
  <si>
    <t>2975</t>
  </si>
  <si>
    <t>3060</t>
  </si>
  <si>
    <t>1876,69</t>
  </si>
  <si>
    <t>3335</t>
  </si>
  <si>
    <t>1854,92</t>
  </si>
  <si>
    <t>3080</t>
  </si>
  <si>
    <t>2687,5</t>
  </si>
  <si>
    <t>1732,50</t>
  </si>
  <si>
    <t>1521,93</t>
  </si>
  <si>
    <t>2025</t>
  </si>
  <si>
    <t>1406,70</t>
  </si>
  <si>
    <t>2090</t>
  </si>
  <si>
    <t>1243,96</t>
  </si>
  <si>
    <t>1/2 собственного 25,0</t>
  </si>
  <si>
    <t>Open (06.11.1972)/41</t>
  </si>
  <si>
    <t>Кубок Евразии по жимовому двоеборью
Вологда, 01 - 04 ноября 2014 года</t>
  </si>
  <si>
    <t>Жим/первое упражнение</t>
  </si>
  <si>
    <t>Жим/второе упражнение</t>
  </si>
  <si>
    <t>Результат</t>
  </si>
  <si>
    <t>Женщины - любители с прохождением допинг контроля</t>
  </si>
  <si>
    <t>0,8555</t>
  </si>
  <si>
    <t>Сумма баллов</t>
  </si>
  <si>
    <t>Тарасова Юлия</t>
  </si>
  <si>
    <t>Open (12.09.1973)/41</t>
  </si>
  <si>
    <t>Мужчины - любители с прохождением допинг контроля</t>
  </si>
  <si>
    <t>Masters 50-55 (08.10.1960)/54</t>
  </si>
  <si>
    <t>Masters 55-60 (24.08.1955)/59</t>
  </si>
  <si>
    <t>66,50</t>
  </si>
  <si>
    <t>Masters 50-55 (18.12.1959)/54</t>
  </si>
  <si>
    <t>79,10</t>
  </si>
  <si>
    <t>Маслов Владимир</t>
  </si>
  <si>
    <t>Open (01.06.1977)/37</t>
  </si>
  <si>
    <t>88,10</t>
  </si>
  <si>
    <t>Бараев Александр</t>
  </si>
  <si>
    <t>Open (09.02.1985)/29</t>
  </si>
  <si>
    <t>Селяков Олег</t>
  </si>
  <si>
    <t>Open (24.08.1983)/31</t>
  </si>
  <si>
    <t>Masters 40-45 (17.11.1972)/41</t>
  </si>
  <si>
    <t>102,00</t>
  </si>
  <si>
    <t>Медведь</t>
  </si>
  <si>
    <t>Masters 50-55 (10.05.1963)/51</t>
  </si>
  <si>
    <t>100,60</t>
  </si>
  <si>
    <t>Женщины - любители</t>
  </si>
  <si>
    <t>Сахнова Татьяна</t>
  </si>
  <si>
    <t>55,10</t>
  </si>
  <si>
    <t>Мужчины - любители</t>
  </si>
  <si>
    <t>Сигов Сергей</t>
  </si>
  <si>
    <t>Open (05.01.1981)/33</t>
  </si>
  <si>
    <t>Алекса Михаил</t>
  </si>
  <si>
    <t>99,30</t>
  </si>
  <si>
    <t>Open (05.02.1985)/29</t>
  </si>
  <si>
    <t>Беларусь/Петриков/Гомельская область</t>
  </si>
  <si>
    <t>Калугин Игорь</t>
  </si>
  <si>
    <t>Open (21.10.1983)/31</t>
  </si>
  <si>
    <t>95,80</t>
  </si>
  <si>
    <t>Троицк/Московская область</t>
  </si>
  <si>
    <t>Сайфутдинов Андрей</t>
  </si>
  <si>
    <t>Open (05.08.1987)/27</t>
  </si>
  <si>
    <t>Пушкино/Московская область</t>
  </si>
  <si>
    <t>Суставов Юрий</t>
  </si>
  <si>
    <t>Open (02.10.1974)/40</t>
  </si>
  <si>
    <t>Зайцев Олег</t>
  </si>
  <si>
    <t>Open (05.01.1976)/38</t>
  </si>
  <si>
    <t>109,90</t>
  </si>
  <si>
    <t>Переславль Залеский/Московская область</t>
  </si>
  <si>
    <t>Курьянов Максим</t>
  </si>
  <si>
    <t>Open (15.05.1979)/35</t>
  </si>
  <si>
    <t>Мужчины - профессионалы</t>
  </si>
  <si>
    <t>Химки/Московская область</t>
  </si>
  <si>
    <t>Мужчины - облегченная экипировка</t>
  </si>
  <si>
    <t>Голубев Ярослав</t>
  </si>
  <si>
    <t>Open (02.02.1980)/34</t>
  </si>
  <si>
    <t>109,20</t>
  </si>
  <si>
    <t>Мужчины - военный жим</t>
  </si>
  <si>
    <t>Есаков Алексей</t>
  </si>
  <si>
    <t>Open (13.11.1977)/36</t>
  </si>
  <si>
    <t>98,70</t>
  </si>
  <si>
    <t>Masters 50-55 (20.03.1962)/52</t>
  </si>
  <si>
    <t>ВЕСОВАЯ КАТЕГОРИЯ   120</t>
  </si>
  <si>
    <t>Барягин Леонид</t>
  </si>
  <si>
    <t>Open (23.08.1961)/53</t>
  </si>
  <si>
    <t>117,80</t>
  </si>
  <si>
    <t>Зайцев Сергей</t>
  </si>
  <si>
    <t>ВМК</t>
  </si>
  <si>
    <t>Мальшаков Андрей</t>
  </si>
  <si>
    <t>Рязань/Рязаньская область</t>
  </si>
  <si>
    <t>Липецк/Липецкая область</t>
  </si>
  <si>
    <t>Тарасов Эдуард</t>
  </si>
  <si>
    <t>Masters 65-69 (30.05.1948)/66</t>
  </si>
  <si>
    <t>1,5040</t>
  </si>
  <si>
    <t>172,9600</t>
  </si>
  <si>
    <t>Абдуллин Марат</t>
  </si>
  <si>
    <t>Open (14.07.1979)/35</t>
  </si>
  <si>
    <t>Open (11.02.1989)/25</t>
  </si>
  <si>
    <t>Juniors 20-23 (17.11.1990)/23</t>
  </si>
  <si>
    <t>Juniors 20-23 (18.12.1993)/20</t>
  </si>
  <si>
    <t>Open (28.11.1977)/36</t>
  </si>
  <si>
    <t>Open (18.12.1993)/20</t>
  </si>
  <si>
    <t>Open (10.11.1982)/31</t>
  </si>
  <si>
    <t>Teen 16-17 (16.12.1996)/17</t>
  </si>
  <si>
    <t>Open (25.12.1971)/42</t>
  </si>
  <si>
    <t>Masters 40-44 (25.12.1971)/42</t>
  </si>
  <si>
    <t>Open (24.12.1985)/28</t>
  </si>
  <si>
    <t>Open (12.11.1986)/27</t>
  </si>
  <si>
    <t>Juniors 20-23 (14.12.1990)/23</t>
  </si>
  <si>
    <t>Open (08.12.1983)/30</t>
  </si>
  <si>
    <t>Open (23.12.1983)/30</t>
  </si>
  <si>
    <t>Open (03.10.1973)/41</t>
  </si>
  <si>
    <t>Masters 45-49 (27.11.1964)/49</t>
  </si>
  <si>
    <t>Teen 13-15 (28.12.1998)/15</t>
  </si>
  <si>
    <t>Juniors 20-23 (13.12.1990)/23</t>
  </si>
  <si>
    <t>Кронштадт/Ленинградская область</t>
  </si>
  <si>
    <t>ВЕСОВАЯ КАТЕГОРИЯ   82,5</t>
  </si>
  <si>
    <t>Алексеев Ярослав</t>
  </si>
  <si>
    <t>Juniors 20-23 (05.09.1991)/23</t>
  </si>
  <si>
    <t>0,65025</t>
  </si>
  <si>
    <t xml:space="preserve">Санкт Петербург/Ленинградская область </t>
  </si>
  <si>
    <t>DQ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</si>
</sst>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0.0000"/>
    <numFmt numFmtId="175" formatCode="00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0">
    <font>
      <sz val="10"/>
      <name val="Arial Cyr"/>
      <family val="0"/>
    </font>
    <font>
      <sz val="24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i/>
      <sz val="11"/>
      <name val="Arial Cyr"/>
      <family val="0"/>
    </font>
    <font>
      <strike/>
      <sz val="10"/>
      <color indexed="10"/>
      <name val="Arial Cyr"/>
      <family val="0"/>
    </font>
    <font>
      <b/>
      <strike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yr"/>
      <family val="0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trike/>
      <sz val="10"/>
      <color rgb="FFFF0000"/>
      <name val="Arial Cyr"/>
      <family val="0"/>
    </font>
    <font>
      <sz val="10"/>
      <color rgb="FFFF0000"/>
      <name val="Arial Cyr"/>
      <family val="0"/>
    </font>
    <font>
      <sz val="10"/>
      <color rgb="FF3B3B3B"/>
      <name val="Arial Cyr"/>
      <family val="0"/>
    </font>
    <font>
      <b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0" fillId="27" borderId="6" applyNumberFormat="0" applyFont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96">
    <xf numFmtId="0" fontId="0" fillId="0" borderId="0" xfId="0" applyAlignment="1">
      <alignment/>
    </xf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49" fontId="0" fillId="0" borderId="12" xfId="0" applyNumberFormat="1" applyBorder="1" applyAlignment="1">
      <alignment/>
    </xf>
    <xf numFmtId="49" fontId="9" fillId="0" borderId="12" xfId="0" applyNumberFormat="1" applyFont="1" applyBorder="1" applyAlignment="1">
      <alignment/>
    </xf>
    <xf numFmtId="49" fontId="0" fillId="0" borderId="14" xfId="0" applyNumberFormat="1" applyBorder="1" applyAlignment="1">
      <alignment/>
    </xf>
    <xf numFmtId="49" fontId="9" fillId="0" borderId="14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49" fontId="9" fillId="0" borderId="11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49" fontId="9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0" fillId="0" borderId="0" xfId="0" applyNumberFormat="1" applyAlignment="1">
      <alignment horizontal="left" indent="1"/>
    </xf>
    <xf numFmtId="49" fontId="10" fillId="0" borderId="0" xfId="0" applyNumberFormat="1" applyFont="1" applyAlignment="1">
      <alignment horizontal="left" indent="1"/>
    </xf>
    <xf numFmtId="49" fontId="10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3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9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left" indent="1"/>
    </xf>
    <xf numFmtId="49" fontId="0" fillId="0" borderId="0" xfId="0" applyNumberFormat="1" applyFont="1" applyFill="1" applyBorder="1" applyAlignment="1">
      <alignment horizontal="left"/>
    </xf>
    <xf numFmtId="49" fontId="7" fillId="0" borderId="0" xfId="0" applyNumberFormat="1" applyFont="1" applyAlignment="1">
      <alignment horizontal="center"/>
    </xf>
    <xf numFmtId="49" fontId="0" fillId="10" borderId="11" xfId="0" applyNumberFormat="1" applyFill="1" applyBorder="1" applyAlignment="1">
      <alignment/>
    </xf>
    <xf numFmtId="49" fontId="2" fillId="10" borderId="11" xfId="0" applyNumberFormat="1" applyFont="1" applyFill="1" applyBorder="1" applyAlignment="1">
      <alignment/>
    </xf>
    <xf numFmtId="49" fontId="11" fillId="0" borderId="11" xfId="0" applyNumberFormat="1" applyFont="1" applyBorder="1" applyAlignment="1">
      <alignment/>
    </xf>
    <xf numFmtId="49" fontId="12" fillId="0" borderId="11" xfId="0" applyNumberFormat="1" applyFont="1" applyBorder="1" applyAlignment="1">
      <alignment/>
    </xf>
    <xf numFmtId="49" fontId="13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49" fontId="0" fillId="10" borderId="12" xfId="0" applyNumberFormat="1" applyFill="1" applyBorder="1" applyAlignment="1">
      <alignment/>
    </xf>
    <xf numFmtId="49" fontId="11" fillId="0" borderId="12" xfId="0" applyNumberFormat="1" applyFont="1" applyBorder="1" applyAlignment="1">
      <alignment/>
    </xf>
    <xf numFmtId="49" fontId="11" fillId="0" borderId="14" xfId="0" applyNumberFormat="1" applyFont="1" applyBorder="1" applyAlignment="1">
      <alignment/>
    </xf>
    <xf numFmtId="49" fontId="0" fillId="10" borderId="14" xfId="0" applyNumberFormat="1" applyFill="1" applyBorder="1" applyAlignment="1">
      <alignment/>
    </xf>
    <xf numFmtId="49" fontId="0" fillId="10" borderId="13" xfId="0" applyNumberFormat="1" applyFill="1" applyBorder="1" applyAlignment="1">
      <alignment/>
    </xf>
    <xf numFmtId="49" fontId="11" fillId="0" borderId="13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49" fontId="13" fillId="0" borderId="14" xfId="0" applyNumberFormat="1" applyFont="1" applyBorder="1" applyAlignment="1">
      <alignment/>
    </xf>
    <xf numFmtId="49" fontId="14" fillId="0" borderId="12" xfId="0" applyNumberFormat="1" applyFont="1" applyBorder="1" applyAlignment="1">
      <alignment/>
    </xf>
    <xf numFmtId="49" fontId="13" fillId="0" borderId="12" xfId="0" applyNumberFormat="1" applyFont="1" applyBorder="1" applyAlignment="1">
      <alignment/>
    </xf>
    <xf numFmtId="49" fontId="13" fillId="0" borderId="13" xfId="0" applyNumberFormat="1" applyFont="1" applyBorder="1" applyAlignment="1">
      <alignment/>
    </xf>
    <xf numFmtId="49" fontId="14" fillId="0" borderId="14" xfId="0" applyNumberFormat="1" applyFont="1" applyBorder="1" applyAlignment="1">
      <alignment/>
    </xf>
    <xf numFmtId="49" fontId="14" fillId="0" borderId="13" xfId="0" applyNumberFormat="1" applyFont="1" applyBorder="1" applyAlignment="1">
      <alignment/>
    </xf>
    <xf numFmtId="49" fontId="0" fillId="10" borderId="11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49" fontId="0" fillId="10" borderId="11" xfId="0" applyNumberFormat="1" applyFont="1" applyFill="1" applyBorder="1" applyAlignment="1">
      <alignment horizontal="left"/>
    </xf>
    <xf numFmtId="49" fontId="0" fillId="10" borderId="11" xfId="0" applyNumberFormat="1" applyFont="1" applyFill="1" applyBorder="1" applyAlignment="1">
      <alignment horizontal="center"/>
    </xf>
    <xf numFmtId="49" fontId="0" fillId="10" borderId="13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left"/>
    </xf>
    <xf numFmtId="49" fontId="11" fillId="0" borderId="11" xfId="0" applyNumberFormat="1" applyFont="1" applyFill="1" applyBorder="1" applyAlignment="1">
      <alignment horizontal="left"/>
    </xf>
    <xf numFmtId="49" fontId="0" fillId="10" borderId="12" xfId="0" applyNumberFormat="1" applyFont="1" applyFill="1" applyBorder="1" applyAlignment="1">
      <alignment horizontal="center"/>
    </xf>
    <xf numFmtId="49" fontId="0" fillId="10" borderId="12" xfId="0" applyNumberFormat="1" applyFont="1" applyFill="1" applyBorder="1" applyAlignment="1">
      <alignment horizontal="left"/>
    </xf>
    <xf numFmtId="49" fontId="0" fillId="10" borderId="12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left"/>
    </xf>
    <xf numFmtId="49" fontId="11" fillId="0" borderId="12" xfId="0" applyNumberFormat="1" applyFont="1" applyFill="1" applyBorder="1" applyAlignment="1">
      <alignment horizontal="center"/>
    </xf>
    <xf numFmtId="49" fontId="0" fillId="10" borderId="13" xfId="0" applyNumberFormat="1" applyFont="1" applyFill="1" applyBorder="1" applyAlignment="1">
      <alignment horizontal="left"/>
    </xf>
    <xf numFmtId="49" fontId="0" fillId="10" borderId="14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49" fontId="0" fillId="10" borderId="14" xfId="0" applyNumberFormat="1" applyFont="1" applyFill="1" applyBorder="1" applyAlignment="1">
      <alignment horizontal="left"/>
    </xf>
    <xf numFmtId="49" fontId="11" fillId="0" borderId="14" xfId="0" applyNumberFormat="1" applyFont="1" applyFill="1" applyBorder="1" applyAlignment="1">
      <alignment horizontal="left"/>
    </xf>
    <xf numFmtId="49" fontId="12" fillId="0" borderId="14" xfId="0" applyNumberFormat="1" applyFont="1" applyBorder="1" applyAlignment="1">
      <alignment/>
    </xf>
    <xf numFmtId="49" fontId="0" fillId="0" borderId="11" xfId="0" applyNumberFormat="1" applyFont="1" applyFill="1" applyBorder="1" applyAlignment="1">
      <alignment horizontal="left"/>
    </xf>
    <xf numFmtId="0" fontId="0" fillId="0" borderId="11" xfId="0" applyBorder="1" applyAlignment="1">
      <alignment horizontal="left" vertical="center"/>
    </xf>
    <xf numFmtId="49" fontId="0" fillId="0" borderId="14" xfId="0" applyNumberForma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ill="1" applyBorder="1" applyAlignment="1">
      <alignment horizontal="left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49" fontId="0" fillId="0" borderId="11" xfId="0" applyNumberFormat="1" applyFill="1" applyBorder="1" applyAlignment="1">
      <alignment horizontal="left"/>
    </xf>
    <xf numFmtId="49" fontId="9" fillId="0" borderId="11" xfId="0" applyNumberFormat="1" applyFont="1" applyFill="1" applyBorder="1" applyAlignment="1">
      <alignment horizontal="left"/>
    </xf>
    <xf numFmtId="49" fontId="0" fillId="10" borderId="11" xfId="0" applyNumberFormat="1" applyFill="1" applyBorder="1" applyAlignment="1">
      <alignment horizontal="center"/>
    </xf>
    <xf numFmtId="49" fontId="0" fillId="10" borderId="14" xfId="0" applyNumberFormat="1" applyFill="1" applyBorder="1" applyAlignment="1">
      <alignment horizontal="center"/>
    </xf>
    <xf numFmtId="49" fontId="0" fillId="10" borderId="12" xfId="0" applyNumberFormat="1" applyFill="1" applyBorder="1" applyAlignment="1">
      <alignment horizontal="center"/>
    </xf>
    <xf numFmtId="49" fontId="56" fillId="0" borderId="11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49" fontId="14" fillId="0" borderId="11" xfId="0" applyNumberFormat="1" applyFont="1" applyBorder="1" applyAlignment="1">
      <alignment/>
    </xf>
    <xf numFmtId="49" fontId="13" fillId="0" borderId="11" xfId="0" applyNumberFormat="1" applyFont="1" applyFill="1" applyBorder="1" applyAlignment="1">
      <alignment/>
    </xf>
    <xf numFmtId="49" fontId="13" fillId="0" borderId="14" xfId="0" applyNumberFormat="1" applyFont="1" applyFill="1" applyBorder="1" applyAlignment="1">
      <alignment/>
    </xf>
    <xf numFmtId="49" fontId="57" fillId="0" borderId="11" xfId="0" applyNumberFormat="1" applyFont="1" applyBorder="1" applyAlignment="1">
      <alignment/>
    </xf>
    <xf numFmtId="49" fontId="57" fillId="0" borderId="13" xfId="0" applyNumberFormat="1" applyFont="1" applyBorder="1" applyAlignment="1">
      <alignment/>
    </xf>
    <xf numFmtId="49" fontId="57" fillId="0" borderId="14" xfId="0" applyNumberFormat="1" applyFont="1" applyBorder="1" applyAlignment="1">
      <alignment/>
    </xf>
    <xf numFmtId="49" fontId="0" fillId="32" borderId="11" xfId="0" applyNumberFormat="1" applyFill="1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0" xfId="0" applyNumberFormat="1" applyAlignment="1">
      <alignment horizontal="left"/>
    </xf>
    <xf numFmtId="49" fontId="0" fillId="0" borderId="11" xfId="0" applyNumberFormat="1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0" xfId="0" applyFont="1" applyFill="1" applyBorder="1" applyAlignment="1">
      <alignment/>
    </xf>
    <xf numFmtId="49" fontId="0" fillId="0" borderId="11" xfId="0" applyNumberFormat="1" applyBorder="1" applyAlignment="1">
      <alignment horizontal="left"/>
    </xf>
    <xf numFmtId="0" fontId="0" fillId="0" borderId="15" xfId="0" applyBorder="1" applyAlignment="1">
      <alignment horizontal="right"/>
    </xf>
    <xf numFmtId="2" fontId="0" fillId="0" borderId="11" xfId="0" applyNumberFormat="1" applyBorder="1" applyAlignment="1">
      <alignment/>
    </xf>
    <xf numFmtId="0" fontId="15" fillId="0" borderId="0" xfId="0" applyFont="1" applyAlignment="1">
      <alignment/>
    </xf>
    <xf numFmtId="49" fontId="0" fillId="0" borderId="11" xfId="0" applyNumberFormat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11" xfId="0" applyNumberFormat="1" applyFill="1" applyBorder="1" applyAlignment="1">
      <alignment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0" xfId="0" applyFont="1" applyAlignment="1">
      <alignment horizontal="center"/>
    </xf>
    <xf numFmtId="2" fontId="2" fillId="0" borderId="0" xfId="0" applyNumberFormat="1" applyFont="1" applyBorder="1" applyAlignment="1">
      <alignment horizontal="center"/>
    </xf>
    <xf numFmtId="172" fontId="0" fillId="0" borderId="15" xfId="0" applyNumberFormat="1" applyBorder="1" applyAlignment="1">
      <alignment horizontal="right"/>
    </xf>
    <xf numFmtId="172" fontId="0" fillId="0" borderId="11" xfId="0" applyNumberFormat="1" applyBorder="1" applyAlignment="1">
      <alignment/>
    </xf>
    <xf numFmtId="172" fontId="0" fillId="0" borderId="15" xfId="0" applyNumberFormat="1" applyBorder="1" applyAlignment="1">
      <alignment/>
    </xf>
    <xf numFmtId="172" fontId="0" fillId="0" borderId="17" xfId="0" applyNumberFormat="1" applyBorder="1" applyAlignment="1">
      <alignment/>
    </xf>
    <xf numFmtId="172" fontId="0" fillId="0" borderId="11" xfId="0" applyNumberFormat="1" applyBorder="1" applyAlignment="1">
      <alignment horizontal="right"/>
    </xf>
    <xf numFmtId="0" fontId="0" fillId="0" borderId="17" xfId="0" applyBorder="1" applyAlignment="1">
      <alignment/>
    </xf>
    <xf numFmtId="0" fontId="0" fillId="0" borderId="11" xfId="0" applyBorder="1" applyAlignment="1">
      <alignment horizontal="left"/>
    </xf>
    <xf numFmtId="174" fontId="0" fillId="0" borderId="11" xfId="0" applyNumberFormat="1" applyBorder="1" applyAlignment="1">
      <alignment horizontal="left"/>
    </xf>
    <xf numFmtId="176" fontId="0" fillId="0" borderId="11" xfId="0" applyNumberFormat="1" applyBorder="1" applyAlignment="1">
      <alignment/>
    </xf>
    <xf numFmtId="0" fontId="56" fillId="0" borderId="11" xfId="0" applyFont="1" applyBorder="1" applyAlignment="1">
      <alignment/>
    </xf>
    <xf numFmtId="172" fontId="56" fillId="0" borderId="11" xfId="0" applyNumberFormat="1" applyFont="1" applyBorder="1" applyAlignment="1">
      <alignment/>
    </xf>
    <xf numFmtId="176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8" fillId="0" borderId="11" xfId="0" applyFont="1" applyBorder="1" applyAlignment="1">
      <alignment/>
    </xf>
    <xf numFmtId="49" fontId="0" fillId="10" borderId="13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left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72" fontId="0" fillId="0" borderId="15" xfId="0" applyNumberFormat="1" applyBorder="1" applyAlignment="1">
      <alignment horizontal="right"/>
    </xf>
    <xf numFmtId="172" fontId="0" fillId="0" borderId="16" xfId="0" applyNumberFormat="1" applyBorder="1" applyAlignment="1">
      <alignment horizontal="right"/>
    </xf>
    <xf numFmtId="0" fontId="0" fillId="0" borderId="28" xfId="0" applyBorder="1" applyAlignment="1">
      <alignment horizontal="center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метка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Followed Hyperlink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">
      <selection activeCell="F20" sqref="F20"/>
    </sheetView>
  </sheetViews>
  <sheetFormatPr defaultColWidth="8.75390625" defaultRowHeight="12.75"/>
  <cols>
    <col min="1" max="1" width="3.375" style="61" customWidth="1"/>
    <col min="2" max="2" width="17.625" style="28" customWidth="1"/>
    <col min="3" max="3" width="26.375" style="28" customWidth="1"/>
    <col min="4" max="4" width="8.00390625" style="28" customWidth="1"/>
    <col min="5" max="5" width="7.875" style="28" customWidth="1"/>
    <col min="6" max="6" width="22.75390625" style="28" bestFit="1" customWidth="1"/>
    <col min="7" max="7" width="28.125" style="28" bestFit="1" customWidth="1"/>
    <col min="8" max="10" width="5.625" style="28" bestFit="1" customWidth="1"/>
    <col min="11" max="11" width="5.75390625" style="28" customWidth="1"/>
    <col min="12" max="12" width="8.625" style="61" customWidth="1"/>
    <col min="13" max="13" width="8.75390625" style="0" customWidth="1"/>
    <col min="14" max="14" width="14.75390625" style="0" customWidth="1"/>
  </cols>
  <sheetData>
    <row r="1" spans="1:12" s="1" customFormat="1" ht="15" customHeight="1">
      <c r="A1" s="38"/>
      <c r="B1" s="162" t="s">
        <v>1166</v>
      </c>
      <c r="C1" s="163"/>
      <c r="D1" s="163"/>
      <c r="E1" s="163"/>
      <c r="F1" s="163"/>
      <c r="G1" s="163"/>
      <c r="L1" s="38"/>
    </row>
    <row r="2" spans="1:12" s="1" customFormat="1" ht="81.75" customHeight="1" thickBot="1">
      <c r="A2" s="38"/>
      <c r="B2" s="164"/>
      <c r="C2" s="165"/>
      <c r="D2" s="165"/>
      <c r="E2" s="165"/>
      <c r="F2" s="165"/>
      <c r="G2" s="165"/>
      <c r="L2" s="38"/>
    </row>
    <row r="3" spans="2:14" s="2" customFormat="1" ht="12.75" customHeight="1">
      <c r="B3" s="166" t="s">
        <v>0</v>
      </c>
      <c r="C3" s="168" t="s">
        <v>1108</v>
      </c>
      <c r="D3" s="170" t="s">
        <v>1109</v>
      </c>
      <c r="E3" s="170" t="s">
        <v>1110</v>
      </c>
      <c r="F3" s="170" t="s">
        <v>4</v>
      </c>
      <c r="G3" s="170" t="s">
        <v>6</v>
      </c>
      <c r="H3" s="170" t="s">
        <v>1</v>
      </c>
      <c r="I3" s="170"/>
      <c r="J3" s="170"/>
      <c r="K3" s="170"/>
      <c r="L3" s="170" t="s">
        <v>2</v>
      </c>
      <c r="M3" s="170" t="s">
        <v>1110</v>
      </c>
      <c r="N3" s="160" t="s">
        <v>3</v>
      </c>
    </row>
    <row r="4" spans="2:14" s="2" customFormat="1" ht="21" customHeight="1" thickBot="1">
      <c r="B4" s="167"/>
      <c r="C4" s="169"/>
      <c r="D4" s="169"/>
      <c r="E4" s="169"/>
      <c r="F4" s="169"/>
      <c r="G4" s="169"/>
      <c r="H4" s="3">
        <v>1</v>
      </c>
      <c r="I4" s="3">
        <v>2</v>
      </c>
      <c r="J4" s="3">
        <v>3</v>
      </c>
      <c r="K4" s="3" t="s">
        <v>5</v>
      </c>
      <c r="L4" s="169"/>
      <c r="M4" s="169"/>
      <c r="N4" s="161"/>
    </row>
    <row r="5" spans="2:13" ht="15.75">
      <c r="B5" s="171" t="s">
        <v>1053</v>
      </c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</row>
    <row r="6" spans="2:11" ht="15.75">
      <c r="B6" s="171" t="s">
        <v>23</v>
      </c>
      <c r="C6" s="171"/>
      <c r="D6" s="171"/>
      <c r="E6" s="171"/>
      <c r="F6" s="171"/>
      <c r="G6" s="171"/>
      <c r="H6" s="171"/>
      <c r="I6" s="171"/>
      <c r="J6" s="171"/>
      <c r="K6" s="171"/>
    </row>
    <row r="7" spans="1:14" ht="12.75">
      <c r="A7" s="61">
        <v>1</v>
      </c>
      <c r="B7" s="24" t="s">
        <v>1041</v>
      </c>
      <c r="C7" s="24" t="s">
        <v>1042</v>
      </c>
      <c r="D7" s="24" t="s">
        <v>58</v>
      </c>
      <c r="E7" s="24" t="str">
        <f>"1,1470"</f>
        <v>1,1470</v>
      </c>
      <c r="F7" s="24" t="s">
        <v>853</v>
      </c>
      <c r="G7" s="24" t="s">
        <v>148</v>
      </c>
      <c r="H7" s="58" t="s">
        <v>46</v>
      </c>
      <c r="I7" s="56" t="s">
        <v>52</v>
      </c>
      <c r="J7" s="58" t="s">
        <v>536</v>
      </c>
      <c r="K7" s="25"/>
      <c r="L7" s="56" t="s">
        <v>52</v>
      </c>
      <c r="M7" s="24" t="str">
        <f>"206,4600"</f>
        <v>206,4600</v>
      </c>
      <c r="N7" s="18" t="s">
        <v>1043</v>
      </c>
    </row>
    <row r="8" spans="2:11" ht="15.75">
      <c r="B8" s="171" t="s">
        <v>66</v>
      </c>
      <c r="C8" s="171"/>
      <c r="D8" s="171"/>
      <c r="E8" s="171"/>
      <c r="F8" s="171"/>
      <c r="G8" s="171"/>
      <c r="H8" s="171"/>
      <c r="I8" s="171"/>
      <c r="J8" s="171"/>
      <c r="K8" s="171"/>
    </row>
    <row r="9" spans="1:14" ht="12.75">
      <c r="A9" s="61">
        <v>1</v>
      </c>
      <c r="B9" s="24" t="s">
        <v>847</v>
      </c>
      <c r="C9" s="24" t="s">
        <v>848</v>
      </c>
      <c r="D9" s="24" t="s">
        <v>849</v>
      </c>
      <c r="E9" s="24" t="str">
        <f>"1,0552"</f>
        <v>1,0552</v>
      </c>
      <c r="F9" s="24" t="s">
        <v>12</v>
      </c>
      <c r="G9" s="24" t="s">
        <v>736</v>
      </c>
      <c r="H9" s="56" t="s">
        <v>130</v>
      </c>
      <c r="I9" s="56" t="s">
        <v>43</v>
      </c>
      <c r="J9" s="58" t="s">
        <v>110</v>
      </c>
      <c r="K9" s="25"/>
      <c r="L9" s="56" t="s">
        <v>43</v>
      </c>
      <c r="M9" s="24" t="str">
        <f>"258,5240"</f>
        <v>258,5240</v>
      </c>
      <c r="N9" s="18" t="s">
        <v>111</v>
      </c>
    </row>
    <row r="10" ht="13.5" customHeight="1"/>
    <row r="11" ht="12.75" customHeight="1"/>
    <row r="12" ht="13.5" customHeight="1"/>
    <row r="13" ht="12.75" customHeight="1"/>
    <row r="14" ht="13.5" customHeight="1"/>
    <row r="15" ht="12.75" customHeight="1"/>
    <row r="16" ht="13.5" customHeight="1"/>
    <row r="17" ht="12.75" customHeight="1"/>
    <row r="18" ht="13.5" customHeight="1"/>
    <row r="19" ht="12.75" customHeight="1"/>
    <row r="21" ht="12.75" customHeight="1"/>
    <row r="22" ht="13.5" customHeight="1"/>
    <row r="23" ht="12.75" customHeight="1"/>
    <row r="24" ht="13.5" customHeight="1"/>
    <row r="25" ht="12.75" customHeight="1"/>
    <row r="27" ht="12.75" customHeight="1"/>
  </sheetData>
  <sheetProtection/>
  <mergeCells count="14">
    <mergeCell ref="B8:K8"/>
    <mergeCell ref="H3:K3"/>
    <mergeCell ref="L3:L4"/>
    <mergeCell ref="B6:K6"/>
    <mergeCell ref="B5:M5"/>
    <mergeCell ref="M3:M4"/>
    <mergeCell ref="N3:N4"/>
    <mergeCell ref="B1:G2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49"/>
  <sheetViews>
    <sheetView workbookViewId="0" topLeftCell="A1">
      <selection activeCell="F55" sqref="F55"/>
    </sheetView>
  </sheetViews>
  <sheetFormatPr defaultColWidth="8.75390625" defaultRowHeight="12.75"/>
  <cols>
    <col min="1" max="1" width="4.00390625" style="61" customWidth="1"/>
    <col min="2" max="2" width="26.625" style="28" customWidth="1"/>
    <col min="3" max="3" width="26.875" style="28" customWidth="1"/>
    <col min="4" max="4" width="10.375" style="28" customWidth="1"/>
    <col min="5" max="5" width="8.25390625" style="28" customWidth="1"/>
    <col min="6" max="6" width="23.75390625" style="28" customWidth="1"/>
    <col min="7" max="7" width="36.75390625" style="28" customWidth="1"/>
    <col min="8" max="8" width="6.125" style="28" customWidth="1"/>
    <col min="9" max="9" width="6.375" style="28" bestFit="1" customWidth="1"/>
    <col min="10" max="10" width="6.125" style="28" customWidth="1"/>
    <col min="11" max="11" width="5.625" style="28" bestFit="1" customWidth="1"/>
    <col min="12" max="12" width="8.00390625" style="36" customWidth="1"/>
    <col min="13" max="13" width="8.625" style="28" bestFit="1" customWidth="1"/>
    <col min="14" max="14" width="21.625" style="0" customWidth="1"/>
  </cols>
  <sheetData>
    <row r="1" spans="1:12" s="1" customFormat="1" ht="15" customHeight="1">
      <c r="A1" s="38"/>
      <c r="B1" s="162" t="s">
        <v>1157</v>
      </c>
      <c r="C1" s="163"/>
      <c r="D1" s="163"/>
      <c r="E1" s="163"/>
      <c r="F1" s="163"/>
      <c r="G1" s="163"/>
      <c r="H1" s="163"/>
      <c r="I1" s="163"/>
      <c r="J1" s="179"/>
      <c r="L1" s="38"/>
    </row>
    <row r="2" spans="1:12" s="1" customFormat="1" ht="81.75" customHeight="1" thickBot="1">
      <c r="A2" s="38"/>
      <c r="B2" s="164"/>
      <c r="C2" s="165"/>
      <c r="D2" s="165"/>
      <c r="E2" s="165"/>
      <c r="F2" s="165"/>
      <c r="G2" s="165"/>
      <c r="H2" s="165"/>
      <c r="I2" s="165"/>
      <c r="J2" s="180"/>
      <c r="L2" s="38"/>
    </row>
    <row r="3" spans="2:14" s="2" customFormat="1" ht="12.75" customHeight="1">
      <c r="B3" s="166" t="s">
        <v>0</v>
      </c>
      <c r="C3" s="168" t="s">
        <v>1108</v>
      </c>
      <c r="D3" s="170" t="s">
        <v>1109</v>
      </c>
      <c r="E3" s="170" t="s">
        <v>1110</v>
      </c>
      <c r="F3" s="170" t="s">
        <v>4</v>
      </c>
      <c r="G3" s="170" t="s">
        <v>6</v>
      </c>
      <c r="H3" s="170" t="s">
        <v>1050</v>
      </c>
      <c r="I3" s="170"/>
      <c r="J3" s="170"/>
      <c r="K3" s="170"/>
      <c r="L3" s="170" t="s">
        <v>2</v>
      </c>
      <c r="M3" s="170" t="s">
        <v>1110</v>
      </c>
      <c r="N3" s="160" t="s">
        <v>3</v>
      </c>
    </row>
    <row r="4" spans="2:14" s="2" customFormat="1" ht="21" customHeight="1" thickBot="1">
      <c r="B4" s="167"/>
      <c r="C4" s="169"/>
      <c r="D4" s="169"/>
      <c r="E4" s="169"/>
      <c r="F4" s="169"/>
      <c r="G4" s="169"/>
      <c r="H4" s="3">
        <v>1</v>
      </c>
      <c r="I4" s="3">
        <v>2</v>
      </c>
      <c r="J4" s="3">
        <v>3</v>
      </c>
      <c r="K4" s="3" t="s">
        <v>5</v>
      </c>
      <c r="L4" s="169"/>
      <c r="M4" s="169"/>
      <c r="N4" s="161"/>
    </row>
    <row r="5" spans="2:13" ht="15.75">
      <c r="B5" s="171" t="s">
        <v>1052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</row>
    <row r="6" spans="2:13" ht="15.75">
      <c r="B6" s="173" t="s">
        <v>589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</row>
    <row r="7" spans="1:14" ht="12.75">
      <c r="A7" s="61">
        <v>1</v>
      </c>
      <c r="B7" s="20" t="s">
        <v>590</v>
      </c>
      <c r="C7" s="20" t="s">
        <v>501</v>
      </c>
      <c r="D7" s="20" t="s">
        <v>591</v>
      </c>
      <c r="E7" s="20" t="str">
        <f>"2,3710"</f>
        <v>2,3710</v>
      </c>
      <c r="F7" s="20" t="s">
        <v>27</v>
      </c>
      <c r="G7" s="20" t="s">
        <v>148</v>
      </c>
      <c r="H7" s="62" t="s">
        <v>253</v>
      </c>
      <c r="I7" s="63" t="s">
        <v>254</v>
      </c>
      <c r="J7" s="62" t="s">
        <v>254</v>
      </c>
      <c r="K7" s="21"/>
      <c r="L7" s="62" t="s">
        <v>254</v>
      </c>
      <c r="M7" s="20" t="str">
        <f>"130,4050"</f>
        <v>130,4050</v>
      </c>
      <c r="N7" s="16" t="s">
        <v>111</v>
      </c>
    </row>
    <row r="8" spans="1:14" ht="12.75">
      <c r="A8" s="61">
        <v>2</v>
      </c>
      <c r="B8" s="24" t="s">
        <v>592</v>
      </c>
      <c r="C8" s="24" t="s">
        <v>593</v>
      </c>
      <c r="D8" s="24" t="s">
        <v>594</v>
      </c>
      <c r="E8" s="24" t="str">
        <f>"2,5760"</f>
        <v>2,5760</v>
      </c>
      <c r="F8" s="24" t="s">
        <v>164</v>
      </c>
      <c r="G8" s="24" t="s">
        <v>1186</v>
      </c>
      <c r="H8" s="56" t="s">
        <v>252</v>
      </c>
      <c r="I8" s="58" t="s">
        <v>232</v>
      </c>
      <c r="J8" s="58" t="s">
        <v>253</v>
      </c>
      <c r="K8" s="25"/>
      <c r="L8" s="56" t="s">
        <v>252</v>
      </c>
      <c r="M8" s="24" t="str">
        <f>"115,9200"</f>
        <v>115,9200</v>
      </c>
      <c r="N8" s="18" t="s">
        <v>165</v>
      </c>
    </row>
    <row r="9" spans="1:14" ht="12.75">
      <c r="A9" s="61">
        <v>3</v>
      </c>
      <c r="B9" s="22" t="s">
        <v>595</v>
      </c>
      <c r="C9" s="22" t="s">
        <v>596</v>
      </c>
      <c r="D9" s="22" t="s">
        <v>597</v>
      </c>
      <c r="E9" s="22" t="str">
        <f>"2,3214"</f>
        <v>2,3214</v>
      </c>
      <c r="F9" s="22" t="s">
        <v>1119</v>
      </c>
      <c r="G9" s="22" t="s">
        <v>136</v>
      </c>
      <c r="H9" s="65" t="s">
        <v>235</v>
      </c>
      <c r="I9" s="65" t="s">
        <v>236</v>
      </c>
      <c r="J9" s="64" t="s">
        <v>237</v>
      </c>
      <c r="K9" s="23"/>
      <c r="L9" s="65" t="s">
        <v>236</v>
      </c>
      <c r="M9" s="22" t="str">
        <f>"81,2490"</f>
        <v>81,2490</v>
      </c>
      <c r="N9" s="17" t="s">
        <v>337</v>
      </c>
    </row>
    <row r="10" spans="2:13" ht="15.75">
      <c r="B10" s="171" t="s">
        <v>8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</row>
    <row r="11" spans="1:14" ht="12.75">
      <c r="A11" s="61">
        <v>1</v>
      </c>
      <c r="B11" s="20" t="s">
        <v>598</v>
      </c>
      <c r="C11" s="20" t="s">
        <v>599</v>
      </c>
      <c r="D11" s="20" t="s">
        <v>600</v>
      </c>
      <c r="E11" s="20" t="str">
        <f>"2,0790"</f>
        <v>2,0790</v>
      </c>
      <c r="F11" s="20" t="s">
        <v>27</v>
      </c>
      <c r="G11" s="20" t="s">
        <v>88</v>
      </c>
      <c r="H11" s="62" t="s">
        <v>253</v>
      </c>
      <c r="I11" s="62" t="s">
        <v>254</v>
      </c>
      <c r="J11" s="63" t="s">
        <v>289</v>
      </c>
      <c r="K11" s="21"/>
      <c r="L11" s="62" t="s">
        <v>254</v>
      </c>
      <c r="M11" s="20" t="str">
        <f>"114,3450"</f>
        <v>114,3450</v>
      </c>
      <c r="N11" s="16" t="s">
        <v>491</v>
      </c>
    </row>
    <row r="12" spans="1:14" ht="12.75">
      <c r="A12" s="61">
        <v>1</v>
      </c>
      <c r="B12" s="24" t="s">
        <v>601</v>
      </c>
      <c r="C12" s="24" t="s">
        <v>602</v>
      </c>
      <c r="D12" s="24" t="s">
        <v>603</v>
      </c>
      <c r="E12" s="24" t="str">
        <f>"2,2120"</f>
        <v>2,2120</v>
      </c>
      <c r="F12" s="24" t="s">
        <v>164</v>
      </c>
      <c r="G12" s="24" t="s">
        <v>1186</v>
      </c>
      <c r="H12" s="56" t="s">
        <v>274</v>
      </c>
      <c r="I12" s="58" t="s">
        <v>232</v>
      </c>
      <c r="J12" s="56" t="s">
        <v>232</v>
      </c>
      <c r="K12" s="25"/>
      <c r="L12" s="56" t="s">
        <v>232</v>
      </c>
      <c r="M12" s="24" t="str">
        <f>"110,6000"</f>
        <v>110,6000</v>
      </c>
      <c r="N12" s="18" t="s">
        <v>165</v>
      </c>
    </row>
    <row r="13" spans="2:13" ht="15.75">
      <c r="B13" s="171" t="s">
        <v>248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</row>
    <row r="14" spans="1:14" ht="12.75">
      <c r="A14" s="61">
        <v>1</v>
      </c>
      <c r="B14" s="24" t="s">
        <v>604</v>
      </c>
      <c r="C14" s="24" t="s">
        <v>605</v>
      </c>
      <c r="D14" s="24" t="s">
        <v>606</v>
      </c>
      <c r="E14" s="24" t="str">
        <f>"1,9550"</f>
        <v>1,9550</v>
      </c>
      <c r="F14" s="24" t="s">
        <v>27</v>
      </c>
      <c r="G14" s="24" t="s">
        <v>148</v>
      </c>
      <c r="H14" s="56" t="s">
        <v>246</v>
      </c>
      <c r="I14" s="58" t="s">
        <v>274</v>
      </c>
      <c r="J14" s="58" t="s">
        <v>274</v>
      </c>
      <c r="K14" s="25"/>
      <c r="L14" s="56" t="s">
        <v>246</v>
      </c>
      <c r="M14" s="24" t="str">
        <f>"83,0875"</f>
        <v>83,0875</v>
      </c>
      <c r="N14" s="18" t="s">
        <v>607</v>
      </c>
    </row>
    <row r="15" spans="2:13" ht="15.75">
      <c r="B15" s="171" t="s">
        <v>257</v>
      </c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</row>
    <row r="16" spans="1:14" ht="12.75">
      <c r="A16" s="61">
        <v>1</v>
      </c>
      <c r="B16" s="20" t="s">
        <v>608</v>
      </c>
      <c r="C16" s="20" t="s">
        <v>1234</v>
      </c>
      <c r="D16" s="20" t="s">
        <v>609</v>
      </c>
      <c r="E16" s="20" t="str">
        <f>"1,7830"</f>
        <v>1,7830</v>
      </c>
      <c r="F16" s="20" t="s">
        <v>853</v>
      </c>
      <c r="G16" s="20" t="s">
        <v>148</v>
      </c>
      <c r="H16" s="62" t="s">
        <v>239</v>
      </c>
      <c r="I16" s="63" t="s">
        <v>275</v>
      </c>
      <c r="J16" s="62" t="s">
        <v>275</v>
      </c>
      <c r="K16" s="63" t="s">
        <v>1078</v>
      </c>
      <c r="L16" s="62" t="s">
        <v>275</v>
      </c>
      <c r="M16" s="20" t="str">
        <f>"169,3850"</f>
        <v>169,3850</v>
      </c>
      <c r="N16" s="16" t="s">
        <v>1111</v>
      </c>
    </row>
    <row r="17" spans="1:14" ht="12.75">
      <c r="A17" s="61">
        <v>1</v>
      </c>
      <c r="B17" s="24" t="s">
        <v>608</v>
      </c>
      <c r="C17" s="20" t="s">
        <v>1235</v>
      </c>
      <c r="D17" s="24" t="s">
        <v>609</v>
      </c>
      <c r="E17" s="24" t="str">
        <f>"1,7830"</f>
        <v>1,7830</v>
      </c>
      <c r="F17" s="24" t="s">
        <v>853</v>
      </c>
      <c r="G17" s="24" t="s">
        <v>148</v>
      </c>
      <c r="H17" s="56" t="s">
        <v>239</v>
      </c>
      <c r="I17" s="58" t="s">
        <v>275</v>
      </c>
      <c r="J17" s="56" t="s">
        <v>275</v>
      </c>
      <c r="K17" s="58" t="s">
        <v>1078</v>
      </c>
      <c r="L17" s="62" t="s">
        <v>275</v>
      </c>
      <c r="M17" s="24" t="str">
        <f>"169,3850"</f>
        <v>169,3850</v>
      </c>
      <c r="N17" s="18" t="s">
        <v>1112</v>
      </c>
    </row>
    <row r="18" spans="1:14" ht="12.75">
      <c r="A18" s="61">
        <v>2</v>
      </c>
      <c r="B18" s="26" t="s">
        <v>610</v>
      </c>
      <c r="C18" s="24" t="s">
        <v>611</v>
      </c>
      <c r="D18" s="26" t="s">
        <v>612</v>
      </c>
      <c r="E18" s="26" t="str">
        <f>"1,7926"</f>
        <v>1,7926</v>
      </c>
      <c r="F18" s="26" t="s">
        <v>365</v>
      </c>
      <c r="G18" s="26" t="s">
        <v>366</v>
      </c>
      <c r="H18" s="66" t="s">
        <v>253</v>
      </c>
      <c r="I18" s="66" t="s">
        <v>289</v>
      </c>
      <c r="J18" s="67" t="s">
        <v>233</v>
      </c>
      <c r="K18" s="27"/>
      <c r="L18" s="56" t="s">
        <v>289</v>
      </c>
      <c r="M18" s="26" t="str">
        <f>"103,0745"</f>
        <v>103,0745</v>
      </c>
      <c r="N18" s="19" t="s">
        <v>368</v>
      </c>
    </row>
    <row r="19" spans="1:14" ht="12.75">
      <c r="A19" s="61">
        <v>1</v>
      </c>
      <c r="B19" s="24" t="s">
        <v>613</v>
      </c>
      <c r="C19" s="24" t="s">
        <v>614</v>
      </c>
      <c r="D19" s="24" t="s">
        <v>615</v>
      </c>
      <c r="E19" s="24" t="str">
        <f>"1,8783"</f>
        <v>1,8783</v>
      </c>
      <c r="F19" s="24" t="s">
        <v>365</v>
      </c>
      <c r="G19" s="24" t="s">
        <v>366</v>
      </c>
      <c r="H19" s="56" t="s">
        <v>233</v>
      </c>
      <c r="I19" s="58" t="s">
        <v>234</v>
      </c>
      <c r="J19" s="58" t="s">
        <v>234</v>
      </c>
      <c r="K19" s="25"/>
      <c r="L19" s="56" t="s">
        <v>233</v>
      </c>
      <c r="M19" s="24" t="str">
        <f>"112,7007"</f>
        <v>112,7007</v>
      </c>
      <c r="N19" s="18" t="s">
        <v>368</v>
      </c>
    </row>
    <row r="20" spans="2:13" ht="15.75">
      <c r="B20" s="171" t="s">
        <v>284</v>
      </c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</row>
    <row r="21" spans="1:14" ht="12.75">
      <c r="A21" s="61">
        <v>1</v>
      </c>
      <c r="B21" s="20" t="s">
        <v>616</v>
      </c>
      <c r="C21" s="20" t="s">
        <v>1555</v>
      </c>
      <c r="D21" s="20" t="s">
        <v>318</v>
      </c>
      <c r="E21" s="20" t="str">
        <f>"1,6688"</f>
        <v>1,6688</v>
      </c>
      <c r="F21" s="20" t="s">
        <v>1119</v>
      </c>
      <c r="G21" s="20" t="s">
        <v>136</v>
      </c>
      <c r="H21" s="62" t="s">
        <v>254</v>
      </c>
      <c r="I21" s="62" t="s">
        <v>233</v>
      </c>
      <c r="J21" s="62" t="s">
        <v>234</v>
      </c>
      <c r="K21" s="21"/>
      <c r="L21" s="62" t="s">
        <v>234</v>
      </c>
      <c r="M21" s="20" t="str">
        <f>"108,4720"</f>
        <v>108,4720</v>
      </c>
      <c r="N21" s="16" t="s">
        <v>337</v>
      </c>
    </row>
    <row r="22" spans="1:14" ht="12.75">
      <c r="A22" s="61">
        <v>1</v>
      </c>
      <c r="B22" s="24" t="s">
        <v>617</v>
      </c>
      <c r="C22" s="24" t="s">
        <v>119</v>
      </c>
      <c r="D22" s="24" t="s">
        <v>618</v>
      </c>
      <c r="E22" s="24" t="str">
        <f>"1,7440"</f>
        <v>1,7440</v>
      </c>
      <c r="F22" s="24" t="s">
        <v>27</v>
      </c>
      <c r="G22" s="24" t="s">
        <v>1187</v>
      </c>
      <c r="H22" s="56" t="s">
        <v>33</v>
      </c>
      <c r="I22" s="56" t="s">
        <v>238</v>
      </c>
      <c r="J22" s="56" t="s">
        <v>300</v>
      </c>
      <c r="K22" s="25"/>
      <c r="L22" s="56" t="s">
        <v>300</v>
      </c>
      <c r="M22" s="24" t="str">
        <f>"152,6000"</f>
        <v>152,6000</v>
      </c>
      <c r="N22" s="18" t="s">
        <v>111</v>
      </c>
    </row>
    <row r="23" spans="1:14" ht="12.75">
      <c r="A23" s="61">
        <v>2</v>
      </c>
      <c r="B23" s="22" t="s">
        <v>619</v>
      </c>
      <c r="C23" s="22" t="s">
        <v>620</v>
      </c>
      <c r="D23" s="22" t="s">
        <v>621</v>
      </c>
      <c r="E23" s="22" t="str">
        <f>"1,7676"</f>
        <v>1,7676</v>
      </c>
      <c r="F23" s="22" t="s">
        <v>27</v>
      </c>
      <c r="G23" s="22" t="s">
        <v>622</v>
      </c>
      <c r="H23" s="65" t="s">
        <v>289</v>
      </c>
      <c r="I23" s="65" t="s">
        <v>233</v>
      </c>
      <c r="J23" s="65" t="s">
        <v>234</v>
      </c>
      <c r="K23" s="23"/>
      <c r="L23" s="65" t="s">
        <v>234</v>
      </c>
      <c r="M23" s="22" t="str">
        <f>"114,8940"</f>
        <v>114,8940</v>
      </c>
      <c r="N23" s="17" t="s">
        <v>1116</v>
      </c>
    </row>
    <row r="24" spans="2:13" ht="15.75">
      <c r="B24" s="171" t="s">
        <v>1053</v>
      </c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</row>
    <row r="25" spans="2:13" ht="15.75">
      <c r="B25" s="171" t="s">
        <v>248</v>
      </c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</row>
    <row r="26" spans="1:14" ht="12.75">
      <c r="A26" s="61">
        <v>1</v>
      </c>
      <c r="B26" s="24" t="s">
        <v>623</v>
      </c>
      <c r="C26" s="24" t="s">
        <v>624</v>
      </c>
      <c r="D26" s="24" t="s">
        <v>625</v>
      </c>
      <c r="E26" s="24" t="str">
        <f>"1,6524"</f>
        <v>1,6524</v>
      </c>
      <c r="F26" s="24" t="s">
        <v>59</v>
      </c>
      <c r="G26" s="24" t="s">
        <v>60</v>
      </c>
      <c r="H26" s="58" t="s">
        <v>232</v>
      </c>
      <c r="I26" s="56" t="s">
        <v>253</v>
      </c>
      <c r="J26" s="58" t="s">
        <v>254</v>
      </c>
      <c r="K26" s="25"/>
      <c r="L26" s="56" t="s">
        <v>253</v>
      </c>
      <c r="M26" s="24" t="str">
        <f>"86,7510"</f>
        <v>86,7510</v>
      </c>
      <c r="N26" s="18" t="s">
        <v>493</v>
      </c>
    </row>
    <row r="27" spans="2:13" ht="15.75">
      <c r="B27" s="171" t="s">
        <v>257</v>
      </c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</row>
    <row r="28" spans="1:14" ht="12.75">
      <c r="A28" s="61">
        <v>1</v>
      </c>
      <c r="B28" s="20" t="s">
        <v>626</v>
      </c>
      <c r="C28" s="20" t="s">
        <v>627</v>
      </c>
      <c r="D28" s="20" t="s">
        <v>628</v>
      </c>
      <c r="E28" s="20" t="str">
        <f>"1,5084"</f>
        <v>1,5084</v>
      </c>
      <c r="F28" s="20" t="s">
        <v>27</v>
      </c>
      <c r="G28" s="20" t="s">
        <v>1185</v>
      </c>
      <c r="H28" s="63" t="s">
        <v>238</v>
      </c>
      <c r="I28" s="63" t="s">
        <v>300</v>
      </c>
      <c r="J28" s="62" t="s">
        <v>300</v>
      </c>
      <c r="K28" s="21"/>
      <c r="L28" s="62" t="s">
        <v>300</v>
      </c>
      <c r="M28" s="20" t="str">
        <f>"131,9850"</f>
        <v>131,9850</v>
      </c>
      <c r="N28" s="16" t="s">
        <v>629</v>
      </c>
    </row>
    <row r="29" spans="1:14" ht="12.75">
      <c r="A29" s="61">
        <v>1</v>
      </c>
      <c r="B29" s="24" t="s">
        <v>630</v>
      </c>
      <c r="C29" s="24" t="s">
        <v>631</v>
      </c>
      <c r="D29" s="24" t="s">
        <v>632</v>
      </c>
      <c r="E29" s="24" t="str">
        <f>"1,5680"</f>
        <v>1,5680</v>
      </c>
      <c r="F29" s="24" t="s">
        <v>27</v>
      </c>
      <c r="G29" s="24" t="s">
        <v>1185</v>
      </c>
      <c r="H29" s="58" t="s">
        <v>61</v>
      </c>
      <c r="I29" s="56" t="s">
        <v>255</v>
      </c>
      <c r="J29" s="58" t="s">
        <v>62</v>
      </c>
      <c r="K29" s="25"/>
      <c r="L29" s="56" t="s">
        <v>255</v>
      </c>
      <c r="M29" s="24" t="str">
        <f>"164,6400"</f>
        <v>164,6400</v>
      </c>
      <c r="N29" s="18" t="s">
        <v>629</v>
      </c>
    </row>
    <row r="30" spans="1:14" ht="12.75">
      <c r="A30" s="61">
        <v>1</v>
      </c>
      <c r="B30" s="22" t="s">
        <v>633</v>
      </c>
      <c r="C30" s="22" t="s">
        <v>634</v>
      </c>
      <c r="D30" s="22" t="s">
        <v>635</v>
      </c>
      <c r="E30" s="22" t="str">
        <f>"1,4600"</f>
        <v>1,4600</v>
      </c>
      <c r="F30" s="22" t="s">
        <v>27</v>
      </c>
      <c r="G30" s="22" t="s">
        <v>557</v>
      </c>
      <c r="H30" s="65" t="s">
        <v>61</v>
      </c>
      <c r="I30" s="64" t="s">
        <v>62</v>
      </c>
      <c r="J30" s="23"/>
      <c r="K30" s="23"/>
      <c r="L30" s="65" t="s">
        <v>61</v>
      </c>
      <c r="M30" s="22" t="str">
        <f>"146,0000"</f>
        <v>146,0000</v>
      </c>
      <c r="N30" s="17" t="s">
        <v>111</v>
      </c>
    </row>
    <row r="31" spans="2:13" ht="15.75">
      <c r="B31" s="171" t="s">
        <v>284</v>
      </c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</row>
    <row r="32" spans="1:14" ht="12.75">
      <c r="A32" s="61">
        <v>1</v>
      </c>
      <c r="B32" s="20" t="s">
        <v>636</v>
      </c>
      <c r="C32" s="20" t="s">
        <v>637</v>
      </c>
      <c r="D32" s="20" t="s">
        <v>638</v>
      </c>
      <c r="E32" s="20" t="str">
        <f>"1,2876"</f>
        <v>1,2876</v>
      </c>
      <c r="F32" s="20" t="s">
        <v>27</v>
      </c>
      <c r="G32" s="20" t="s">
        <v>639</v>
      </c>
      <c r="H32" s="62" t="s">
        <v>19</v>
      </c>
      <c r="I32" s="63" t="s">
        <v>32</v>
      </c>
      <c r="J32" s="62" t="s">
        <v>32</v>
      </c>
      <c r="K32" s="21"/>
      <c r="L32" s="62" t="s">
        <v>32</v>
      </c>
      <c r="M32" s="20" t="str">
        <f>"103,0080"</f>
        <v>103,0080</v>
      </c>
      <c r="N32" s="16" t="s">
        <v>640</v>
      </c>
    </row>
    <row r="33" spans="1:14" ht="12.75">
      <c r="A33" s="61">
        <v>1</v>
      </c>
      <c r="B33" s="24" t="s">
        <v>641</v>
      </c>
      <c r="C33" s="24" t="s">
        <v>642</v>
      </c>
      <c r="D33" s="24" t="s">
        <v>643</v>
      </c>
      <c r="E33" s="24" t="str">
        <f>"1,2618"</f>
        <v>1,2618</v>
      </c>
      <c r="F33" s="24" t="s">
        <v>1119</v>
      </c>
      <c r="G33" s="24" t="s">
        <v>136</v>
      </c>
      <c r="H33" s="56" t="s">
        <v>53</v>
      </c>
      <c r="I33" s="58" t="s">
        <v>15</v>
      </c>
      <c r="J33" s="58" t="s">
        <v>15</v>
      </c>
      <c r="K33" s="25"/>
      <c r="L33" s="56" t="s">
        <v>53</v>
      </c>
      <c r="M33" s="24" t="str">
        <f>"138,7980"</f>
        <v>138,7980</v>
      </c>
      <c r="N33" s="18" t="s">
        <v>644</v>
      </c>
    </row>
    <row r="34" spans="2:14" ht="12.75">
      <c r="B34" s="26" t="s">
        <v>645</v>
      </c>
      <c r="C34" s="26" t="s">
        <v>646</v>
      </c>
      <c r="D34" s="26" t="s">
        <v>647</v>
      </c>
      <c r="E34" s="26" t="str">
        <f>"1,2594"</f>
        <v>1,2594</v>
      </c>
      <c r="F34" s="26" t="s">
        <v>648</v>
      </c>
      <c r="G34" s="26" t="s">
        <v>148</v>
      </c>
      <c r="H34" s="67" t="s">
        <v>649</v>
      </c>
      <c r="I34" s="67" t="s">
        <v>16</v>
      </c>
      <c r="J34" s="67" t="s">
        <v>16</v>
      </c>
      <c r="K34" s="27"/>
      <c r="L34" s="75">
        <v>0</v>
      </c>
      <c r="M34" s="114" t="str">
        <f>"0,0000"</f>
        <v>0,0000</v>
      </c>
      <c r="N34" s="19" t="s">
        <v>111</v>
      </c>
    </row>
    <row r="35" spans="1:14" ht="12.75">
      <c r="A35" s="61">
        <v>1</v>
      </c>
      <c r="B35" s="24" t="s">
        <v>650</v>
      </c>
      <c r="C35" s="24" t="s">
        <v>651</v>
      </c>
      <c r="D35" s="24" t="s">
        <v>652</v>
      </c>
      <c r="E35" s="24" t="str">
        <f>"1,2370"</f>
        <v>1,2370</v>
      </c>
      <c r="F35" s="24" t="s">
        <v>27</v>
      </c>
      <c r="G35" s="24" t="s">
        <v>148</v>
      </c>
      <c r="H35" s="56" t="s">
        <v>649</v>
      </c>
      <c r="I35" s="56" t="s">
        <v>29</v>
      </c>
      <c r="J35" s="56" t="s">
        <v>34</v>
      </c>
      <c r="K35" s="25"/>
      <c r="L35" s="56" t="s">
        <v>34</v>
      </c>
      <c r="M35" s="24" t="str">
        <f>"160,8100"</f>
        <v>160,8100</v>
      </c>
      <c r="N35" s="18" t="s">
        <v>111</v>
      </c>
    </row>
    <row r="36" spans="1:14" ht="12.75">
      <c r="A36" s="61">
        <v>2</v>
      </c>
      <c r="B36" s="26" t="s">
        <v>653</v>
      </c>
      <c r="C36" s="26" t="s">
        <v>654</v>
      </c>
      <c r="D36" s="26" t="s">
        <v>655</v>
      </c>
      <c r="E36" s="26" t="str">
        <f>"1,2640"</f>
        <v>1,2640</v>
      </c>
      <c r="F36" s="26" t="s">
        <v>27</v>
      </c>
      <c r="G36" s="26" t="s">
        <v>557</v>
      </c>
      <c r="H36" s="66" t="s">
        <v>61</v>
      </c>
      <c r="I36" s="66" t="s">
        <v>14</v>
      </c>
      <c r="J36" s="67" t="s">
        <v>1079</v>
      </c>
      <c r="K36" s="27"/>
      <c r="L36" s="66" t="s">
        <v>14</v>
      </c>
      <c r="M36" s="26" t="str">
        <f>"135,8800"</f>
        <v>135,8800</v>
      </c>
      <c r="N36" s="19" t="s">
        <v>111</v>
      </c>
    </row>
    <row r="37" spans="2:14" ht="12.75">
      <c r="B37" s="24" t="s">
        <v>656</v>
      </c>
      <c r="C37" s="24" t="s">
        <v>657</v>
      </c>
      <c r="D37" s="24" t="s">
        <v>658</v>
      </c>
      <c r="E37" s="24" t="str">
        <f>"1,2660"</f>
        <v>1,2660</v>
      </c>
      <c r="F37" s="24" t="s">
        <v>1119</v>
      </c>
      <c r="G37" s="24" t="s">
        <v>136</v>
      </c>
      <c r="H37" s="58" t="s">
        <v>294</v>
      </c>
      <c r="I37" s="58" t="s">
        <v>294</v>
      </c>
      <c r="J37" s="58" t="s">
        <v>294</v>
      </c>
      <c r="K37" s="25"/>
      <c r="L37" s="60">
        <v>0</v>
      </c>
      <c r="M37" s="113" t="str">
        <f>"0,0000"</f>
        <v>0,0000</v>
      </c>
      <c r="N37" s="18" t="s">
        <v>644</v>
      </c>
    </row>
    <row r="38" spans="2:14" ht="12.75">
      <c r="B38" s="26" t="s">
        <v>659</v>
      </c>
      <c r="C38" s="26" t="s">
        <v>660</v>
      </c>
      <c r="D38" s="26" t="s">
        <v>661</v>
      </c>
      <c r="E38" s="26" t="str">
        <f>"1,2508"</f>
        <v>1,2508</v>
      </c>
      <c r="F38" s="26" t="s">
        <v>1117</v>
      </c>
      <c r="G38" s="26" t="s">
        <v>662</v>
      </c>
      <c r="H38" s="67" t="s">
        <v>16</v>
      </c>
      <c r="I38" s="67" t="s">
        <v>16</v>
      </c>
      <c r="J38" s="67" t="s">
        <v>16</v>
      </c>
      <c r="K38" s="27"/>
      <c r="L38" s="75">
        <v>0</v>
      </c>
      <c r="M38" s="114" t="str">
        <f>"0,0000"</f>
        <v>0,0000</v>
      </c>
      <c r="N38" s="19" t="s">
        <v>663</v>
      </c>
    </row>
    <row r="39" spans="1:14" ht="12.75">
      <c r="A39" s="61">
        <v>1</v>
      </c>
      <c r="B39" s="24" t="s">
        <v>664</v>
      </c>
      <c r="C39" s="24" t="s">
        <v>665</v>
      </c>
      <c r="D39" s="24" t="s">
        <v>666</v>
      </c>
      <c r="E39" s="24" t="str">
        <f>"1,7615"</f>
        <v>1,7615</v>
      </c>
      <c r="F39" s="24" t="s">
        <v>853</v>
      </c>
      <c r="G39" s="24" t="s">
        <v>148</v>
      </c>
      <c r="H39" s="58" t="s">
        <v>238</v>
      </c>
      <c r="I39" s="56" t="s">
        <v>300</v>
      </c>
      <c r="J39" s="56" t="s">
        <v>239</v>
      </c>
      <c r="K39" s="25"/>
      <c r="L39" s="56" t="s">
        <v>239</v>
      </c>
      <c r="M39" s="24" t="str">
        <f>"158,5332"</f>
        <v>158,5332</v>
      </c>
      <c r="N39" s="18" t="s">
        <v>111</v>
      </c>
    </row>
    <row r="40" spans="2:13" ht="15.75">
      <c r="B40" s="171" t="s">
        <v>23</v>
      </c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</row>
    <row r="41" spans="2:14" ht="12.75">
      <c r="B41" s="20" t="s">
        <v>321</v>
      </c>
      <c r="C41" s="20" t="s">
        <v>322</v>
      </c>
      <c r="D41" s="20" t="s">
        <v>667</v>
      </c>
      <c r="E41" s="20" t="str">
        <f>"1,1534"</f>
        <v>1,1534</v>
      </c>
      <c r="F41" s="20" t="s">
        <v>59</v>
      </c>
      <c r="G41" s="20" t="s">
        <v>60</v>
      </c>
      <c r="H41" s="63" t="s">
        <v>19</v>
      </c>
      <c r="I41" s="63"/>
      <c r="J41" s="63"/>
      <c r="K41" s="63"/>
      <c r="L41" s="74" t="s">
        <v>1051</v>
      </c>
      <c r="M41" s="73" t="str">
        <f>"0,0000"</f>
        <v>0,0000</v>
      </c>
      <c r="N41" s="16" t="s">
        <v>324</v>
      </c>
    </row>
    <row r="42" spans="1:14" ht="12.75">
      <c r="A42" s="61">
        <v>1</v>
      </c>
      <c r="B42" s="24" t="s">
        <v>668</v>
      </c>
      <c r="C42" s="24" t="s">
        <v>669</v>
      </c>
      <c r="D42" s="24" t="s">
        <v>670</v>
      </c>
      <c r="E42" s="24" t="str">
        <f>"1,1170"</f>
        <v>1,1170</v>
      </c>
      <c r="F42" s="24" t="s">
        <v>27</v>
      </c>
      <c r="G42" s="24" t="s">
        <v>1185</v>
      </c>
      <c r="H42" s="56" t="s">
        <v>61</v>
      </c>
      <c r="I42" s="56" t="s">
        <v>255</v>
      </c>
      <c r="J42" s="56" t="s">
        <v>14</v>
      </c>
      <c r="K42" s="25"/>
      <c r="L42" s="56" t="s">
        <v>14</v>
      </c>
      <c r="M42" s="24" t="str">
        <f>"120,0775"</f>
        <v>120,0775</v>
      </c>
      <c r="N42" s="18" t="s">
        <v>629</v>
      </c>
    </row>
    <row r="43" spans="1:14" ht="12.75">
      <c r="A43" s="61">
        <v>1</v>
      </c>
      <c r="B43" s="26" t="s">
        <v>671</v>
      </c>
      <c r="C43" s="26" t="s">
        <v>672</v>
      </c>
      <c r="D43" s="26" t="s">
        <v>673</v>
      </c>
      <c r="E43" s="26" t="str">
        <f>"1,1438"</f>
        <v>1,1438</v>
      </c>
      <c r="F43" s="26" t="s">
        <v>164</v>
      </c>
      <c r="G43" s="24" t="s">
        <v>1186</v>
      </c>
      <c r="H43" s="66" t="s">
        <v>53</v>
      </c>
      <c r="I43" s="67" t="s">
        <v>649</v>
      </c>
      <c r="J43" s="67" t="s">
        <v>649</v>
      </c>
      <c r="K43" s="27"/>
      <c r="L43" s="66" t="s">
        <v>53</v>
      </c>
      <c r="M43" s="26" t="str">
        <f>"125,8180"</f>
        <v>125,8180</v>
      </c>
      <c r="N43" s="19" t="s">
        <v>165</v>
      </c>
    </row>
    <row r="44" spans="1:14" ht="12.75">
      <c r="A44" s="61">
        <v>1</v>
      </c>
      <c r="B44" s="24" t="s">
        <v>674</v>
      </c>
      <c r="C44" s="24" t="s">
        <v>675</v>
      </c>
      <c r="D44" s="24" t="s">
        <v>676</v>
      </c>
      <c r="E44" s="24" t="str">
        <f>"1,1272"</f>
        <v>1,1272</v>
      </c>
      <c r="F44" s="24" t="s">
        <v>332</v>
      </c>
      <c r="G44" s="24" t="s">
        <v>28</v>
      </c>
      <c r="H44" s="56" t="s">
        <v>91</v>
      </c>
      <c r="I44" s="56" t="s">
        <v>302</v>
      </c>
      <c r="J44" s="58" t="s">
        <v>20</v>
      </c>
      <c r="K44" s="25"/>
      <c r="L44" s="56" t="s">
        <v>302</v>
      </c>
      <c r="M44" s="24" t="str">
        <f>"171,8980"</f>
        <v>171,8980</v>
      </c>
      <c r="N44" s="18" t="s">
        <v>111</v>
      </c>
    </row>
    <row r="45" spans="1:14" ht="12.75">
      <c r="A45" s="61">
        <v>2</v>
      </c>
      <c r="B45" s="26" t="s">
        <v>330</v>
      </c>
      <c r="C45" s="26" t="s">
        <v>331</v>
      </c>
      <c r="D45" s="26" t="s">
        <v>323</v>
      </c>
      <c r="E45" s="26" t="str">
        <f>"1,1550"</f>
        <v>1,1550</v>
      </c>
      <c r="F45" s="26" t="s">
        <v>332</v>
      </c>
      <c r="G45" s="26" t="s">
        <v>28</v>
      </c>
      <c r="H45" s="66" t="s">
        <v>99</v>
      </c>
      <c r="I45" s="66" t="s">
        <v>301</v>
      </c>
      <c r="J45" s="66" t="s">
        <v>91</v>
      </c>
      <c r="K45" s="27"/>
      <c r="L45" s="66" t="s">
        <v>91</v>
      </c>
      <c r="M45" s="26" t="str">
        <f>"173,2500"</f>
        <v>173,2500</v>
      </c>
      <c r="N45" s="19" t="s">
        <v>111</v>
      </c>
    </row>
    <row r="46" spans="1:14" ht="12.75">
      <c r="A46" s="61">
        <v>3</v>
      </c>
      <c r="B46" s="24" t="s">
        <v>677</v>
      </c>
      <c r="C46" s="24" t="s">
        <v>678</v>
      </c>
      <c r="D46" s="24" t="s">
        <v>673</v>
      </c>
      <c r="E46" s="24" t="str">
        <f>"1,1438"</f>
        <v>1,1438</v>
      </c>
      <c r="F46" s="24" t="s">
        <v>27</v>
      </c>
      <c r="G46" s="24" t="s">
        <v>557</v>
      </c>
      <c r="H46" s="56" t="s">
        <v>301</v>
      </c>
      <c r="I46" s="58" t="s">
        <v>20</v>
      </c>
      <c r="J46" s="58" t="s">
        <v>20</v>
      </c>
      <c r="K46" s="25"/>
      <c r="L46" s="56" t="s">
        <v>301</v>
      </c>
      <c r="M46" s="24" t="str">
        <f>"168,7105"</f>
        <v>168,7105</v>
      </c>
      <c r="N46" s="18" t="s">
        <v>111</v>
      </c>
    </row>
    <row r="47" spans="1:14" ht="12.75">
      <c r="A47" s="61">
        <v>4</v>
      </c>
      <c r="B47" s="26" t="s">
        <v>679</v>
      </c>
      <c r="C47" s="26" t="s">
        <v>680</v>
      </c>
      <c r="D47" s="26" t="s">
        <v>681</v>
      </c>
      <c r="E47" s="26" t="str">
        <f>"1,1812"</f>
        <v>1,1812</v>
      </c>
      <c r="F47" s="26" t="s">
        <v>332</v>
      </c>
      <c r="G47" s="26" t="s">
        <v>28</v>
      </c>
      <c r="H47" s="66" t="s">
        <v>30</v>
      </c>
      <c r="I47" s="67" t="s">
        <v>35</v>
      </c>
      <c r="J47" s="66" t="s">
        <v>35</v>
      </c>
      <c r="K47" s="27"/>
      <c r="L47" s="66" t="s">
        <v>35</v>
      </c>
      <c r="M47" s="26" t="str">
        <f>"165,3680"</f>
        <v>165,3680</v>
      </c>
      <c r="N47" s="19" t="s">
        <v>111</v>
      </c>
    </row>
    <row r="48" spans="1:14" ht="12.75">
      <c r="A48" s="61">
        <v>5</v>
      </c>
      <c r="B48" s="24" t="s">
        <v>682</v>
      </c>
      <c r="C48" s="24" t="s">
        <v>683</v>
      </c>
      <c r="D48" s="24" t="s">
        <v>684</v>
      </c>
      <c r="E48" s="24" t="str">
        <f>"1,1660"</f>
        <v>1,1660</v>
      </c>
      <c r="F48" s="24" t="s">
        <v>27</v>
      </c>
      <c r="G48" s="24" t="s">
        <v>348</v>
      </c>
      <c r="H48" s="56" t="s">
        <v>649</v>
      </c>
      <c r="I48" s="56" t="s">
        <v>299</v>
      </c>
      <c r="J48" s="58" t="s">
        <v>685</v>
      </c>
      <c r="K48" s="25"/>
      <c r="L48" s="56" t="s">
        <v>299</v>
      </c>
      <c r="M48" s="24" t="str">
        <f>"142,8350"</f>
        <v>142,8350</v>
      </c>
      <c r="N48" s="18" t="s">
        <v>111</v>
      </c>
    </row>
    <row r="49" spans="1:14" ht="12.75">
      <c r="A49" s="61">
        <v>6</v>
      </c>
      <c r="B49" s="26" t="s">
        <v>686</v>
      </c>
      <c r="C49" s="26" t="s">
        <v>687</v>
      </c>
      <c r="D49" s="26" t="s">
        <v>688</v>
      </c>
      <c r="E49" s="26" t="str">
        <f>"1,1320"</f>
        <v>1,1320</v>
      </c>
      <c r="F49" s="26" t="s">
        <v>27</v>
      </c>
      <c r="G49" s="26" t="s">
        <v>503</v>
      </c>
      <c r="H49" s="67" t="s">
        <v>53</v>
      </c>
      <c r="I49" s="66" t="s">
        <v>53</v>
      </c>
      <c r="J49" s="67" t="s">
        <v>649</v>
      </c>
      <c r="K49" s="27"/>
      <c r="L49" s="66" t="s">
        <v>53</v>
      </c>
      <c r="M49" s="26" t="str">
        <f>"124,5200"</f>
        <v>124,5200</v>
      </c>
      <c r="N49" s="19" t="s">
        <v>689</v>
      </c>
    </row>
    <row r="50" spans="1:14" ht="12.75">
      <c r="A50" s="61">
        <v>7</v>
      </c>
      <c r="B50" s="24" t="s">
        <v>690</v>
      </c>
      <c r="C50" s="24" t="s">
        <v>691</v>
      </c>
      <c r="D50" s="24" t="s">
        <v>692</v>
      </c>
      <c r="E50" s="24" t="str">
        <f>"1,1288"</f>
        <v>1,1288</v>
      </c>
      <c r="F50" s="24" t="s">
        <v>87</v>
      </c>
      <c r="G50" s="24" t="s">
        <v>88</v>
      </c>
      <c r="H50" s="56" t="s">
        <v>275</v>
      </c>
      <c r="I50" s="58" t="s">
        <v>61</v>
      </c>
      <c r="J50" s="58" t="s">
        <v>61</v>
      </c>
      <c r="K50" s="25"/>
      <c r="L50" s="56" t="s">
        <v>275</v>
      </c>
      <c r="M50" s="24" t="str">
        <f>"107,2360"</f>
        <v>107,2360</v>
      </c>
      <c r="N50" s="18" t="s">
        <v>93</v>
      </c>
    </row>
    <row r="51" spans="1:14" ht="12.75">
      <c r="A51" s="61">
        <v>1</v>
      </c>
      <c r="B51" s="22" t="s">
        <v>693</v>
      </c>
      <c r="C51" s="22" t="s">
        <v>694</v>
      </c>
      <c r="D51" s="22" t="s">
        <v>39</v>
      </c>
      <c r="E51" s="22" t="str">
        <f>"1,1194"</f>
        <v>1,1194</v>
      </c>
      <c r="F51" s="22" t="s">
        <v>59</v>
      </c>
      <c r="G51" s="22" t="s">
        <v>60</v>
      </c>
      <c r="H51" s="65" t="s">
        <v>255</v>
      </c>
      <c r="I51" s="65" t="s">
        <v>53</v>
      </c>
      <c r="J51" s="64" t="s">
        <v>62</v>
      </c>
      <c r="K51" s="23"/>
      <c r="L51" s="65" t="s">
        <v>53</v>
      </c>
      <c r="M51" s="22" t="str">
        <f>"123,1340"</f>
        <v>123,1340</v>
      </c>
      <c r="N51" s="17" t="s">
        <v>493</v>
      </c>
    </row>
    <row r="52" spans="2:13" ht="15.75">
      <c r="B52" s="171" t="s">
        <v>66</v>
      </c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</row>
    <row r="53" spans="1:14" ht="12.75">
      <c r="A53" s="61">
        <v>1</v>
      </c>
      <c r="B53" s="20" t="s">
        <v>695</v>
      </c>
      <c r="C53" s="20" t="s">
        <v>696</v>
      </c>
      <c r="D53" s="20" t="s">
        <v>697</v>
      </c>
      <c r="E53" s="20" t="str">
        <f>"1,0464"</f>
        <v>1,0464</v>
      </c>
      <c r="F53" s="20" t="s">
        <v>164</v>
      </c>
      <c r="G53" s="24" t="s">
        <v>1186</v>
      </c>
      <c r="H53" s="62" t="s">
        <v>53</v>
      </c>
      <c r="I53" s="62" t="s">
        <v>685</v>
      </c>
      <c r="J53" s="63" t="s">
        <v>367</v>
      </c>
      <c r="K53" s="21"/>
      <c r="L53" s="62" t="s">
        <v>685</v>
      </c>
      <c r="M53" s="20" t="str">
        <f>"133,4160"</f>
        <v>133,4160</v>
      </c>
      <c r="N53" s="16" t="s">
        <v>165</v>
      </c>
    </row>
    <row r="54" spans="1:14" ht="12.75">
      <c r="A54" s="61">
        <v>1</v>
      </c>
      <c r="B54" s="24" t="s">
        <v>698</v>
      </c>
      <c r="C54" s="24" t="s">
        <v>1556</v>
      </c>
      <c r="D54" s="24" t="s">
        <v>699</v>
      </c>
      <c r="E54" s="24" t="str">
        <f>"1,0456"</f>
        <v>1,0456</v>
      </c>
      <c r="F54" s="24" t="s">
        <v>1119</v>
      </c>
      <c r="G54" s="24" t="s">
        <v>136</v>
      </c>
      <c r="H54" s="56" t="s">
        <v>16</v>
      </c>
      <c r="I54" s="56" t="s">
        <v>685</v>
      </c>
      <c r="J54" s="56" t="s">
        <v>30</v>
      </c>
      <c r="K54" s="25"/>
      <c r="L54" s="56" t="s">
        <v>30</v>
      </c>
      <c r="M54" s="24" t="str">
        <f>"141,1560"</f>
        <v>141,1560</v>
      </c>
      <c r="N54" s="18" t="s">
        <v>644</v>
      </c>
    </row>
    <row r="55" spans="1:14" ht="12.75">
      <c r="A55" s="61">
        <v>1</v>
      </c>
      <c r="B55" s="26" t="s">
        <v>700</v>
      </c>
      <c r="C55" s="26" t="s">
        <v>701</v>
      </c>
      <c r="D55" s="26" t="s">
        <v>417</v>
      </c>
      <c r="E55" s="26" t="str">
        <f>"1,0298"</f>
        <v>1,0298</v>
      </c>
      <c r="F55" s="26" t="s">
        <v>27</v>
      </c>
      <c r="G55" s="26" t="s">
        <v>148</v>
      </c>
      <c r="H55" s="67" t="s">
        <v>20</v>
      </c>
      <c r="I55" s="66" t="s">
        <v>172</v>
      </c>
      <c r="J55" s="67" t="s">
        <v>21</v>
      </c>
      <c r="K55" s="27"/>
      <c r="L55" s="66" t="s">
        <v>172</v>
      </c>
      <c r="M55" s="26" t="str">
        <f>"162,1935"</f>
        <v>162,1935</v>
      </c>
      <c r="N55" s="19" t="s">
        <v>111</v>
      </c>
    </row>
    <row r="56" spans="1:14" ht="12.75">
      <c r="A56" s="61">
        <v>2</v>
      </c>
      <c r="B56" s="24" t="s">
        <v>702</v>
      </c>
      <c r="C56" s="24" t="s">
        <v>38</v>
      </c>
      <c r="D56" s="24" t="s">
        <v>697</v>
      </c>
      <c r="E56" s="24" t="str">
        <f>"1,0464"</f>
        <v>1,0464</v>
      </c>
      <c r="F56" s="24" t="s">
        <v>332</v>
      </c>
      <c r="G56" s="24" t="s">
        <v>28</v>
      </c>
      <c r="H56" s="56" t="s">
        <v>137</v>
      </c>
      <c r="I56" s="56" t="s">
        <v>91</v>
      </c>
      <c r="J56" s="58" t="s">
        <v>302</v>
      </c>
      <c r="K56" s="25"/>
      <c r="L56" s="56" t="s">
        <v>91</v>
      </c>
      <c r="M56" s="24" t="str">
        <f>"156,9600"</f>
        <v>156,9600</v>
      </c>
      <c r="N56" s="18" t="s">
        <v>111</v>
      </c>
    </row>
    <row r="57" spans="1:14" ht="12.75">
      <c r="A57" s="61">
        <v>3</v>
      </c>
      <c r="B57" s="26" t="s">
        <v>341</v>
      </c>
      <c r="C57" s="26" t="s">
        <v>342</v>
      </c>
      <c r="D57" s="26" t="s">
        <v>343</v>
      </c>
      <c r="E57" s="26" t="str">
        <f>"1,0328"</f>
        <v>1,0328</v>
      </c>
      <c r="F57" s="26" t="s">
        <v>1119</v>
      </c>
      <c r="G57" s="26" t="s">
        <v>136</v>
      </c>
      <c r="H57" s="66" t="s">
        <v>35</v>
      </c>
      <c r="I57" s="66" t="s">
        <v>137</v>
      </c>
      <c r="J57" s="66" t="s">
        <v>301</v>
      </c>
      <c r="K57" s="27"/>
      <c r="L57" s="66" t="s">
        <v>301</v>
      </c>
      <c r="M57" s="26" t="str">
        <f>"152,3380"</f>
        <v>152,3380</v>
      </c>
      <c r="N57" s="19" t="s">
        <v>344</v>
      </c>
    </row>
    <row r="58" spans="1:14" ht="12.75">
      <c r="A58" s="61">
        <v>1</v>
      </c>
      <c r="B58" s="24" t="s">
        <v>703</v>
      </c>
      <c r="C58" s="24" t="s">
        <v>704</v>
      </c>
      <c r="D58" s="24" t="s">
        <v>699</v>
      </c>
      <c r="E58" s="24" t="str">
        <f>"1,0749"</f>
        <v>1,0749</v>
      </c>
      <c r="F58" s="24" t="s">
        <v>27</v>
      </c>
      <c r="G58" s="24" t="s">
        <v>319</v>
      </c>
      <c r="H58" s="56" t="s">
        <v>239</v>
      </c>
      <c r="I58" s="58" t="s">
        <v>705</v>
      </c>
      <c r="J58" s="58" t="s">
        <v>275</v>
      </c>
      <c r="K58" s="25"/>
      <c r="L58" s="56" t="s">
        <v>239</v>
      </c>
      <c r="M58" s="24" t="str">
        <f>"96,7389"</f>
        <v>96,7389</v>
      </c>
      <c r="N58" s="18" t="s">
        <v>320</v>
      </c>
    </row>
    <row r="59" spans="1:14" ht="12.75">
      <c r="A59" s="61">
        <v>1</v>
      </c>
      <c r="B59" s="22" t="s">
        <v>706</v>
      </c>
      <c r="C59" s="22" t="s">
        <v>707</v>
      </c>
      <c r="D59" s="22" t="s">
        <v>477</v>
      </c>
      <c r="E59" s="22" t="str">
        <f>"1,4844"</f>
        <v>1,4844</v>
      </c>
      <c r="F59" s="22" t="s">
        <v>244</v>
      </c>
      <c r="G59" s="22" t="s">
        <v>152</v>
      </c>
      <c r="H59" s="65" t="s">
        <v>294</v>
      </c>
      <c r="I59" s="65" t="s">
        <v>14</v>
      </c>
      <c r="J59" s="64" t="s">
        <v>62</v>
      </c>
      <c r="K59" s="23"/>
      <c r="L59" s="65" t="s">
        <v>14</v>
      </c>
      <c r="M59" s="22" t="str">
        <f>"159,5782"</f>
        <v>159,5782</v>
      </c>
      <c r="N59" s="17" t="s">
        <v>247</v>
      </c>
    </row>
    <row r="60" spans="2:13" ht="15.75">
      <c r="B60" s="171" t="s">
        <v>100</v>
      </c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</row>
    <row r="61" spans="1:14" ht="12.75">
      <c r="A61" s="61">
        <v>1</v>
      </c>
      <c r="B61" s="20" t="s">
        <v>708</v>
      </c>
      <c r="C61" s="20" t="s">
        <v>709</v>
      </c>
      <c r="D61" s="20" t="s">
        <v>710</v>
      </c>
      <c r="E61" s="20" t="str">
        <f>"0,9884"</f>
        <v>0,9884</v>
      </c>
      <c r="F61" s="20" t="s">
        <v>59</v>
      </c>
      <c r="G61" s="20" t="s">
        <v>60</v>
      </c>
      <c r="H61" s="62" t="s">
        <v>44</v>
      </c>
      <c r="I61" s="62" t="s">
        <v>46</v>
      </c>
      <c r="J61" s="63" t="s">
        <v>52</v>
      </c>
      <c r="K61" s="21"/>
      <c r="L61" s="62" t="s">
        <v>46</v>
      </c>
      <c r="M61" s="20" t="str">
        <f>"172,9700"</f>
        <v>172,9700</v>
      </c>
      <c r="N61" s="16" t="s">
        <v>493</v>
      </c>
    </row>
    <row r="62" spans="1:14" ht="12.75">
      <c r="A62" s="61">
        <v>2</v>
      </c>
      <c r="B62" s="24" t="s">
        <v>711</v>
      </c>
      <c r="C62" s="24" t="s">
        <v>712</v>
      </c>
      <c r="D62" s="24" t="s">
        <v>347</v>
      </c>
      <c r="E62" s="24" t="str">
        <f>"0,9878"</f>
        <v>0,9878</v>
      </c>
      <c r="F62" s="24" t="s">
        <v>27</v>
      </c>
      <c r="G62" s="24" t="s">
        <v>88</v>
      </c>
      <c r="H62" s="56" t="s">
        <v>72</v>
      </c>
      <c r="I62" s="56" t="s">
        <v>45</v>
      </c>
      <c r="J62" s="58" t="s">
        <v>46</v>
      </c>
      <c r="K62" s="25"/>
      <c r="L62" s="56" t="s">
        <v>45</v>
      </c>
      <c r="M62" s="24" t="str">
        <f>"167,9260"</f>
        <v>167,9260</v>
      </c>
      <c r="N62" s="18" t="s">
        <v>111</v>
      </c>
    </row>
    <row r="63" spans="1:14" ht="12.75">
      <c r="A63" s="61">
        <v>3</v>
      </c>
      <c r="B63" s="26" t="s">
        <v>713</v>
      </c>
      <c r="C63" s="26" t="s">
        <v>714</v>
      </c>
      <c r="D63" s="26" t="s">
        <v>715</v>
      </c>
      <c r="E63" s="26" t="str">
        <f>"0,9870"</f>
        <v>0,9870</v>
      </c>
      <c r="F63" s="26" t="s">
        <v>27</v>
      </c>
      <c r="G63" s="26" t="s">
        <v>88</v>
      </c>
      <c r="H63" s="66" t="s">
        <v>72</v>
      </c>
      <c r="I63" s="67" t="s">
        <v>46</v>
      </c>
      <c r="J63" s="67" t="s">
        <v>46</v>
      </c>
      <c r="K63" s="27"/>
      <c r="L63" s="66" t="s">
        <v>72</v>
      </c>
      <c r="M63" s="26" t="str">
        <f>"162,8550"</f>
        <v>162,8550</v>
      </c>
      <c r="N63" s="19" t="s">
        <v>716</v>
      </c>
    </row>
    <row r="64" spans="1:14" ht="12.75">
      <c r="A64" s="61">
        <v>4</v>
      </c>
      <c r="B64" s="24" t="s">
        <v>717</v>
      </c>
      <c r="C64" s="24" t="s">
        <v>718</v>
      </c>
      <c r="D64" s="24" t="s">
        <v>719</v>
      </c>
      <c r="E64" s="24" t="str">
        <f>"0,9768"</f>
        <v>0,9768</v>
      </c>
      <c r="F64" s="24" t="s">
        <v>1119</v>
      </c>
      <c r="G64" s="24" t="s">
        <v>136</v>
      </c>
      <c r="H64" s="56" t="s">
        <v>137</v>
      </c>
      <c r="I64" s="56" t="s">
        <v>91</v>
      </c>
      <c r="J64" s="58" t="s">
        <v>20</v>
      </c>
      <c r="K64" s="25"/>
      <c r="L64" s="56" t="s">
        <v>91</v>
      </c>
      <c r="M64" s="24" t="str">
        <f>"146,5200"</f>
        <v>146,5200</v>
      </c>
      <c r="N64" s="18" t="s">
        <v>337</v>
      </c>
    </row>
    <row r="65" spans="1:14" ht="12.75">
      <c r="A65" s="61">
        <v>1</v>
      </c>
      <c r="B65" s="26" t="s">
        <v>720</v>
      </c>
      <c r="C65" s="26" t="s">
        <v>721</v>
      </c>
      <c r="D65" s="26" t="s">
        <v>722</v>
      </c>
      <c r="E65" s="26" t="str">
        <f>"0,9738"</f>
        <v>0,9738</v>
      </c>
      <c r="F65" s="26" t="s">
        <v>1119</v>
      </c>
      <c r="G65" s="26" t="s">
        <v>136</v>
      </c>
      <c r="H65" s="67" t="s">
        <v>137</v>
      </c>
      <c r="I65" s="66" t="s">
        <v>137</v>
      </c>
      <c r="J65" s="67" t="s">
        <v>302</v>
      </c>
      <c r="K65" s="27"/>
      <c r="L65" s="66" t="s">
        <v>137</v>
      </c>
      <c r="M65" s="26" t="str">
        <f>"141,2075"</f>
        <v>141,2075</v>
      </c>
      <c r="N65" s="19" t="s">
        <v>337</v>
      </c>
    </row>
    <row r="66" spans="2:14" ht="12.75">
      <c r="B66" s="24" t="s">
        <v>723</v>
      </c>
      <c r="C66" s="24" t="s">
        <v>724</v>
      </c>
      <c r="D66" s="24" t="s">
        <v>725</v>
      </c>
      <c r="E66" s="24" t="str">
        <f>"1,1894"</f>
        <v>1,1894</v>
      </c>
      <c r="F66" s="24" t="s">
        <v>27</v>
      </c>
      <c r="G66" s="24" t="s">
        <v>503</v>
      </c>
      <c r="H66" s="58" t="s">
        <v>15</v>
      </c>
      <c r="I66" s="58" t="s">
        <v>16</v>
      </c>
      <c r="J66" s="58" t="s">
        <v>16</v>
      </c>
      <c r="K66" s="58"/>
      <c r="L66" s="60">
        <v>0</v>
      </c>
      <c r="M66" s="110" t="str">
        <f>"0,0000"</f>
        <v>0,0000</v>
      </c>
      <c r="N66" s="18" t="s">
        <v>111</v>
      </c>
    </row>
    <row r="67" spans="2:13" ht="15.75">
      <c r="B67" s="171" t="s">
        <v>1168</v>
      </c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</row>
    <row r="68" spans="1:14" ht="12.75">
      <c r="A68" s="61">
        <v>1</v>
      </c>
      <c r="B68" s="20" t="s">
        <v>726</v>
      </c>
      <c r="C68" s="20" t="s">
        <v>727</v>
      </c>
      <c r="D68" s="20" t="s">
        <v>514</v>
      </c>
      <c r="E68" s="20" t="str">
        <f>"0,9374"</f>
        <v>0,9374</v>
      </c>
      <c r="F68" s="20" t="s">
        <v>1119</v>
      </c>
      <c r="G68" s="20" t="s">
        <v>136</v>
      </c>
      <c r="H68" s="62" t="s">
        <v>109</v>
      </c>
      <c r="I68" s="62" t="s">
        <v>104</v>
      </c>
      <c r="J68" s="63" t="s">
        <v>333</v>
      </c>
      <c r="K68" s="21"/>
      <c r="L68" s="62" t="s">
        <v>104</v>
      </c>
      <c r="M68" s="20" t="str">
        <f>"166,3885"</f>
        <v>166,3885</v>
      </c>
      <c r="N68" s="16" t="s">
        <v>337</v>
      </c>
    </row>
    <row r="69" spans="1:14" ht="12.75">
      <c r="A69" s="61">
        <v>2</v>
      </c>
      <c r="B69" s="24" t="s">
        <v>728</v>
      </c>
      <c r="C69" s="24" t="s">
        <v>729</v>
      </c>
      <c r="D69" s="24" t="s">
        <v>730</v>
      </c>
      <c r="E69" s="24" t="str">
        <f>"0,9206"</f>
        <v>0,9206</v>
      </c>
      <c r="F69" s="24" t="s">
        <v>27</v>
      </c>
      <c r="G69" s="24" t="s">
        <v>148</v>
      </c>
      <c r="H69" s="58" t="s">
        <v>45</v>
      </c>
      <c r="I69" s="56" t="s">
        <v>45</v>
      </c>
      <c r="J69" s="58" t="s">
        <v>46</v>
      </c>
      <c r="K69" s="25"/>
      <c r="L69" s="56" t="s">
        <v>45</v>
      </c>
      <c r="M69" s="24" t="str">
        <f>"156,5020"</f>
        <v>156,5020</v>
      </c>
      <c r="N69" s="18" t="s">
        <v>111</v>
      </c>
    </row>
    <row r="70" spans="1:14" ht="12.75">
      <c r="A70" s="61">
        <v>3</v>
      </c>
      <c r="B70" s="26" t="s">
        <v>731</v>
      </c>
      <c r="C70" s="26" t="s">
        <v>732</v>
      </c>
      <c r="D70" s="26" t="s">
        <v>733</v>
      </c>
      <c r="E70" s="26" t="str">
        <f>"0,9186"</f>
        <v>0,9186</v>
      </c>
      <c r="F70" s="26" t="s">
        <v>332</v>
      </c>
      <c r="G70" s="26" t="s">
        <v>28</v>
      </c>
      <c r="H70" s="66" t="s">
        <v>44</v>
      </c>
      <c r="I70" s="66" t="s">
        <v>72</v>
      </c>
      <c r="J70" s="66" t="s">
        <v>143</v>
      </c>
      <c r="K70" s="27"/>
      <c r="L70" s="66" t="s">
        <v>143</v>
      </c>
      <c r="M70" s="26" t="str">
        <f>"153,8655"</f>
        <v>153,8655</v>
      </c>
      <c r="N70" s="19" t="s">
        <v>734</v>
      </c>
    </row>
    <row r="71" spans="1:14" ht="12.75">
      <c r="A71" s="61">
        <v>4</v>
      </c>
      <c r="B71" s="24" t="s">
        <v>735</v>
      </c>
      <c r="C71" s="24" t="s">
        <v>38</v>
      </c>
      <c r="D71" s="24" t="s">
        <v>524</v>
      </c>
      <c r="E71" s="24" t="str">
        <f>"0,9218"</f>
        <v>0,9218</v>
      </c>
      <c r="F71" s="24" t="s">
        <v>27</v>
      </c>
      <c r="G71" s="24" t="s">
        <v>736</v>
      </c>
      <c r="H71" s="58" t="s">
        <v>91</v>
      </c>
      <c r="I71" s="56" t="s">
        <v>91</v>
      </c>
      <c r="J71" s="56" t="s">
        <v>21</v>
      </c>
      <c r="K71" s="25"/>
      <c r="L71" s="56" t="s">
        <v>21</v>
      </c>
      <c r="M71" s="24" t="str">
        <f>"149,7925"</f>
        <v>149,7925</v>
      </c>
      <c r="N71" s="18" t="s">
        <v>111</v>
      </c>
    </row>
    <row r="72" spans="1:14" ht="12.75">
      <c r="A72" s="61">
        <v>5</v>
      </c>
      <c r="B72" s="26" t="s">
        <v>1204</v>
      </c>
      <c r="C72" s="26" t="s">
        <v>737</v>
      </c>
      <c r="D72" s="26" t="s">
        <v>517</v>
      </c>
      <c r="E72" s="26" t="str">
        <f>"0,9226"</f>
        <v>0,9226</v>
      </c>
      <c r="F72" s="26" t="s">
        <v>27</v>
      </c>
      <c r="G72" s="26" t="s">
        <v>148</v>
      </c>
      <c r="H72" s="66" t="s">
        <v>91</v>
      </c>
      <c r="I72" s="66" t="s">
        <v>20</v>
      </c>
      <c r="J72" s="67" t="s">
        <v>21</v>
      </c>
      <c r="K72" s="27"/>
      <c r="L72" s="66" t="s">
        <v>20</v>
      </c>
      <c r="M72" s="26" t="str">
        <f>"143,0030"</f>
        <v>143,0030</v>
      </c>
      <c r="N72" s="19" t="s">
        <v>111</v>
      </c>
    </row>
    <row r="73" spans="2:14" ht="12.75">
      <c r="B73" s="24" t="s">
        <v>738</v>
      </c>
      <c r="C73" s="24" t="s">
        <v>38</v>
      </c>
      <c r="D73" s="24" t="s">
        <v>739</v>
      </c>
      <c r="E73" s="24" t="str">
        <f>"0,9362"</f>
        <v>0,9362</v>
      </c>
      <c r="F73" s="24" t="s">
        <v>332</v>
      </c>
      <c r="G73" s="24" t="s">
        <v>28</v>
      </c>
      <c r="H73" s="58" t="s">
        <v>301</v>
      </c>
      <c r="I73" s="58" t="s">
        <v>91</v>
      </c>
      <c r="J73" s="58" t="s">
        <v>20</v>
      </c>
      <c r="K73" s="58"/>
      <c r="L73" s="60">
        <v>0</v>
      </c>
      <c r="M73" s="110" t="str">
        <f>"0,0000"</f>
        <v>0,0000</v>
      </c>
      <c r="N73" s="18" t="s">
        <v>111</v>
      </c>
    </row>
    <row r="74" spans="2:14" ht="12.75">
      <c r="B74" s="26" t="s">
        <v>740</v>
      </c>
      <c r="C74" s="26" t="s">
        <v>741</v>
      </c>
      <c r="D74" s="26" t="s">
        <v>375</v>
      </c>
      <c r="E74" s="26" t="str">
        <f>"0,9262"</f>
        <v>0,9262</v>
      </c>
      <c r="F74" s="26" t="s">
        <v>27</v>
      </c>
      <c r="G74" s="26" t="s">
        <v>148</v>
      </c>
      <c r="H74" s="67" t="s">
        <v>20</v>
      </c>
      <c r="I74" s="67" t="s">
        <v>20</v>
      </c>
      <c r="J74" s="67" t="s">
        <v>21</v>
      </c>
      <c r="K74" s="67"/>
      <c r="L74" s="75">
        <v>0</v>
      </c>
      <c r="M74" s="77" t="str">
        <f>"0,0000"</f>
        <v>0,0000</v>
      </c>
      <c r="N74" s="19" t="s">
        <v>111</v>
      </c>
    </row>
    <row r="75" spans="1:14" ht="12.75">
      <c r="A75" s="61">
        <v>1</v>
      </c>
      <c r="B75" s="24" t="s">
        <v>728</v>
      </c>
      <c r="C75" s="24" t="s">
        <v>742</v>
      </c>
      <c r="D75" s="24" t="s">
        <v>730</v>
      </c>
      <c r="E75" s="24" t="str">
        <f>"0,9252"</f>
        <v>0,9252</v>
      </c>
      <c r="F75" s="24" t="s">
        <v>27</v>
      </c>
      <c r="G75" s="24" t="s">
        <v>148</v>
      </c>
      <c r="H75" s="58" t="s">
        <v>45</v>
      </c>
      <c r="I75" s="56" t="s">
        <v>45</v>
      </c>
      <c r="J75" s="58" t="s">
        <v>46</v>
      </c>
      <c r="K75" s="25"/>
      <c r="L75" s="56" t="s">
        <v>45</v>
      </c>
      <c r="M75" s="24" t="str">
        <f>"157,2845"</f>
        <v>157,2845</v>
      </c>
      <c r="N75" s="18" t="s">
        <v>111</v>
      </c>
    </row>
    <row r="76" spans="1:14" ht="12.75">
      <c r="A76" s="61">
        <v>2</v>
      </c>
      <c r="B76" s="26" t="s">
        <v>1204</v>
      </c>
      <c r="C76" s="26" t="s">
        <v>743</v>
      </c>
      <c r="D76" s="26" t="s">
        <v>517</v>
      </c>
      <c r="E76" s="26" t="str">
        <f>"0,9272"</f>
        <v>0,9272</v>
      </c>
      <c r="F76" s="26" t="s">
        <v>27</v>
      </c>
      <c r="G76" s="26" t="s">
        <v>148</v>
      </c>
      <c r="H76" s="66" t="s">
        <v>91</v>
      </c>
      <c r="I76" s="66" t="s">
        <v>20</v>
      </c>
      <c r="J76" s="67" t="s">
        <v>21</v>
      </c>
      <c r="K76" s="27"/>
      <c r="L76" s="66" t="s">
        <v>20</v>
      </c>
      <c r="M76" s="26" t="str">
        <f>"143,7180"</f>
        <v>143,7180</v>
      </c>
      <c r="N76" s="19" t="s">
        <v>111</v>
      </c>
    </row>
    <row r="77" spans="1:14" ht="12.75">
      <c r="A77" s="61">
        <v>3</v>
      </c>
      <c r="B77" s="24" t="s">
        <v>744</v>
      </c>
      <c r="C77" s="24" t="s">
        <v>745</v>
      </c>
      <c r="D77" s="24" t="s">
        <v>746</v>
      </c>
      <c r="E77" s="24" t="str">
        <f>"0,9353"</f>
        <v>0,9353</v>
      </c>
      <c r="F77" s="24" t="s">
        <v>1119</v>
      </c>
      <c r="G77" s="24" t="s">
        <v>136</v>
      </c>
      <c r="H77" s="58" t="s">
        <v>35</v>
      </c>
      <c r="I77" s="58" t="s">
        <v>35</v>
      </c>
      <c r="J77" s="56" t="s">
        <v>35</v>
      </c>
      <c r="K77" s="25"/>
      <c r="L77" s="56" t="s">
        <v>35</v>
      </c>
      <c r="M77" s="24" t="str">
        <f>"130,9354"</f>
        <v>130,9354</v>
      </c>
      <c r="N77" s="18" t="s">
        <v>747</v>
      </c>
    </row>
    <row r="78" spans="1:14" ht="12.75">
      <c r="A78" s="61">
        <v>1</v>
      </c>
      <c r="B78" s="26" t="s">
        <v>748</v>
      </c>
      <c r="C78" s="26" t="s">
        <v>749</v>
      </c>
      <c r="D78" s="26" t="s">
        <v>750</v>
      </c>
      <c r="E78" s="26" t="str">
        <f>"1,0692"</f>
        <v>1,0692</v>
      </c>
      <c r="F78" s="26" t="s">
        <v>59</v>
      </c>
      <c r="G78" s="26" t="s">
        <v>319</v>
      </c>
      <c r="H78" s="66" t="s">
        <v>16</v>
      </c>
      <c r="I78" s="66" t="s">
        <v>29</v>
      </c>
      <c r="J78" s="67" t="s">
        <v>34</v>
      </c>
      <c r="K78" s="27"/>
      <c r="L78" s="66" t="s">
        <v>29</v>
      </c>
      <c r="M78" s="26" t="str">
        <f>"133,6484"</f>
        <v>133,6484</v>
      </c>
      <c r="N78" s="19" t="s">
        <v>111</v>
      </c>
    </row>
    <row r="79" spans="1:14" ht="12.75">
      <c r="A79" s="61">
        <v>1</v>
      </c>
      <c r="B79" s="24" t="s">
        <v>751</v>
      </c>
      <c r="C79" s="24" t="s">
        <v>752</v>
      </c>
      <c r="D79" s="24" t="s">
        <v>753</v>
      </c>
      <c r="E79" s="24" t="str">
        <f>"1,1775"</f>
        <v>1,1775</v>
      </c>
      <c r="F79" s="24" t="s">
        <v>27</v>
      </c>
      <c r="G79" s="24" t="s">
        <v>88</v>
      </c>
      <c r="H79" s="56" t="s">
        <v>239</v>
      </c>
      <c r="I79" s="56" t="s">
        <v>61</v>
      </c>
      <c r="J79" s="58" t="s">
        <v>53</v>
      </c>
      <c r="K79" s="25"/>
      <c r="L79" s="56" t="s">
        <v>61</v>
      </c>
      <c r="M79" s="24" t="str">
        <f>"117,7525"</f>
        <v>117,7525</v>
      </c>
      <c r="N79" s="18" t="s">
        <v>111</v>
      </c>
    </row>
    <row r="80" spans="1:14" ht="12.75">
      <c r="A80" s="61">
        <v>1</v>
      </c>
      <c r="B80" s="22" t="s">
        <v>754</v>
      </c>
      <c r="C80" s="22" t="s">
        <v>1534</v>
      </c>
      <c r="D80" s="22" t="s">
        <v>755</v>
      </c>
      <c r="E80" s="22" t="s">
        <v>1535</v>
      </c>
      <c r="F80" s="22" t="s">
        <v>27</v>
      </c>
      <c r="G80" s="22" t="s">
        <v>88</v>
      </c>
      <c r="H80" s="65" t="s">
        <v>255</v>
      </c>
      <c r="I80" s="65" t="s">
        <v>53</v>
      </c>
      <c r="J80" s="65" t="s">
        <v>15</v>
      </c>
      <c r="K80" s="23"/>
      <c r="L80" s="65" t="s">
        <v>15</v>
      </c>
      <c r="M80" s="22" t="s">
        <v>1536</v>
      </c>
      <c r="N80" s="18" t="s">
        <v>111</v>
      </c>
    </row>
    <row r="81" spans="2:13" ht="15.75">
      <c r="B81" s="171" t="s">
        <v>1122</v>
      </c>
      <c r="C81" s="171"/>
      <c r="D81" s="171"/>
      <c r="E81" s="171"/>
      <c r="F81" s="171"/>
      <c r="G81" s="171"/>
      <c r="H81" s="171"/>
      <c r="I81" s="171"/>
      <c r="J81" s="171"/>
      <c r="K81" s="171"/>
      <c r="L81" s="171"/>
      <c r="M81" s="171"/>
    </row>
    <row r="82" spans="1:14" ht="12.75">
      <c r="A82" s="61">
        <v>1</v>
      </c>
      <c r="B82" s="20" t="s">
        <v>376</v>
      </c>
      <c r="C82" s="20" t="s">
        <v>377</v>
      </c>
      <c r="D82" s="20" t="s">
        <v>378</v>
      </c>
      <c r="E82" s="20" t="str">
        <f>"0,8940"</f>
        <v>0,8940</v>
      </c>
      <c r="F82" s="20" t="s">
        <v>27</v>
      </c>
      <c r="G82" s="24" t="s">
        <v>1184</v>
      </c>
      <c r="H82" s="62" t="s">
        <v>1081</v>
      </c>
      <c r="I82" s="66" t="s">
        <v>64</v>
      </c>
      <c r="J82" s="21"/>
      <c r="K82" s="21"/>
      <c r="L82" s="66" t="s">
        <v>64</v>
      </c>
      <c r="M82" s="20" t="str">
        <f>"172,0950"</f>
        <v>172,0950</v>
      </c>
      <c r="N82" s="18" t="s">
        <v>111</v>
      </c>
    </row>
    <row r="83" spans="1:14" ht="12.75">
      <c r="A83" s="61">
        <v>2</v>
      </c>
      <c r="B83" s="24" t="s">
        <v>756</v>
      </c>
      <c r="C83" s="24" t="s">
        <v>757</v>
      </c>
      <c r="D83" s="24" t="s">
        <v>758</v>
      </c>
      <c r="E83" s="24" t="str">
        <f>"0,8990"</f>
        <v>0,8990</v>
      </c>
      <c r="F83" s="24" t="s">
        <v>12</v>
      </c>
      <c r="G83" s="24" t="s">
        <v>348</v>
      </c>
      <c r="H83" s="56" t="s">
        <v>72</v>
      </c>
      <c r="I83" s="56" t="s">
        <v>109</v>
      </c>
      <c r="J83" s="58" t="s">
        <v>104</v>
      </c>
      <c r="K83" s="25"/>
      <c r="L83" s="56" t="s">
        <v>109</v>
      </c>
      <c r="M83" s="24" t="str">
        <f>"155,0775"</f>
        <v>155,0775</v>
      </c>
      <c r="N83" s="18" t="s">
        <v>111</v>
      </c>
    </row>
    <row r="84" spans="1:14" ht="12.75">
      <c r="A84" s="61">
        <v>3</v>
      </c>
      <c r="B84" s="26" t="s">
        <v>759</v>
      </c>
      <c r="C84" s="26" t="s">
        <v>760</v>
      </c>
      <c r="D84" s="26" t="s">
        <v>761</v>
      </c>
      <c r="E84" s="26" t="str">
        <f>"0,8962"</f>
        <v>0,8962</v>
      </c>
      <c r="F84" s="26" t="s">
        <v>365</v>
      </c>
      <c r="G84" s="26" t="s">
        <v>366</v>
      </c>
      <c r="H84" s="66" t="s">
        <v>44</v>
      </c>
      <c r="I84" s="67" t="s">
        <v>143</v>
      </c>
      <c r="J84" s="67" t="s">
        <v>143</v>
      </c>
      <c r="K84" s="67"/>
      <c r="L84" s="66" t="s">
        <v>44</v>
      </c>
      <c r="M84" s="26" t="str">
        <f>"143,3920"</f>
        <v>143,3920</v>
      </c>
      <c r="N84" s="19" t="s">
        <v>368</v>
      </c>
    </row>
    <row r="85" spans="1:14" ht="12.75">
      <c r="A85" s="61">
        <v>4</v>
      </c>
      <c r="B85" s="24" t="s">
        <v>545</v>
      </c>
      <c r="C85" s="24" t="s">
        <v>546</v>
      </c>
      <c r="D85" s="24" t="s">
        <v>547</v>
      </c>
      <c r="E85" s="24" t="str">
        <f>"0,8886"</f>
        <v>0,8886</v>
      </c>
      <c r="F85" s="24" t="s">
        <v>27</v>
      </c>
      <c r="G85" s="24" t="s">
        <v>1184</v>
      </c>
      <c r="H85" s="56" t="s">
        <v>35</v>
      </c>
      <c r="I85" s="56" t="s">
        <v>91</v>
      </c>
      <c r="J85" s="58" t="s">
        <v>302</v>
      </c>
      <c r="K85" s="25"/>
      <c r="L85" s="56" t="s">
        <v>91</v>
      </c>
      <c r="M85" s="24" t="str">
        <f>"133,2900"</f>
        <v>133,2900</v>
      </c>
      <c r="N85" s="18" t="s">
        <v>111</v>
      </c>
    </row>
    <row r="86" spans="1:14" ht="12.75">
      <c r="A86" s="61">
        <v>1</v>
      </c>
      <c r="B86" s="26" t="s">
        <v>762</v>
      </c>
      <c r="C86" s="26" t="s">
        <v>763</v>
      </c>
      <c r="D86" s="26" t="s">
        <v>764</v>
      </c>
      <c r="E86" s="26" t="str">
        <f>"0,9092"</f>
        <v>0,9092</v>
      </c>
      <c r="F86" s="26" t="s">
        <v>59</v>
      </c>
      <c r="G86" s="26" t="s">
        <v>60</v>
      </c>
      <c r="H86" s="66" t="s">
        <v>20</v>
      </c>
      <c r="I86" s="66" t="s">
        <v>44</v>
      </c>
      <c r="J86" s="66" t="s">
        <v>72</v>
      </c>
      <c r="K86" s="27"/>
      <c r="L86" s="66" t="s">
        <v>72</v>
      </c>
      <c r="M86" s="26" t="str">
        <f>"150,0101"</f>
        <v>150,0101</v>
      </c>
      <c r="N86" s="19" t="s">
        <v>493</v>
      </c>
    </row>
    <row r="87" spans="1:14" ht="12.75">
      <c r="A87" s="61">
        <v>2</v>
      </c>
      <c r="B87" s="24" t="s">
        <v>545</v>
      </c>
      <c r="C87" s="24" t="s">
        <v>548</v>
      </c>
      <c r="D87" s="24" t="s">
        <v>547</v>
      </c>
      <c r="E87" s="24" t="str">
        <f>"0,9135"</f>
        <v>0,9135</v>
      </c>
      <c r="F87" s="24" t="s">
        <v>27</v>
      </c>
      <c r="G87" s="24" t="s">
        <v>1184</v>
      </c>
      <c r="H87" s="56" t="s">
        <v>35</v>
      </c>
      <c r="I87" s="56" t="s">
        <v>91</v>
      </c>
      <c r="J87" s="58" t="s">
        <v>302</v>
      </c>
      <c r="K87" s="25"/>
      <c r="L87" s="56" t="s">
        <v>91</v>
      </c>
      <c r="M87" s="24" t="str">
        <f>"137,0221"</f>
        <v>137,0221</v>
      </c>
      <c r="N87" s="18" t="s">
        <v>111</v>
      </c>
    </row>
    <row r="88" spans="1:14" ht="12.75">
      <c r="A88" s="61">
        <v>3</v>
      </c>
      <c r="B88" s="26" t="s">
        <v>765</v>
      </c>
      <c r="C88" s="26" t="s">
        <v>766</v>
      </c>
      <c r="D88" s="26" t="s">
        <v>767</v>
      </c>
      <c r="E88" s="26" t="str">
        <f>"0,9101"</f>
        <v>0,9101</v>
      </c>
      <c r="F88" s="26" t="s">
        <v>244</v>
      </c>
      <c r="G88" s="26" t="s">
        <v>152</v>
      </c>
      <c r="H88" s="67" t="s">
        <v>35</v>
      </c>
      <c r="I88" s="66" t="s">
        <v>137</v>
      </c>
      <c r="J88" s="67" t="s">
        <v>301</v>
      </c>
      <c r="K88" s="27"/>
      <c r="L88" s="66" t="s">
        <v>137</v>
      </c>
      <c r="M88" s="26" t="str">
        <f>"131,9686"</f>
        <v>131,9686</v>
      </c>
      <c r="N88" s="19" t="s">
        <v>111</v>
      </c>
    </row>
    <row r="89" spans="1:14" ht="12.75">
      <c r="A89" s="61">
        <v>1</v>
      </c>
      <c r="B89" s="24" t="s">
        <v>768</v>
      </c>
      <c r="C89" s="24" t="s">
        <v>769</v>
      </c>
      <c r="D89" s="24" t="s">
        <v>770</v>
      </c>
      <c r="E89" s="24" t="str">
        <f>"0,9915"</f>
        <v>0,9915</v>
      </c>
      <c r="F89" s="24" t="s">
        <v>27</v>
      </c>
      <c r="G89" s="24" t="s">
        <v>639</v>
      </c>
      <c r="H89" s="25" t="s">
        <v>15</v>
      </c>
      <c r="I89" s="56" t="s">
        <v>15</v>
      </c>
      <c r="J89" s="56" t="s">
        <v>16</v>
      </c>
      <c r="K89" s="25"/>
      <c r="L89" s="56" t="s">
        <v>16</v>
      </c>
      <c r="M89" s="24" t="str">
        <f>"118,9752"</f>
        <v>118,9752</v>
      </c>
      <c r="N89" s="18" t="s">
        <v>111</v>
      </c>
    </row>
    <row r="90" spans="1:14" ht="12.75">
      <c r="A90" s="61">
        <v>1</v>
      </c>
      <c r="B90" s="22" t="s">
        <v>771</v>
      </c>
      <c r="C90" s="22" t="s">
        <v>772</v>
      </c>
      <c r="D90" s="22" t="s">
        <v>773</v>
      </c>
      <c r="E90" s="22" t="str">
        <f>"1,0714"</f>
        <v>1,0714</v>
      </c>
      <c r="F90" s="22" t="s">
        <v>27</v>
      </c>
      <c r="G90" s="24" t="s">
        <v>1184</v>
      </c>
      <c r="H90" s="64" t="s">
        <v>35</v>
      </c>
      <c r="I90" s="65" t="s">
        <v>35</v>
      </c>
      <c r="J90" s="64" t="s">
        <v>301</v>
      </c>
      <c r="K90" s="23"/>
      <c r="L90" s="65" t="s">
        <v>35</v>
      </c>
      <c r="M90" s="22" t="str">
        <f>"149,9941"</f>
        <v>149,9941</v>
      </c>
      <c r="N90" s="18" t="s">
        <v>111</v>
      </c>
    </row>
    <row r="91" spans="2:13" ht="15.75">
      <c r="B91" s="171" t="s">
        <v>1169</v>
      </c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</row>
    <row r="92" spans="1:14" ht="12.75">
      <c r="A92" s="61">
        <v>1</v>
      </c>
      <c r="B92" s="20" t="s">
        <v>774</v>
      </c>
      <c r="C92" s="20" t="s">
        <v>775</v>
      </c>
      <c r="D92" s="20" t="s">
        <v>776</v>
      </c>
      <c r="E92" s="20" t="str">
        <f>"0,8674"</f>
        <v>0,8674</v>
      </c>
      <c r="F92" s="20" t="s">
        <v>27</v>
      </c>
      <c r="G92" s="20" t="s">
        <v>777</v>
      </c>
      <c r="H92" s="62" t="s">
        <v>115</v>
      </c>
      <c r="I92" s="63" t="s">
        <v>515</v>
      </c>
      <c r="J92" s="62" t="s">
        <v>515</v>
      </c>
      <c r="K92" s="21"/>
      <c r="L92" s="62" t="s">
        <v>515</v>
      </c>
      <c r="M92" s="20" t="str">
        <f>"175,6485"</f>
        <v>175,6485</v>
      </c>
      <c r="N92" s="18" t="s">
        <v>111</v>
      </c>
    </row>
    <row r="93" spans="1:14" ht="12.75">
      <c r="A93" s="61">
        <v>2</v>
      </c>
      <c r="B93" s="24" t="s">
        <v>778</v>
      </c>
      <c r="C93" s="24" t="s">
        <v>779</v>
      </c>
      <c r="D93" s="24" t="s">
        <v>780</v>
      </c>
      <c r="E93" s="24" t="str">
        <f>"0,8784"</f>
        <v>0,8784</v>
      </c>
      <c r="F93" s="24" t="s">
        <v>853</v>
      </c>
      <c r="G93" s="24" t="s">
        <v>148</v>
      </c>
      <c r="H93" s="58" t="s">
        <v>1075</v>
      </c>
      <c r="I93" s="58" t="s">
        <v>44</v>
      </c>
      <c r="J93" s="56" t="s">
        <v>44</v>
      </c>
      <c r="K93" s="25"/>
      <c r="L93" s="56" t="s">
        <v>44</v>
      </c>
      <c r="M93" s="24" t="str">
        <f>"140,5440"</f>
        <v>140,5440</v>
      </c>
      <c r="N93" s="18" t="s">
        <v>111</v>
      </c>
    </row>
    <row r="94" spans="2:14" ht="12.75">
      <c r="B94" s="24" t="s">
        <v>781</v>
      </c>
      <c r="C94" s="24" t="s">
        <v>782</v>
      </c>
      <c r="D94" s="24" t="s">
        <v>783</v>
      </c>
      <c r="E94" s="24" t="str">
        <f>"0,8630"</f>
        <v>0,8630</v>
      </c>
      <c r="F94" s="24" t="s">
        <v>59</v>
      </c>
      <c r="G94" s="24" t="s">
        <v>529</v>
      </c>
      <c r="H94" s="58" t="s">
        <v>72</v>
      </c>
      <c r="I94" s="58" t="s">
        <v>72</v>
      </c>
      <c r="J94" s="58" t="s">
        <v>72</v>
      </c>
      <c r="K94" s="58"/>
      <c r="L94" s="60">
        <v>0</v>
      </c>
      <c r="M94" s="113" t="str">
        <f>"0,0000"</f>
        <v>0,0000</v>
      </c>
      <c r="N94" s="18" t="s">
        <v>1167</v>
      </c>
    </row>
    <row r="95" spans="1:14" ht="12.75">
      <c r="A95" s="61">
        <v>1</v>
      </c>
      <c r="B95" s="22" t="s">
        <v>778</v>
      </c>
      <c r="C95" s="22" t="s">
        <v>784</v>
      </c>
      <c r="D95" s="22" t="s">
        <v>780</v>
      </c>
      <c r="E95" s="22" t="str">
        <f>"1,2385"</f>
        <v>1,2385</v>
      </c>
      <c r="F95" s="22" t="s">
        <v>853</v>
      </c>
      <c r="G95" s="22" t="s">
        <v>148</v>
      </c>
      <c r="H95" s="64" t="s">
        <v>1075</v>
      </c>
      <c r="I95" s="64" t="s">
        <v>44</v>
      </c>
      <c r="J95" s="65" t="s">
        <v>44</v>
      </c>
      <c r="K95" s="23"/>
      <c r="L95" s="65" t="s">
        <v>44</v>
      </c>
      <c r="M95" s="22" t="str">
        <f>"198,1670"</f>
        <v>198,1670</v>
      </c>
      <c r="N95" s="18" t="s">
        <v>111</v>
      </c>
    </row>
    <row r="97" spans="2:3" ht="18">
      <c r="B97" s="29" t="s">
        <v>7</v>
      </c>
      <c r="C97" s="29"/>
    </row>
    <row r="98" spans="2:3" ht="15.75">
      <c r="B98" s="30" t="s">
        <v>175</v>
      </c>
      <c r="C98" s="30"/>
    </row>
    <row r="99" spans="2:3" ht="13.5">
      <c r="B99" s="32" t="s">
        <v>184</v>
      </c>
      <c r="C99" s="33"/>
    </row>
    <row r="100" spans="2:6" ht="13.5">
      <c r="B100" s="35" t="s">
        <v>176</v>
      </c>
      <c r="C100" s="35" t="s">
        <v>177</v>
      </c>
      <c r="D100" s="35" t="s">
        <v>178</v>
      </c>
      <c r="E100" s="35" t="s">
        <v>179</v>
      </c>
      <c r="F100" s="35" t="s">
        <v>180</v>
      </c>
    </row>
    <row r="101" spans="1:6" ht="12.75">
      <c r="A101" s="61">
        <v>1</v>
      </c>
      <c r="B101" s="31" t="s">
        <v>608</v>
      </c>
      <c r="C101" s="133" t="s">
        <v>185</v>
      </c>
      <c r="D101" s="133" t="s">
        <v>379</v>
      </c>
      <c r="E101" s="133" t="s">
        <v>275</v>
      </c>
      <c r="F101" s="134" t="s">
        <v>785</v>
      </c>
    </row>
    <row r="102" spans="1:6" ht="12.75">
      <c r="A102" s="61">
        <v>2</v>
      </c>
      <c r="B102" s="31" t="s">
        <v>617</v>
      </c>
      <c r="C102" s="133" t="s">
        <v>185</v>
      </c>
      <c r="D102" s="133" t="s">
        <v>382</v>
      </c>
      <c r="E102" s="133" t="s">
        <v>300</v>
      </c>
      <c r="F102" s="134" t="s">
        <v>786</v>
      </c>
    </row>
    <row r="103" spans="1:6" ht="12.75">
      <c r="A103" s="61">
        <v>3</v>
      </c>
      <c r="B103" s="31" t="s">
        <v>590</v>
      </c>
      <c r="C103" s="133" t="s">
        <v>185</v>
      </c>
      <c r="D103" s="133" t="s">
        <v>787</v>
      </c>
      <c r="E103" s="133" t="s">
        <v>254</v>
      </c>
      <c r="F103" s="134" t="s">
        <v>788</v>
      </c>
    </row>
    <row r="104" spans="2:6" ht="12.75">
      <c r="B104" s="31" t="s">
        <v>592</v>
      </c>
      <c r="C104" s="133" t="s">
        <v>185</v>
      </c>
      <c r="D104" s="133" t="s">
        <v>787</v>
      </c>
      <c r="E104" s="133" t="s">
        <v>252</v>
      </c>
      <c r="F104" s="134" t="s">
        <v>789</v>
      </c>
    </row>
    <row r="105" spans="2:6" ht="12.75">
      <c r="B105" s="31" t="s">
        <v>619</v>
      </c>
      <c r="C105" s="133" t="s">
        <v>185</v>
      </c>
      <c r="D105" s="133" t="s">
        <v>382</v>
      </c>
      <c r="E105" s="133" t="s">
        <v>234</v>
      </c>
      <c r="F105" s="134" t="s">
        <v>790</v>
      </c>
    </row>
    <row r="106" spans="2:6" ht="12.75">
      <c r="B106" s="31" t="s">
        <v>601</v>
      </c>
      <c r="C106" s="133" t="s">
        <v>185</v>
      </c>
      <c r="D106" s="133" t="s">
        <v>186</v>
      </c>
      <c r="E106" s="133" t="s">
        <v>232</v>
      </c>
      <c r="F106" s="134" t="s">
        <v>791</v>
      </c>
    </row>
    <row r="107" spans="2:6" ht="12.75">
      <c r="B107" s="31" t="s">
        <v>610</v>
      </c>
      <c r="C107" s="133" t="s">
        <v>185</v>
      </c>
      <c r="D107" s="133" t="s">
        <v>379</v>
      </c>
      <c r="E107" s="133" t="s">
        <v>289</v>
      </c>
      <c r="F107" s="134" t="s">
        <v>792</v>
      </c>
    </row>
    <row r="108" spans="2:6" ht="12.75">
      <c r="B108" s="31" t="s">
        <v>595</v>
      </c>
      <c r="C108" s="133" t="s">
        <v>185</v>
      </c>
      <c r="D108" s="133" t="s">
        <v>787</v>
      </c>
      <c r="E108" s="133" t="s">
        <v>236</v>
      </c>
      <c r="F108" s="134" t="s">
        <v>793</v>
      </c>
    </row>
    <row r="109" spans="2:3" ht="15.75">
      <c r="B109" s="30"/>
      <c r="C109" s="30"/>
    </row>
    <row r="110" spans="2:3" ht="15.75">
      <c r="B110" s="30" t="s">
        <v>189</v>
      </c>
      <c r="C110" s="30"/>
    </row>
    <row r="111" spans="2:3" ht="13.5">
      <c r="B111" s="32" t="s">
        <v>184</v>
      </c>
      <c r="C111" s="33"/>
    </row>
    <row r="112" spans="2:6" ht="13.5">
      <c r="B112" s="35" t="s">
        <v>176</v>
      </c>
      <c r="C112" s="35" t="s">
        <v>177</v>
      </c>
      <c r="D112" s="35" t="s">
        <v>178</v>
      </c>
      <c r="E112" s="35" t="s">
        <v>179</v>
      </c>
      <c r="F112" s="35" t="s">
        <v>180</v>
      </c>
    </row>
    <row r="113" spans="1:6" ht="12.75">
      <c r="A113" s="61">
        <v>1</v>
      </c>
      <c r="B113" s="31" t="s">
        <v>774</v>
      </c>
      <c r="C113" s="133" t="s">
        <v>185</v>
      </c>
      <c r="D113" s="133" t="s">
        <v>212</v>
      </c>
      <c r="E113" s="133" t="s">
        <v>515</v>
      </c>
      <c r="F113" s="134" t="s">
        <v>794</v>
      </c>
    </row>
    <row r="114" spans="1:6" ht="12.75">
      <c r="A114" s="61">
        <v>2</v>
      </c>
      <c r="B114" s="31" t="s">
        <v>330</v>
      </c>
      <c r="C114" s="133" t="s">
        <v>185</v>
      </c>
      <c r="D114" s="133" t="s">
        <v>181</v>
      </c>
      <c r="E114" s="133" t="s">
        <v>91</v>
      </c>
      <c r="F114" s="134" t="s">
        <v>795</v>
      </c>
    </row>
    <row r="115" spans="1:6" ht="12.75">
      <c r="A115" s="61">
        <v>3</v>
      </c>
      <c r="B115" s="31" t="s">
        <v>708</v>
      </c>
      <c r="C115" s="133" t="s">
        <v>185</v>
      </c>
      <c r="D115" s="133" t="s">
        <v>205</v>
      </c>
      <c r="E115" s="133" t="s">
        <v>46</v>
      </c>
      <c r="F115" s="134" t="s">
        <v>796</v>
      </c>
    </row>
    <row r="116" spans="2:6" ht="12.75">
      <c r="B116" s="31" t="s">
        <v>376</v>
      </c>
      <c r="C116" s="133" t="s">
        <v>185</v>
      </c>
      <c r="D116" s="133" t="s">
        <v>190</v>
      </c>
      <c r="E116" s="133" t="s">
        <v>64</v>
      </c>
      <c r="F116" s="134" t="s">
        <v>797</v>
      </c>
    </row>
    <row r="117" spans="2:6" ht="12.75">
      <c r="B117" s="31" t="s">
        <v>674</v>
      </c>
      <c r="C117" s="133" t="s">
        <v>185</v>
      </c>
      <c r="D117" s="133" t="s">
        <v>181</v>
      </c>
      <c r="E117" s="133" t="s">
        <v>302</v>
      </c>
      <c r="F117" s="134" t="s">
        <v>798</v>
      </c>
    </row>
    <row r="118" spans="2:6" ht="12.75">
      <c r="B118" s="31" t="s">
        <v>677</v>
      </c>
      <c r="C118" s="133" t="s">
        <v>185</v>
      </c>
      <c r="D118" s="133" t="s">
        <v>181</v>
      </c>
      <c r="E118" s="133" t="s">
        <v>301</v>
      </c>
      <c r="F118" s="134" t="s">
        <v>799</v>
      </c>
    </row>
    <row r="119" spans="2:6" ht="12.75">
      <c r="B119" s="31" t="s">
        <v>711</v>
      </c>
      <c r="C119" s="133" t="s">
        <v>185</v>
      </c>
      <c r="D119" s="133" t="s">
        <v>205</v>
      </c>
      <c r="E119" s="133" t="s">
        <v>45</v>
      </c>
      <c r="F119" s="134" t="s">
        <v>800</v>
      </c>
    </row>
    <row r="120" spans="2:6" ht="12.75">
      <c r="B120" s="31" t="s">
        <v>726</v>
      </c>
      <c r="C120" s="133" t="s">
        <v>185</v>
      </c>
      <c r="D120" s="133" t="s">
        <v>200</v>
      </c>
      <c r="E120" s="133" t="s">
        <v>104</v>
      </c>
      <c r="F120" s="134" t="s">
        <v>801</v>
      </c>
    </row>
    <row r="121" spans="2:6" ht="12.75">
      <c r="B121" s="31" t="s">
        <v>679</v>
      </c>
      <c r="C121" s="133" t="s">
        <v>185</v>
      </c>
      <c r="D121" s="133" t="s">
        <v>181</v>
      </c>
      <c r="E121" s="133" t="s">
        <v>35</v>
      </c>
      <c r="F121" s="134" t="s">
        <v>802</v>
      </c>
    </row>
    <row r="122" spans="2:6" ht="12.75">
      <c r="B122" s="31" t="s">
        <v>713</v>
      </c>
      <c r="C122" s="133" t="s">
        <v>185</v>
      </c>
      <c r="D122" s="133" t="s">
        <v>205</v>
      </c>
      <c r="E122" s="133" t="s">
        <v>72</v>
      </c>
      <c r="F122" s="134" t="s">
        <v>803</v>
      </c>
    </row>
    <row r="123" spans="2:6" ht="12.75">
      <c r="B123" s="31" t="s">
        <v>700</v>
      </c>
      <c r="C123" s="133" t="s">
        <v>185</v>
      </c>
      <c r="D123" s="133" t="s">
        <v>193</v>
      </c>
      <c r="E123" s="133" t="s">
        <v>172</v>
      </c>
      <c r="F123" s="134" t="s">
        <v>804</v>
      </c>
    </row>
    <row r="124" spans="2:6" ht="12.75">
      <c r="B124" s="31" t="s">
        <v>650</v>
      </c>
      <c r="C124" s="133" t="s">
        <v>185</v>
      </c>
      <c r="D124" s="133" t="s">
        <v>382</v>
      </c>
      <c r="E124" s="133" t="s">
        <v>34</v>
      </c>
      <c r="F124" s="134" t="s">
        <v>805</v>
      </c>
    </row>
    <row r="125" spans="2:6" ht="12.75">
      <c r="B125" s="31" t="s">
        <v>702</v>
      </c>
      <c r="C125" s="133" t="s">
        <v>185</v>
      </c>
      <c r="D125" s="133" t="s">
        <v>193</v>
      </c>
      <c r="E125" s="133" t="s">
        <v>91</v>
      </c>
      <c r="F125" s="134" t="s">
        <v>806</v>
      </c>
    </row>
    <row r="126" spans="2:6" ht="12.75">
      <c r="B126" s="31" t="s">
        <v>728</v>
      </c>
      <c r="C126" s="133" t="s">
        <v>185</v>
      </c>
      <c r="D126" s="133" t="s">
        <v>200</v>
      </c>
      <c r="E126" s="133" t="s">
        <v>45</v>
      </c>
      <c r="F126" s="134" t="s">
        <v>807</v>
      </c>
    </row>
    <row r="127" spans="2:6" ht="12.75">
      <c r="B127" s="31" t="s">
        <v>756</v>
      </c>
      <c r="C127" s="133" t="s">
        <v>185</v>
      </c>
      <c r="D127" s="133" t="s">
        <v>190</v>
      </c>
      <c r="E127" s="133" t="s">
        <v>109</v>
      </c>
      <c r="F127" s="134" t="s">
        <v>808</v>
      </c>
    </row>
    <row r="128" spans="2:6" ht="12.75">
      <c r="B128" s="31" t="s">
        <v>731</v>
      </c>
      <c r="C128" s="133" t="s">
        <v>185</v>
      </c>
      <c r="D128" s="133" t="s">
        <v>200</v>
      </c>
      <c r="E128" s="133" t="s">
        <v>143</v>
      </c>
      <c r="F128" s="134" t="s">
        <v>809</v>
      </c>
    </row>
    <row r="129" spans="2:6" ht="12.75">
      <c r="B129" s="31" t="s">
        <v>341</v>
      </c>
      <c r="C129" s="133" t="s">
        <v>185</v>
      </c>
      <c r="D129" s="133" t="s">
        <v>193</v>
      </c>
      <c r="E129" s="133" t="s">
        <v>301</v>
      </c>
      <c r="F129" s="134" t="s">
        <v>810</v>
      </c>
    </row>
    <row r="130" spans="2:6" ht="12.75">
      <c r="B130" s="31" t="s">
        <v>735</v>
      </c>
      <c r="C130" s="133" t="s">
        <v>185</v>
      </c>
      <c r="D130" s="133" t="s">
        <v>200</v>
      </c>
      <c r="E130" s="133" t="s">
        <v>21</v>
      </c>
      <c r="F130" s="134" t="s">
        <v>811</v>
      </c>
    </row>
    <row r="131" spans="2:6" ht="12.75">
      <c r="B131" s="31" t="s">
        <v>717</v>
      </c>
      <c r="C131" s="133" t="s">
        <v>185</v>
      </c>
      <c r="D131" s="133" t="s">
        <v>205</v>
      </c>
      <c r="E131" s="133" t="s">
        <v>91</v>
      </c>
      <c r="F131" s="134" t="s">
        <v>812</v>
      </c>
    </row>
    <row r="132" spans="2:6" ht="12.75">
      <c r="B132" s="31" t="s">
        <v>633</v>
      </c>
      <c r="C132" s="133" t="s">
        <v>185</v>
      </c>
      <c r="D132" s="133" t="s">
        <v>379</v>
      </c>
      <c r="E132" s="133" t="s">
        <v>61</v>
      </c>
      <c r="F132" s="134" t="s">
        <v>813</v>
      </c>
    </row>
    <row r="133" spans="2:6" ht="12.75">
      <c r="B133" s="31" t="s">
        <v>759</v>
      </c>
      <c r="C133" s="133" t="s">
        <v>185</v>
      </c>
      <c r="D133" s="133" t="s">
        <v>190</v>
      </c>
      <c r="E133" s="133" t="s">
        <v>44</v>
      </c>
      <c r="F133" s="134" t="s">
        <v>814</v>
      </c>
    </row>
    <row r="134" spans="2:6" ht="12.75">
      <c r="B134" s="31" t="s">
        <v>1204</v>
      </c>
      <c r="C134" s="133" t="s">
        <v>185</v>
      </c>
      <c r="D134" s="133" t="s">
        <v>200</v>
      </c>
      <c r="E134" s="133" t="s">
        <v>20</v>
      </c>
      <c r="F134" s="134" t="s">
        <v>815</v>
      </c>
    </row>
    <row r="135" spans="2:6" ht="12.75">
      <c r="B135" s="31" t="s">
        <v>682</v>
      </c>
      <c r="C135" s="133" t="s">
        <v>185</v>
      </c>
      <c r="D135" s="133" t="s">
        <v>181</v>
      </c>
      <c r="E135" s="133" t="s">
        <v>299</v>
      </c>
      <c r="F135" s="134" t="s">
        <v>816</v>
      </c>
    </row>
    <row r="136" spans="2:6" ht="12.75">
      <c r="B136" s="31" t="s">
        <v>778</v>
      </c>
      <c r="C136" s="133" t="s">
        <v>185</v>
      </c>
      <c r="D136" s="133" t="s">
        <v>212</v>
      </c>
      <c r="E136" s="133" t="s">
        <v>44</v>
      </c>
      <c r="F136" s="134" t="s">
        <v>817</v>
      </c>
    </row>
    <row r="137" ht="15.75">
      <c r="B137" s="30"/>
    </row>
    <row r="138" ht="15.75">
      <c r="B138" s="30" t="s">
        <v>189</v>
      </c>
    </row>
    <row r="139" spans="2:3" ht="13.5">
      <c r="B139" s="32" t="s">
        <v>1233</v>
      </c>
      <c r="C139" s="33"/>
    </row>
    <row r="140" spans="2:6" ht="13.5">
      <c r="B140" s="35" t="s">
        <v>176</v>
      </c>
      <c r="C140" s="35" t="s">
        <v>177</v>
      </c>
      <c r="D140" s="35" t="s">
        <v>178</v>
      </c>
      <c r="E140" s="35" t="s">
        <v>179</v>
      </c>
      <c r="F140" s="35" t="s">
        <v>180</v>
      </c>
    </row>
    <row r="141" spans="1:6" ht="12.75">
      <c r="A141" s="61">
        <v>1</v>
      </c>
      <c r="B141" s="31" t="s">
        <v>728</v>
      </c>
      <c r="C141" s="133" t="s">
        <v>226</v>
      </c>
      <c r="D141" s="133" t="s">
        <v>200</v>
      </c>
      <c r="E141" s="133" t="s">
        <v>45</v>
      </c>
      <c r="F141" s="134" t="s">
        <v>818</v>
      </c>
    </row>
    <row r="142" spans="1:6" ht="12.75">
      <c r="A142" s="61">
        <v>2</v>
      </c>
      <c r="B142" s="31" t="s">
        <v>762</v>
      </c>
      <c r="C142" s="133" t="s">
        <v>226</v>
      </c>
      <c r="D142" s="133" t="s">
        <v>190</v>
      </c>
      <c r="E142" s="133" t="s">
        <v>72</v>
      </c>
      <c r="F142" s="134" t="s">
        <v>819</v>
      </c>
    </row>
    <row r="143" spans="1:6" ht="12.75">
      <c r="A143" s="61">
        <v>3</v>
      </c>
      <c r="B143" s="31" t="s">
        <v>1204</v>
      </c>
      <c r="C143" s="133" t="s">
        <v>226</v>
      </c>
      <c r="D143" s="133" t="s">
        <v>200</v>
      </c>
      <c r="E143" s="133" t="s">
        <v>20</v>
      </c>
      <c r="F143" s="134" t="s">
        <v>820</v>
      </c>
    </row>
    <row r="144" spans="2:6" ht="12.75">
      <c r="B144" s="31" t="s">
        <v>720</v>
      </c>
      <c r="C144" s="133" t="s">
        <v>226</v>
      </c>
      <c r="D144" s="133" t="s">
        <v>205</v>
      </c>
      <c r="E144" s="133" t="s">
        <v>137</v>
      </c>
      <c r="F144" s="134" t="s">
        <v>821</v>
      </c>
    </row>
    <row r="145" spans="2:6" ht="12.75">
      <c r="B145" s="31" t="s">
        <v>545</v>
      </c>
      <c r="C145" s="133" t="s">
        <v>226</v>
      </c>
      <c r="D145" s="133" t="s">
        <v>190</v>
      </c>
      <c r="E145" s="133" t="s">
        <v>91</v>
      </c>
      <c r="F145" s="134" t="s">
        <v>822</v>
      </c>
    </row>
    <row r="146" spans="2:6" ht="12.75">
      <c r="B146" s="31" t="s">
        <v>765</v>
      </c>
      <c r="C146" s="133" t="s">
        <v>226</v>
      </c>
      <c r="D146" s="133" t="s">
        <v>190</v>
      </c>
      <c r="E146" s="133" t="s">
        <v>137</v>
      </c>
      <c r="F146" s="134" t="s">
        <v>823</v>
      </c>
    </row>
    <row r="147" spans="2:6" ht="12.75">
      <c r="B147" s="31" t="s">
        <v>744</v>
      </c>
      <c r="C147" s="133" t="s">
        <v>226</v>
      </c>
      <c r="D147" s="133" t="s">
        <v>200</v>
      </c>
      <c r="E147" s="133" t="s">
        <v>35</v>
      </c>
      <c r="F147" s="134" t="s">
        <v>824</v>
      </c>
    </row>
    <row r="148" spans="2:6" ht="12.75">
      <c r="B148" s="31" t="s">
        <v>693</v>
      </c>
      <c r="C148" s="133" t="s">
        <v>226</v>
      </c>
      <c r="D148" s="133" t="s">
        <v>181</v>
      </c>
      <c r="E148" s="133" t="s">
        <v>53</v>
      </c>
      <c r="F148" s="134" t="s">
        <v>825</v>
      </c>
    </row>
    <row r="149" spans="2:6" ht="12.75">
      <c r="B149" s="31" t="s">
        <v>703</v>
      </c>
      <c r="C149" s="133" t="s">
        <v>226</v>
      </c>
      <c r="D149" s="133" t="s">
        <v>193</v>
      </c>
      <c r="E149" s="133" t="s">
        <v>239</v>
      </c>
      <c r="F149" s="134" t="s">
        <v>826</v>
      </c>
    </row>
  </sheetData>
  <sheetProtection/>
  <mergeCells count="27">
    <mergeCell ref="N3:N4"/>
    <mergeCell ref="B5:M5"/>
    <mergeCell ref="B25:M25"/>
    <mergeCell ref="B6:M6"/>
    <mergeCell ref="B10:M10"/>
    <mergeCell ref="B13:M13"/>
    <mergeCell ref="B24:M24"/>
    <mergeCell ref="L3:L4"/>
    <mergeCell ref="M3:M4"/>
    <mergeCell ref="B15:M15"/>
    <mergeCell ref="B81:M81"/>
    <mergeCell ref="B91:M91"/>
    <mergeCell ref="B1:J2"/>
    <mergeCell ref="B3:B4"/>
    <mergeCell ref="C3:C4"/>
    <mergeCell ref="D3:D4"/>
    <mergeCell ref="E3:E4"/>
    <mergeCell ref="F3:F4"/>
    <mergeCell ref="G3:G4"/>
    <mergeCell ref="B67:M67"/>
    <mergeCell ref="H3:K3"/>
    <mergeCell ref="B27:M27"/>
    <mergeCell ref="B31:M31"/>
    <mergeCell ref="B40:M40"/>
    <mergeCell ref="B52:M52"/>
    <mergeCell ref="B60:M60"/>
    <mergeCell ref="B20:M20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1"/>
  <sheetViews>
    <sheetView workbookViewId="0" topLeftCell="A11">
      <selection activeCell="C45" sqref="C45"/>
    </sheetView>
  </sheetViews>
  <sheetFormatPr defaultColWidth="8.75390625" defaultRowHeight="12.75"/>
  <cols>
    <col min="1" max="1" width="3.875" style="61" customWidth="1"/>
    <col min="2" max="2" width="25.25390625" style="28" customWidth="1"/>
    <col min="3" max="3" width="28.125" style="28" customWidth="1"/>
    <col min="4" max="4" width="10.125" style="28" customWidth="1"/>
    <col min="5" max="5" width="8.125" style="28" customWidth="1"/>
    <col min="6" max="6" width="21.125" style="28" customWidth="1"/>
    <col min="7" max="7" width="37.625" style="28" customWidth="1"/>
    <col min="8" max="8" width="5.875" style="28" customWidth="1"/>
    <col min="9" max="9" width="6.00390625" style="28" customWidth="1"/>
    <col min="10" max="10" width="5.75390625" style="28" customWidth="1"/>
    <col min="11" max="11" width="5.25390625" style="28" customWidth="1"/>
    <col min="12" max="12" width="7.75390625" style="36" customWidth="1"/>
    <col min="13" max="13" width="8.625" style="28" bestFit="1" customWidth="1"/>
    <col min="14" max="14" width="22.625" style="0" customWidth="1"/>
  </cols>
  <sheetData>
    <row r="1" spans="1:12" s="1" customFormat="1" ht="15" customHeight="1">
      <c r="A1" s="38"/>
      <c r="B1" s="162" t="s">
        <v>1156</v>
      </c>
      <c r="C1" s="163"/>
      <c r="D1" s="163"/>
      <c r="E1" s="163"/>
      <c r="F1" s="163"/>
      <c r="G1" s="163"/>
      <c r="H1" s="163"/>
      <c r="I1" s="163"/>
      <c r="J1" s="179"/>
      <c r="L1" s="38"/>
    </row>
    <row r="2" spans="1:12" s="1" customFormat="1" ht="81.75" customHeight="1" thickBot="1">
      <c r="A2" s="38"/>
      <c r="B2" s="164"/>
      <c r="C2" s="165"/>
      <c r="D2" s="165"/>
      <c r="E2" s="165"/>
      <c r="F2" s="165"/>
      <c r="G2" s="165"/>
      <c r="H2" s="165"/>
      <c r="I2" s="165"/>
      <c r="J2" s="180"/>
      <c r="L2" s="38"/>
    </row>
    <row r="3" spans="2:14" s="2" customFormat="1" ht="12.75" customHeight="1">
      <c r="B3" s="166" t="s">
        <v>0</v>
      </c>
      <c r="C3" s="168" t="s">
        <v>1108</v>
      </c>
      <c r="D3" s="170" t="s">
        <v>1109</v>
      </c>
      <c r="E3" s="170" t="s">
        <v>1110</v>
      </c>
      <c r="F3" s="170" t="s">
        <v>4</v>
      </c>
      <c r="G3" s="170" t="s">
        <v>6</v>
      </c>
      <c r="H3" s="170" t="s">
        <v>1050</v>
      </c>
      <c r="I3" s="170"/>
      <c r="J3" s="170"/>
      <c r="K3" s="170"/>
      <c r="L3" s="170" t="s">
        <v>2</v>
      </c>
      <c r="M3" s="170" t="s">
        <v>1110</v>
      </c>
      <c r="N3" s="160" t="s">
        <v>3</v>
      </c>
    </row>
    <row r="4" spans="2:14" s="2" customFormat="1" ht="21" customHeight="1" thickBot="1">
      <c r="B4" s="167"/>
      <c r="C4" s="169"/>
      <c r="D4" s="169"/>
      <c r="E4" s="169"/>
      <c r="F4" s="169"/>
      <c r="G4" s="169"/>
      <c r="H4" s="3">
        <v>1</v>
      </c>
      <c r="I4" s="3">
        <v>2</v>
      </c>
      <c r="J4" s="3">
        <v>3</v>
      </c>
      <c r="K4" s="3" t="s">
        <v>5</v>
      </c>
      <c r="L4" s="169"/>
      <c r="M4" s="169"/>
      <c r="N4" s="161"/>
    </row>
    <row r="5" spans="2:13" ht="15.75">
      <c r="B5" s="171" t="s">
        <v>1052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</row>
    <row r="6" spans="2:13" ht="15.75">
      <c r="B6" s="171" t="s">
        <v>23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</row>
    <row r="7" spans="1:14" ht="12.75">
      <c r="A7" s="61">
        <v>1</v>
      </c>
      <c r="B7" s="24" t="s">
        <v>24</v>
      </c>
      <c r="C7" s="24" t="s">
        <v>25</v>
      </c>
      <c r="D7" s="24" t="s">
        <v>51</v>
      </c>
      <c r="E7" s="24" t="str">
        <f>"1,5490"</f>
        <v>1,5490</v>
      </c>
      <c r="F7" s="24" t="s">
        <v>27</v>
      </c>
      <c r="G7" s="24" t="s">
        <v>28</v>
      </c>
      <c r="H7" s="56" t="s">
        <v>32</v>
      </c>
      <c r="I7" s="56" t="s">
        <v>33</v>
      </c>
      <c r="J7" s="56" t="s">
        <v>238</v>
      </c>
      <c r="K7" s="25"/>
      <c r="L7" s="56" t="s">
        <v>238</v>
      </c>
      <c r="M7" s="24" t="str">
        <f>"131,6650"</f>
        <v>131,6650</v>
      </c>
      <c r="N7" s="18" t="s">
        <v>36</v>
      </c>
    </row>
    <row r="8" spans="2:13" ht="15.75">
      <c r="B8" s="171" t="s">
        <v>66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</row>
    <row r="9" spans="1:14" ht="12.75">
      <c r="A9" s="61">
        <v>1</v>
      </c>
      <c r="B9" s="24" t="s">
        <v>481</v>
      </c>
      <c r="C9" s="24" t="s">
        <v>482</v>
      </c>
      <c r="D9" s="24" t="s">
        <v>77</v>
      </c>
      <c r="E9" s="24" t="str">
        <f>"1,4912"</f>
        <v>1,4912</v>
      </c>
      <c r="F9" s="24" t="s">
        <v>27</v>
      </c>
      <c r="G9" s="24" t="s">
        <v>1188</v>
      </c>
      <c r="H9" s="56" t="s">
        <v>35</v>
      </c>
      <c r="I9" s="58" t="s">
        <v>91</v>
      </c>
      <c r="J9" s="56" t="s">
        <v>91</v>
      </c>
      <c r="K9" s="58" t="s">
        <v>20</v>
      </c>
      <c r="L9" s="56" t="s">
        <v>91</v>
      </c>
      <c r="M9" s="24" t="str">
        <f>"223,6800"</f>
        <v>223,6800</v>
      </c>
      <c r="N9" s="18" t="s">
        <v>483</v>
      </c>
    </row>
    <row r="10" spans="2:13" ht="15.75">
      <c r="B10" s="171" t="s">
        <v>1053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</row>
    <row r="11" spans="2:13" ht="15.75">
      <c r="B11" s="171" t="s">
        <v>23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</row>
    <row r="12" spans="1:14" ht="12.75">
      <c r="A12" s="61">
        <v>1</v>
      </c>
      <c r="B12" s="24" t="s">
        <v>484</v>
      </c>
      <c r="C12" s="24" t="s">
        <v>485</v>
      </c>
      <c r="D12" s="24" t="s">
        <v>486</v>
      </c>
      <c r="E12" s="24" t="str">
        <f>"1,1304"</f>
        <v>1,1304</v>
      </c>
      <c r="F12" s="24" t="s">
        <v>1119</v>
      </c>
      <c r="G12" s="24" t="s">
        <v>136</v>
      </c>
      <c r="H12" s="56" t="s">
        <v>20</v>
      </c>
      <c r="I12" s="56" t="s">
        <v>44</v>
      </c>
      <c r="J12" s="58" t="s">
        <v>131</v>
      </c>
      <c r="K12" s="25"/>
      <c r="L12" s="56" t="s">
        <v>44</v>
      </c>
      <c r="M12" s="24" t="str">
        <f>"180,8640"</f>
        <v>180,8640</v>
      </c>
      <c r="N12" s="18" t="s">
        <v>111</v>
      </c>
    </row>
    <row r="13" spans="2:13" ht="15.75">
      <c r="B13" s="171" t="s">
        <v>66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</row>
    <row r="14" spans="1:14" ht="12.75">
      <c r="A14" s="61">
        <v>1</v>
      </c>
      <c r="B14" s="20" t="s">
        <v>487</v>
      </c>
      <c r="C14" s="20" t="s">
        <v>488</v>
      </c>
      <c r="D14" s="20" t="s">
        <v>489</v>
      </c>
      <c r="E14" s="20" t="str">
        <f>"1,0316"</f>
        <v>1,0316</v>
      </c>
      <c r="F14" s="20" t="s">
        <v>490</v>
      </c>
      <c r="G14" s="20" t="s">
        <v>88</v>
      </c>
      <c r="H14" s="62" t="s">
        <v>72</v>
      </c>
      <c r="I14" s="63" t="s">
        <v>45</v>
      </c>
      <c r="J14" s="62" t="s">
        <v>45</v>
      </c>
      <c r="K14" s="21"/>
      <c r="L14" s="62" t="s">
        <v>45</v>
      </c>
      <c r="M14" s="20" t="str">
        <f>"175,3720"</f>
        <v>175,3720</v>
      </c>
      <c r="N14" s="16" t="s">
        <v>491</v>
      </c>
    </row>
    <row r="15" spans="1:14" ht="12.75">
      <c r="A15" s="61">
        <v>2</v>
      </c>
      <c r="B15" s="24" t="s">
        <v>492</v>
      </c>
      <c r="C15" s="24" t="s">
        <v>1546</v>
      </c>
      <c r="D15" s="24" t="s">
        <v>77</v>
      </c>
      <c r="E15" s="24" t="str">
        <f>"1,0472"</f>
        <v>1,0472</v>
      </c>
      <c r="F15" s="24" t="s">
        <v>59</v>
      </c>
      <c r="G15" s="24" t="s">
        <v>60</v>
      </c>
      <c r="H15" s="56" t="s">
        <v>20</v>
      </c>
      <c r="I15" s="56" t="s">
        <v>44</v>
      </c>
      <c r="J15" s="58" t="s">
        <v>72</v>
      </c>
      <c r="K15" s="25"/>
      <c r="L15" s="56" t="s">
        <v>44</v>
      </c>
      <c r="M15" s="24" t="str">
        <f>"167,5520"</f>
        <v>167,5520</v>
      </c>
      <c r="N15" s="18" t="s">
        <v>493</v>
      </c>
    </row>
    <row r="16" spans="1:14" ht="12.75">
      <c r="A16" s="61">
        <v>1</v>
      </c>
      <c r="B16" s="22" t="s">
        <v>492</v>
      </c>
      <c r="C16" s="22" t="s">
        <v>1547</v>
      </c>
      <c r="D16" s="22" t="s">
        <v>77</v>
      </c>
      <c r="E16" s="22" t="str">
        <f>"1,0619"</f>
        <v>1,0619</v>
      </c>
      <c r="F16" s="22" t="s">
        <v>59</v>
      </c>
      <c r="G16" s="22" t="s">
        <v>60</v>
      </c>
      <c r="H16" s="65" t="s">
        <v>20</v>
      </c>
      <c r="I16" s="65" t="s">
        <v>44</v>
      </c>
      <c r="J16" s="64" t="s">
        <v>72</v>
      </c>
      <c r="K16" s="23"/>
      <c r="L16" s="56" t="s">
        <v>44</v>
      </c>
      <c r="M16" s="22" t="str">
        <f>"169,8977"</f>
        <v>169,8977</v>
      </c>
      <c r="N16" s="17" t="s">
        <v>493</v>
      </c>
    </row>
    <row r="17" spans="2:13" ht="15.75">
      <c r="B17" s="171" t="s">
        <v>100</v>
      </c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</row>
    <row r="18" spans="1:14" ht="12.75">
      <c r="A18" s="61">
        <v>1</v>
      </c>
      <c r="B18" s="20" t="s">
        <v>494</v>
      </c>
      <c r="C18" s="20" t="s">
        <v>495</v>
      </c>
      <c r="D18" s="20" t="s">
        <v>496</v>
      </c>
      <c r="E18" s="20" t="str">
        <f>"0,9698"</f>
        <v>0,9698</v>
      </c>
      <c r="F18" s="20" t="s">
        <v>27</v>
      </c>
      <c r="G18" s="20" t="s">
        <v>88</v>
      </c>
      <c r="H18" s="56" t="s">
        <v>52</v>
      </c>
      <c r="I18" s="63" t="s">
        <v>89</v>
      </c>
      <c r="J18" s="63" t="s">
        <v>89</v>
      </c>
      <c r="K18" s="21"/>
      <c r="L18" s="56" t="s">
        <v>52</v>
      </c>
      <c r="M18" s="20" t="str">
        <f>"174,5640"</f>
        <v>174,5640</v>
      </c>
      <c r="N18" s="18" t="s">
        <v>111</v>
      </c>
    </row>
    <row r="19" spans="1:14" ht="12.75">
      <c r="A19" s="61">
        <v>2</v>
      </c>
      <c r="B19" s="24" t="s">
        <v>497</v>
      </c>
      <c r="C19" s="24" t="s">
        <v>498</v>
      </c>
      <c r="D19" s="24" t="s">
        <v>499</v>
      </c>
      <c r="E19" s="24" t="str">
        <f>"0,9760"</f>
        <v>0,9760</v>
      </c>
      <c r="F19" s="24" t="s">
        <v>164</v>
      </c>
      <c r="G19" s="24" t="s">
        <v>1186</v>
      </c>
      <c r="H19" s="58" t="s">
        <v>44</v>
      </c>
      <c r="I19" s="56" t="s">
        <v>44</v>
      </c>
      <c r="J19" s="58" t="s">
        <v>46</v>
      </c>
      <c r="K19" s="25"/>
      <c r="L19" s="56" t="s">
        <v>44</v>
      </c>
      <c r="M19" s="24" t="str">
        <f>"156,1600"</f>
        <v>156,1600</v>
      </c>
      <c r="N19" s="18" t="s">
        <v>111</v>
      </c>
    </row>
    <row r="20" spans="1:14" ht="12.75">
      <c r="A20" s="61">
        <v>3</v>
      </c>
      <c r="B20" s="26" t="s">
        <v>500</v>
      </c>
      <c r="C20" s="26" t="s">
        <v>501</v>
      </c>
      <c r="D20" s="26" t="s">
        <v>502</v>
      </c>
      <c r="E20" s="26" t="str">
        <f>"0,9782"</f>
        <v>0,9782</v>
      </c>
      <c r="F20" s="26" t="s">
        <v>27</v>
      </c>
      <c r="G20" s="26" t="s">
        <v>503</v>
      </c>
      <c r="H20" s="67" t="s">
        <v>16</v>
      </c>
      <c r="I20" s="66" t="s">
        <v>29</v>
      </c>
      <c r="J20" s="67" t="s">
        <v>34</v>
      </c>
      <c r="K20" s="27"/>
      <c r="L20" s="66" t="s">
        <v>29</v>
      </c>
      <c r="M20" s="26" t="str">
        <f>"122,2750"</f>
        <v>122,2750</v>
      </c>
      <c r="N20" s="19" t="s">
        <v>504</v>
      </c>
    </row>
    <row r="21" spans="1:14" ht="12.75">
      <c r="A21" s="61">
        <v>1</v>
      </c>
      <c r="B21" s="24" t="s">
        <v>505</v>
      </c>
      <c r="C21" s="24" t="s">
        <v>506</v>
      </c>
      <c r="D21" s="24" t="s">
        <v>107</v>
      </c>
      <c r="E21" s="24" t="str">
        <f>"1,0217"</f>
        <v>1,0217</v>
      </c>
      <c r="F21" s="24" t="s">
        <v>1119</v>
      </c>
      <c r="G21" s="24" t="s">
        <v>136</v>
      </c>
      <c r="H21" s="56" t="s">
        <v>137</v>
      </c>
      <c r="I21" s="58" t="s">
        <v>91</v>
      </c>
      <c r="J21" s="56" t="s">
        <v>91</v>
      </c>
      <c r="K21" s="25"/>
      <c r="L21" s="56" t="s">
        <v>91</v>
      </c>
      <c r="M21" s="24" t="str">
        <f>"153,2488"</f>
        <v>153,2488</v>
      </c>
      <c r="N21" s="18" t="s">
        <v>111</v>
      </c>
    </row>
    <row r="22" spans="1:14" ht="12.75">
      <c r="A22" s="61">
        <v>1</v>
      </c>
      <c r="B22" s="22" t="s">
        <v>1114</v>
      </c>
      <c r="C22" s="22" t="s">
        <v>507</v>
      </c>
      <c r="D22" s="22" t="s">
        <v>508</v>
      </c>
      <c r="E22" s="22" t="str">
        <f>"1,0450"</f>
        <v>1,0450</v>
      </c>
      <c r="F22" s="22" t="s">
        <v>1182</v>
      </c>
      <c r="G22" s="24" t="s">
        <v>1186</v>
      </c>
      <c r="H22" s="65" t="s">
        <v>172</v>
      </c>
      <c r="I22" s="64" t="s">
        <v>72</v>
      </c>
      <c r="J22" s="64" t="s">
        <v>72</v>
      </c>
      <c r="K22" s="23"/>
      <c r="L22" s="65" t="s">
        <v>172</v>
      </c>
      <c r="M22" s="22" t="str">
        <f>"164,5896"</f>
        <v>164,5896</v>
      </c>
      <c r="N22" s="18" t="s">
        <v>111</v>
      </c>
    </row>
    <row r="23" spans="2:13" ht="15.75">
      <c r="B23" s="171" t="s">
        <v>117</v>
      </c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</row>
    <row r="24" spans="1:14" ht="12.75">
      <c r="A24" s="61">
        <v>1</v>
      </c>
      <c r="B24" s="20" t="s">
        <v>509</v>
      </c>
      <c r="C24" s="20" t="s">
        <v>510</v>
      </c>
      <c r="D24" s="20" t="s">
        <v>511</v>
      </c>
      <c r="E24" s="20" t="str">
        <f>"0,9458"</f>
        <v>0,9458</v>
      </c>
      <c r="F24" s="20" t="s">
        <v>853</v>
      </c>
      <c r="G24" s="20" t="s">
        <v>148</v>
      </c>
      <c r="H24" s="62" t="s">
        <v>89</v>
      </c>
      <c r="I24" s="62" t="s">
        <v>115</v>
      </c>
      <c r="J24" s="63" t="s">
        <v>98</v>
      </c>
      <c r="K24" s="21"/>
      <c r="L24" s="62" t="s">
        <v>115</v>
      </c>
      <c r="M24" s="20" t="str">
        <f>"184,4310"</f>
        <v>184,4310</v>
      </c>
      <c r="N24" s="16" t="s">
        <v>1111</v>
      </c>
    </row>
    <row r="25" spans="1:14" ht="12.75">
      <c r="A25" s="61">
        <v>1</v>
      </c>
      <c r="B25" s="24" t="s">
        <v>512</v>
      </c>
      <c r="C25" s="24" t="s">
        <v>513</v>
      </c>
      <c r="D25" s="24" t="s">
        <v>514</v>
      </c>
      <c r="E25" s="24" t="str">
        <f>"0,9374"</f>
        <v>0,9374</v>
      </c>
      <c r="F25" s="24" t="s">
        <v>1182</v>
      </c>
      <c r="G25" s="24" t="s">
        <v>1186</v>
      </c>
      <c r="H25" s="56" t="s">
        <v>515</v>
      </c>
      <c r="I25" s="56" t="s">
        <v>479</v>
      </c>
      <c r="J25" s="56" t="s">
        <v>159</v>
      </c>
      <c r="K25" s="25"/>
      <c r="L25" s="56" t="s">
        <v>159</v>
      </c>
      <c r="M25" s="24" t="str">
        <f>"203,8845"</f>
        <v>203,8845</v>
      </c>
      <c r="N25" s="18" t="s">
        <v>412</v>
      </c>
    </row>
    <row r="26" spans="1:14" ht="12.75">
      <c r="A26" s="61">
        <v>2</v>
      </c>
      <c r="B26" s="26" t="s">
        <v>516</v>
      </c>
      <c r="C26" s="26" t="s">
        <v>1548</v>
      </c>
      <c r="D26" s="26" t="s">
        <v>517</v>
      </c>
      <c r="E26" s="26" t="str">
        <f>"0,9226"</f>
        <v>0,9226</v>
      </c>
      <c r="F26" s="26" t="s">
        <v>27</v>
      </c>
      <c r="G26" s="26" t="s">
        <v>148</v>
      </c>
      <c r="H26" s="66" t="s">
        <v>89</v>
      </c>
      <c r="I26" s="66" t="s">
        <v>98</v>
      </c>
      <c r="J26" s="66" t="s">
        <v>90</v>
      </c>
      <c r="K26" s="27"/>
      <c r="L26" s="66" t="s">
        <v>90</v>
      </c>
      <c r="M26" s="26" t="str">
        <f>"189,1330"</f>
        <v>189,1330</v>
      </c>
      <c r="N26" s="19" t="s">
        <v>111</v>
      </c>
    </row>
    <row r="27" spans="1:14" ht="12.75">
      <c r="A27" s="61">
        <v>3</v>
      </c>
      <c r="B27" s="24" t="s">
        <v>518</v>
      </c>
      <c r="C27" s="24" t="s">
        <v>519</v>
      </c>
      <c r="D27" s="24" t="s">
        <v>520</v>
      </c>
      <c r="E27" s="24" t="str">
        <f>"0,9214"</f>
        <v>0,9214</v>
      </c>
      <c r="F27" s="24" t="s">
        <v>87</v>
      </c>
      <c r="G27" s="24" t="s">
        <v>88</v>
      </c>
      <c r="H27" s="56" t="s">
        <v>89</v>
      </c>
      <c r="I27" s="58" t="s">
        <v>98</v>
      </c>
      <c r="J27" s="56" t="s">
        <v>98</v>
      </c>
      <c r="K27" s="25"/>
      <c r="L27" s="56" t="s">
        <v>98</v>
      </c>
      <c r="M27" s="24" t="str">
        <f>"184,2800"</f>
        <v>184,2800</v>
      </c>
      <c r="N27" s="18" t="s">
        <v>521</v>
      </c>
    </row>
    <row r="28" spans="1:14" ht="12.75">
      <c r="A28" s="61">
        <v>4</v>
      </c>
      <c r="B28" s="20" t="s">
        <v>509</v>
      </c>
      <c r="C28" s="20" t="s">
        <v>1101</v>
      </c>
      <c r="D28" s="20" t="s">
        <v>511</v>
      </c>
      <c r="E28" s="20" t="str">
        <f>"0,9458"</f>
        <v>0,9458</v>
      </c>
      <c r="F28" s="20" t="s">
        <v>853</v>
      </c>
      <c r="G28" s="20" t="s">
        <v>148</v>
      </c>
      <c r="H28" s="62" t="s">
        <v>89</v>
      </c>
      <c r="I28" s="62" t="s">
        <v>115</v>
      </c>
      <c r="J28" s="63" t="s">
        <v>98</v>
      </c>
      <c r="K28" s="21"/>
      <c r="L28" s="62" t="s">
        <v>115</v>
      </c>
      <c r="M28" s="20" t="str">
        <f>"184,4310"</f>
        <v>184,4310</v>
      </c>
      <c r="N28" s="16" t="s">
        <v>1111</v>
      </c>
    </row>
    <row r="29" spans="1:14" ht="12.75">
      <c r="A29" s="61">
        <v>5</v>
      </c>
      <c r="B29" s="24" t="s">
        <v>522</v>
      </c>
      <c r="C29" s="24" t="s">
        <v>523</v>
      </c>
      <c r="D29" s="24" t="s">
        <v>524</v>
      </c>
      <c r="E29" s="24" t="str">
        <f>"0,9218"</f>
        <v>0,9218</v>
      </c>
      <c r="F29" s="24" t="s">
        <v>1119</v>
      </c>
      <c r="G29" s="24" t="s">
        <v>136</v>
      </c>
      <c r="H29" s="56" t="s">
        <v>63</v>
      </c>
      <c r="I29" s="58" t="s">
        <v>89</v>
      </c>
      <c r="J29" s="25"/>
      <c r="K29" s="25"/>
      <c r="L29" s="56" t="s">
        <v>63</v>
      </c>
      <c r="M29" s="24" t="str">
        <f>"170,5330"</f>
        <v>170,5330</v>
      </c>
      <c r="N29" s="18" t="s">
        <v>525</v>
      </c>
    </row>
    <row r="30" spans="1:14" ht="12.75">
      <c r="A30" s="61">
        <v>1</v>
      </c>
      <c r="B30" s="22" t="s">
        <v>526</v>
      </c>
      <c r="C30" s="22" t="s">
        <v>527</v>
      </c>
      <c r="D30" s="22" t="s">
        <v>528</v>
      </c>
      <c r="E30" s="22" t="str">
        <f>"1,3188"</f>
        <v>1,3188</v>
      </c>
      <c r="F30" s="22" t="s">
        <v>59</v>
      </c>
      <c r="G30" s="22" t="s">
        <v>529</v>
      </c>
      <c r="H30" s="65" t="s">
        <v>52</v>
      </c>
      <c r="I30" s="65" t="s">
        <v>309</v>
      </c>
      <c r="J30" s="64" t="s">
        <v>89</v>
      </c>
      <c r="K30" s="23"/>
      <c r="L30" s="65" t="s">
        <v>309</v>
      </c>
      <c r="M30" s="22" t="str">
        <f>"247,2660"</f>
        <v>247,2660</v>
      </c>
      <c r="N30" s="17" t="s">
        <v>111</v>
      </c>
    </row>
    <row r="31" spans="2:13" ht="15.75">
      <c r="B31" s="171" t="s">
        <v>138</v>
      </c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</row>
    <row r="32" spans="1:14" ht="12.75">
      <c r="A32" s="61">
        <v>1</v>
      </c>
      <c r="B32" s="24" t="s">
        <v>530</v>
      </c>
      <c r="C32" s="24" t="s">
        <v>531</v>
      </c>
      <c r="D32" s="24" t="s">
        <v>151</v>
      </c>
      <c r="E32" s="24" t="str">
        <f>"0,8850"</f>
        <v>0,8850</v>
      </c>
      <c r="F32" s="24" t="s">
        <v>12</v>
      </c>
      <c r="G32" s="24" t="s">
        <v>348</v>
      </c>
      <c r="H32" s="56" t="s">
        <v>79</v>
      </c>
      <c r="I32" s="56" t="s">
        <v>80</v>
      </c>
      <c r="J32" s="58" t="s">
        <v>42</v>
      </c>
      <c r="K32" s="25"/>
      <c r="L32" s="56" t="s">
        <v>80</v>
      </c>
      <c r="M32" s="24" t="str">
        <f>"196,9125"</f>
        <v>196,9125</v>
      </c>
      <c r="N32" s="18" t="s">
        <v>111</v>
      </c>
    </row>
    <row r="33" spans="1:14" ht="12.75">
      <c r="A33" s="61">
        <v>2</v>
      </c>
      <c r="B33" s="26" t="s">
        <v>532</v>
      </c>
      <c r="C33" s="26" t="s">
        <v>533</v>
      </c>
      <c r="D33" s="26" t="s">
        <v>534</v>
      </c>
      <c r="E33" s="26" t="str">
        <f>"0,9014"</f>
        <v>0,9014</v>
      </c>
      <c r="F33" s="26" t="s">
        <v>27</v>
      </c>
      <c r="G33" s="26" t="s">
        <v>535</v>
      </c>
      <c r="H33" s="66" t="s">
        <v>64</v>
      </c>
      <c r="I33" s="66" t="s">
        <v>115</v>
      </c>
      <c r="J33" s="66" t="s">
        <v>536</v>
      </c>
      <c r="K33" s="27"/>
      <c r="L33" s="66" t="s">
        <v>536</v>
      </c>
      <c r="M33" s="26" t="str">
        <f>"178,0265"</f>
        <v>178,0265</v>
      </c>
      <c r="N33" s="19" t="s">
        <v>1537</v>
      </c>
    </row>
    <row r="34" spans="1:14" ht="12.75">
      <c r="A34" s="61">
        <v>3</v>
      </c>
      <c r="B34" s="24" t="s">
        <v>537</v>
      </c>
      <c r="C34" s="24" t="s">
        <v>538</v>
      </c>
      <c r="D34" s="24" t="s">
        <v>539</v>
      </c>
      <c r="E34" s="24" t="str">
        <f>"0,8914"</f>
        <v>0,8914</v>
      </c>
      <c r="F34" s="24" t="s">
        <v>27</v>
      </c>
      <c r="G34" s="24" t="s">
        <v>148</v>
      </c>
      <c r="H34" s="56" t="s">
        <v>63</v>
      </c>
      <c r="I34" s="56" t="s">
        <v>64</v>
      </c>
      <c r="J34" s="58" t="s">
        <v>98</v>
      </c>
      <c r="K34" s="25"/>
      <c r="L34" s="56" t="s">
        <v>64</v>
      </c>
      <c r="M34" s="24" t="str">
        <f>"171,5945"</f>
        <v>171,5945</v>
      </c>
      <c r="N34" s="18" t="s">
        <v>111</v>
      </c>
    </row>
    <row r="35" spans="1:14" ht="12.75">
      <c r="A35" s="61">
        <v>4</v>
      </c>
      <c r="B35" s="26" t="s">
        <v>540</v>
      </c>
      <c r="C35" s="26" t="s">
        <v>541</v>
      </c>
      <c r="D35" s="26" t="s">
        <v>542</v>
      </c>
      <c r="E35" s="26" t="str">
        <f>"0,8890"</f>
        <v>0,8890</v>
      </c>
      <c r="F35" s="26" t="s">
        <v>87</v>
      </c>
      <c r="G35" s="26" t="s">
        <v>88</v>
      </c>
      <c r="H35" s="66" t="s">
        <v>143</v>
      </c>
      <c r="I35" s="67" t="s">
        <v>333</v>
      </c>
      <c r="J35" s="67" t="s">
        <v>333</v>
      </c>
      <c r="K35" s="27"/>
      <c r="L35" s="66" t="s">
        <v>143</v>
      </c>
      <c r="M35" s="26" t="str">
        <f>"148,9075"</f>
        <v>148,9075</v>
      </c>
      <c r="N35" s="19" t="s">
        <v>93</v>
      </c>
    </row>
    <row r="36" spans="1:14" ht="12.75">
      <c r="A36" s="61">
        <v>5</v>
      </c>
      <c r="B36" s="24" t="s">
        <v>543</v>
      </c>
      <c r="C36" s="24" t="s">
        <v>544</v>
      </c>
      <c r="D36" s="24" t="s">
        <v>378</v>
      </c>
      <c r="E36" s="24" t="str">
        <f>"0,8940"</f>
        <v>0,8940</v>
      </c>
      <c r="F36" s="24" t="s">
        <v>27</v>
      </c>
      <c r="G36" s="24" t="s">
        <v>28</v>
      </c>
      <c r="H36" s="56" t="s">
        <v>91</v>
      </c>
      <c r="I36" s="56" t="s">
        <v>44</v>
      </c>
      <c r="J36" s="58" t="s">
        <v>143</v>
      </c>
      <c r="K36" s="25"/>
      <c r="L36" s="56" t="s">
        <v>44</v>
      </c>
      <c r="M36" s="24" t="str">
        <f>"143,0400"</f>
        <v>143,0400</v>
      </c>
      <c r="N36" s="18" t="s">
        <v>1115</v>
      </c>
    </row>
    <row r="37" spans="2:14" ht="12.75">
      <c r="B37" s="24" t="s">
        <v>545</v>
      </c>
      <c r="C37" s="24" t="s">
        <v>546</v>
      </c>
      <c r="D37" s="24" t="s">
        <v>547</v>
      </c>
      <c r="E37" s="24" t="str">
        <f>"0,8886"</f>
        <v>0,8886</v>
      </c>
      <c r="F37" s="24" t="s">
        <v>27</v>
      </c>
      <c r="G37" s="20" t="s">
        <v>1188</v>
      </c>
      <c r="H37" s="58" t="s">
        <v>35</v>
      </c>
      <c r="I37" s="58"/>
      <c r="J37" s="58"/>
      <c r="K37" s="58"/>
      <c r="L37" s="111">
        <v>0</v>
      </c>
      <c r="M37" s="110" t="str">
        <f>"0,0000"</f>
        <v>0,0000</v>
      </c>
      <c r="N37" s="18" t="s">
        <v>111</v>
      </c>
    </row>
    <row r="38" spans="2:14" ht="12.75">
      <c r="B38" s="22" t="s">
        <v>545</v>
      </c>
      <c r="C38" s="22" t="s">
        <v>548</v>
      </c>
      <c r="D38" s="22" t="s">
        <v>547</v>
      </c>
      <c r="E38" s="22" t="str">
        <f>"0,9135"</f>
        <v>0,9135</v>
      </c>
      <c r="F38" s="22" t="s">
        <v>27</v>
      </c>
      <c r="G38" s="24" t="s">
        <v>1188</v>
      </c>
      <c r="H38" s="64" t="s">
        <v>35</v>
      </c>
      <c r="I38" s="64"/>
      <c r="J38" s="64"/>
      <c r="K38" s="64"/>
      <c r="L38" s="112">
        <v>0</v>
      </c>
      <c r="M38" s="76" t="str">
        <f>"0,0000"</f>
        <v>0,0000</v>
      </c>
      <c r="N38" s="17" t="s">
        <v>111</v>
      </c>
    </row>
    <row r="39" spans="2:13" ht="15.75">
      <c r="B39" s="171" t="s">
        <v>166</v>
      </c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</row>
    <row r="40" spans="1:14" ht="12.75">
      <c r="A40" s="61">
        <v>1</v>
      </c>
      <c r="B40" s="20" t="s">
        <v>549</v>
      </c>
      <c r="C40" s="20" t="s">
        <v>550</v>
      </c>
      <c r="D40" s="20" t="s">
        <v>551</v>
      </c>
      <c r="E40" s="20" t="str">
        <f>"0,8760"</f>
        <v>0,8760</v>
      </c>
      <c r="F40" s="20" t="s">
        <v>870</v>
      </c>
      <c r="G40" s="20" t="s">
        <v>1188</v>
      </c>
      <c r="H40" s="62" t="s">
        <v>82</v>
      </c>
      <c r="I40" s="63" t="s">
        <v>83</v>
      </c>
      <c r="J40" s="63" t="s">
        <v>83</v>
      </c>
      <c r="K40" s="21"/>
      <c r="L40" s="62" t="s">
        <v>82</v>
      </c>
      <c r="M40" s="20" t="str">
        <f>"227,7600"</f>
        <v>227,7600</v>
      </c>
      <c r="N40" s="18" t="s">
        <v>111</v>
      </c>
    </row>
    <row r="41" spans="1:14" ht="12.75">
      <c r="A41" s="61">
        <v>2</v>
      </c>
      <c r="B41" s="24" t="s">
        <v>552</v>
      </c>
      <c r="C41" s="24" t="s">
        <v>553</v>
      </c>
      <c r="D41" s="24" t="s">
        <v>551</v>
      </c>
      <c r="E41" s="24" t="str">
        <f>"0,8760"</f>
        <v>0,8760</v>
      </c>
      <c r="F41" s="24" t="s">
        <v>27</v>
      </c>
      <c r="G41" s="24" t="s">
        <v>129</v>
      </c>
      <c r="H41" s="56" t="s">
        <v>98</v>
      </c>
      <c r="I41" s="58" t="s">
        <v>41</v>
      </c>
      <c r="J41" s="25"/>
      <c r="K41" s="25"/>
      <c r="L41" s="56" t="s">
        <v>98</v>
      </c>
      <c r="M41" s="24" t="str">
        <f>"175,2000"</f>
        <v>175,2000</v>
      </c>
      <c r="N41" s="18" t="s">
        <v>156</v>
      </c>
    </row>
    <row r="42" spans="1:14" ht="12.75">
      <c r="A42" s="61">
        <v>3</v>
      </c>
      <c r="B42" s="26" t="s">
        <v>554</v>
      </c>
      <c r="C42" s="26" t="s">
        <v>555</v>
      </c>
      <c r="D42" s="26" t="s">
        <v>556</v>
      </c>
      <c r="E42" s="26" t="str">
        <f>"0,8650"</f>
        <v>0,8650</v>
      </c>
      <c r="F42" s="26" t="s">
        <v>27</v>
      </c>
      <c r="G42" s="26" t="s">
        <v>557</v>
      </c>
      <c r="H42" s="67" t="s">
        <v>115</v>
      </c>
      <c r="I42" s="66" t="s">
        <v>115</v>
      </c>
      <c r="J42" s="66" t="s">
        <v>536</v>
      </c>
      <c r="K42" s="27"/>
      <c r="L42" s="66" t="s">
        <v>536</v>
      </c>
      <c r="M42" s="26" t="str">
        <f>"170,8375"</f>
        <v>170,8375</v>
      </c>
      <c r="N42" s="19" t="s">
        <v>558</v>
      </c>
    </row>
    <row r="43" spans="1:14" ht="12.75">
      <c r="A43" s="61">
        <v>4</v>
      </c>
      <c r="B43" s="24" t="s">
        <v>559</v>
      </c>
      <c r="C43" s="24" t="s">
        <v>560</v>
      </c>
      <c r="D43" s="24" t="s">
        <v>561</v>
      </c>
      <c r="E43" s="24" t="str">
        <f>"0,8690"</f>
        <v>0,8690</v>
      </c>
      <c r="F43" s="24" t="s">
        <v>27</v>
      </c>
      <c r="G43" s="24" t="s">
        <v>148</v>
      </c>
      <c r="H43" s="56" t="s">
        <v>46</v>
      </c>
      <c r="I43" s="56" t="s">
        <v>89</v>
      </c>
      <c r="J43" s="58" t="s">
        <v>515</v>
      </c>
      <c r="K43" s="25"/>
      <c r="L43" s="56" t="s">
        <v>89</v>
      </c>
      <c r="M43" s="24" t="str">
        <f>"165,1100"</f>
        <v>165,1100</v>
      </c>
      <c r="N43" s="18" t="s">
        <v>111</v>
      </c>
    </row>
    <row r="44" spans="2:13" ht="15.75">
      <c r="B44" s="171" t="s">
        <v>562</v>
      </c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</row>
    <row r="45" spans="1:14" ht="12.75">
      <c r="A45" s="61">
        <v>1</v>
      </c>
      <c r="B45" s="24" t="s">
        <v>563</v>
      </c>
      <c r="C45" s="24" t="s">
        <v>564</v>
      </c>
      <c r="D45" s="24" t="s">
        <v>565</v>
      </c>
      <c r="E45" s="24" t="str">
        <f>"0,8540"</f>
        <v>0,8540</v>
      </c>
      <c r="F45" s="24" t="s">
        <v>27</v>
      </c>
      <c r="G45" s="24" t="s">
        <v>468</v>
      </c>
      <c r="H45" s="56" t="s">
        <v>469</v>
      </c>
      <c r="I45" s="56" t="s">
        <v>566</v>
      </c>
      <c r="J45" s="56" t="s">
        <v>567</v>
      </c>
      <c r="K45" s="58" t="s">
        <v>124</v>
      </c>
      <c r="L45" s="56" t="s">
        <v>567</v>
      </c>
      <c r="M45" s="24" t="str">
        <f>"241,2550"</f>
        <v>241,2550</v>
      </c>
      <c r="N45" s="18" t="s">
        <v>470</v>
      </c>
    </row>
    <row r="47" spans="2:3" ht="18">
      <c r="B47" s="29" t="s">
        <v>7</v>
      </c>
      <c r="C47" s="29"/>
    </row>
    <row r="48" spans="2:3" ht="15.75">
      <c r="B48" s="30" t="s">
        <v>189</v>
      </c>
      <c r="C48" s="30"/>
    </row>
    <row r="49" spans="2:3" ht="13.5">
      <c r="B49" s="32" t="s">
        <v>184</v>
      </c>
      <c r="C49" s="33"/>
    </row>
    <row r="50" spans="2:6" ht="13.5">
      <c r="B50" s="35" t="s">
        <v>176</v>
      </c>
      <c r="C50" s="35" t="s">
        <v>177</v>
      </c>
      <c r="D50" s="35" t="s">
        <v>178</v>
      </c>
      <c r="E50" s="35" t="s">
        <v>179</v>
      </c>
      <c r="F50" s="35" t="s">
        <v>180</v>
      </c>
    </row>
    <row r="51" spans="1:6" ht="12.75">
      <c r="A51" s="61">
        <v>1</v>
      </c>
      <c r="B51" s="31" t="s">
        <v>563</v>
      </c>
      <c r="C51" s="133" t="s">
        <v>185</v>
      </c>
      <c r="D51" s="133" t="s">
        <v>568</v>
      </c>
      <c r="E51" s="133" t="s">
        <v>567</v>
      </c>
      <c r="F51" s="134" t="s">
        <v>569</v>
      </c>
    </row>
    <row r="52" spans="1:6" ht="12.75">
      <c r="A52" s="61">
        <v>2</v>
      </c>
      <c r="B52" s="31" t="s">
        <v>549</v>
      </c>
      <c r="C52" s="133" t="s">
        <v>185</v>
      </c>
      <c r="D52" s="133" t="s">
        <v>212</v>
      </c>
      <c r="E52" s="133" t="s">
        <v>82</v>
      </c>
      <c r="F52" s="134" t="s">
        <v>570</v>
      </c>
    </row>
    <row r="53" spans="1:6" ht="12.75">
      <c r="A53" s="61">
        <v>3</v>
      </c>
      <c r="B53" s="31" t="s">
        <v>512</v>
      </c>
      <c r="C53" s="133" t="s">
        <v>185</v>
      </c>
      <c r="D53" s="133" t="s">
        <v>200</v>
      </c>
      <c r="E53" s="133" t="s">
        <v>159</v>
      </c>
      <c r="F53" s="134" t="s">
        <v>571</v>
      </c>
    </row>
    <row r="54" spans="2:6" ht="12.75">
      <c r="B54" s="31" t="s">
        <v>530</v>
      </c>
      <c r="C54" s="133" t="s">
        <v>185</v>
      </c>
      <c r="D54" s="133" t="s">
        <v>190</v>
      </c>
      <c r="E54" s="133" t="s">
        <v>80</v>
      </c>
      <c r="F54" s="134" t="s">
        <v>572</v>
      </c>
    </row>
    <row r="55" spans="2:6" ht="12.75">
      <c r="B55" s="31" t="s">
        <v>516</v>
      </c>
      <c r="C55" s="133" t="s">
        <v>185</v>
      </c>
      <c r="D55" s="133" t="s">
        <v>200</v>
      </c>
      <c r="E55" s="133" t="s">
        <v>90</v>
      </c>
      <c r="F55" s="134" t="s">
        <v>573</v>
      </c>
    </row>
    <row r="56" spans="2:6" ht="12.75">
      <c r="B56" s="31" t="s">
        <v>509</v>
      </c>
      <c r="C56" s="133" t="s">
        <v>185</v>
      </c>
      <c r="D56" s="133" t="s">
        <v>200</v>
      </c>
      <c r="E56" s="133" t="s">
        <v>115</v>
      </c>
      <c r="F56" s="135" t="str">
        <f>"184,4310"</f>
        <v>184,4310</v>
      </c>
    </row>
    <row r="57" spans="2:6" ht="12.75">
      <c r="B57" s="31" t="s">
        <v>518</v>
      </c>
      <c r="C57" s="133" t="s">
        <v>185</v>
      </c>
      <c r="D57" s="133" t="s">
        <v>200</v>
      </c>
      <c r="E57" s="133" t="s">
        <v>98</v>
      </c>
      <c r="F57" s="134" t="s">
        <v>574</v>
      </c>
    </row>
    <row r="58" spans="2:6" ht="12.75">
      <c r="B58" s="31" t="s">
        <v>484</v>
      </c>
      <c r="C58" s="133" t="s">
        <v>185</v>
      </c>
      <c r="D58" s="133" t="s">
        <v>181</v>
      </c>
      <c r="E58" s="133" t="s">
        <v>44</v>
      </c>
      <c r="F58" s="134" t="s">
        <v>575</v>
      </c>
    </row>
    <row r="59" spans="2:6" ht="12.75">
      <c r="B59" s="31" t="s">
        <v>532</v>
      </c>
      <c r="C59" s="133" t="s">
        <v>185</v>
      </c>
      <c r="D59" s="133" t="s">
        <v>190</v>
      </c>
      <c r="E59" s="133" t="s">
        <v>536</v>
      </c>
      <c r="F59" s="134" t="s">
        <v>576</v>
      </c>
    </row>
    <row r="60" spans="2:6" ht="12.75">
      <c r="B60" s="31" t="s">
        <v>487</v>
      </c>
      <c r="C60" s="133" t="s">
        <v>185</v>
      </c>
      <c r="D60" s="133" t="s">
        <v>193</v>
      </c>
      <c r="E60" s="133" t="s">
        <v>45</v>
      </c>
      <c r="F60" s="134" t="s">
        <v>577</v>
      </c>
    </row>
    <row r="61" spans="2:6" ht="12.75">
      <c r="B61" s="31" t="s">
        <v>552</v>
      </c>
      <c r="C61" s="133" t="s">
        <v>185</v>
      </c>
      <c r="D61" s="133" t="s">
        <v>212</v>
      </c>
      <c r="E61" s="133" t="s">
        <v>98</v>
      </c>
      <c r="F61" s="134" t="s">
        <v>578</v>
      </c>
    </row>
    <row r="62" spans="2:6" ht="12.75">
      <c r="B62" s="31" t="s">
        <v>494</v>
      </c>
      <c r="C62" s="133" t="s">
        <v>185</v>
      </c>
      <c r="D62" s="133" t="s">
        <v>205</v>
      </c>
      <c r="E62" s="133" t="s">
        <v>52</v>
      </c>
      <c r="F62" s="134" t="s">
        <v>579</v>
      </c>
    </row>
    <row r="63" spans="2:6" ht="12.75">
      <c r="B63" s="31" t="s">
        <v>537</v>
      </c>
      <c r="C63" s="133" t="s">
        <v>185</v>
      </c>
      <c r="D63" s="133" t="s">
        <v>190</v>
      </c>
      <c r="E63" s="133" t="s">
        <v>64</v>
      </c>
      <c r="F63" s="134" t="s">
        <v>580</v>
      </c>
    </row>
    <row r="64" spans="2:6" ht="12.75">
      <c r="B64" s="31" t="s">
        <v>554</v>
      </c>
      <c r="C64" s="133" t="s">
        <v>185</v>
      </c>
      <c r="D64" s="133" t="s">
        <v>212</v>
      </c>
      <c r="E64" s="133" t="s">
        <v>536</v>
      </c>
      <c r="F64" s="134" t="s">
        <v>581</v>
      </c>
    </row>
    <row r="65" spans="2:6" ht="12.75">
      <c r="B65" s="31" t="s">
        <v>522</v>
      </c>
      <c r="C65" s="133" t="s">
        <v>185</v>
      </c>
      <c r="D65" s="133" t="s">
        <v>200</v>
      </c>
      <c r="E65" s="133" t="s">
        <v>63</v>
      </c>
      <c r="F65" s="134" t="s">
        <v>582</v>
      </c>
    </row>
    <row r="66" spans="2:6" ht="12.75">
      <c r="B66" s="31" t="s">
        <v>492</v>
      </c>
      <c r="C66" s="133" t="s">
        <v>185</v>
      </c>
      <c r="D66" s="133" t="s">
        <v>193</v>
      </c>
      <c r="E66" s="133" t="s">
        <v>44</v>
      </c>
      <c r="F66" s="134" t="s">
        <v>583</v>
      </c>
    </row>
    <row r="67" spans="2:6" ht="12.75">
      <c r="B67" s="31" t="s">
        <v>559</v>
      </c>
      <c r="C67" s="133" t="s">
        <v>185</v>
      </c>
      <c r="D67" s="133" t="s">
        <v>212</v>
      </c>
      <c r="E67" s="133" t="s">
        <v>89</v>
      </c>
      <c r="F67" s="134" t="s">
        <v>584</v>
      </c>
    </row>
    <row r="68" spans="2:6" ht="12.75">
      <c r="B68" s="31" t="s">
        <v>497</v>
      </c>
      <c r="C68" s="133" t="s">
        <v>185</v>
      </c>
      <c r="D68" s="133" t="s">
        <v>205</v>
      </c>
      <c r="E68" s="133" t="s">
        <v>44</v>
      </c>
      <c r="F68" s="134" t="s">
        <v>585</v>
      </c>
    </row>
    <row r="69" spans="2:6" ht="12.75">
      <c r="B69" s="31" t="s">
        <v>540</v>
      </c>
      <c r="C69" s="133" t="s">
        <v>185</v>
      </c>
      <c r="D69" s="133" t="s">
        <v>190</v>
      </c>
      <c r="E69" s="133" t="s">
        <v>143</v>
      </c>
      <c r="F69" s="134" t="s">
        <v>586</v>
      </c>
    </row>
    <row r="70" spans="2:6" ht="12.75">
      <c r="B70" s="31" t="s">
        <v>543</v>
      </c>
      <c r="C70" s="133" t="s">
        <v>185</v>
      </c>
      <c r="D70" s="133" t="s">
        <v>190</v>
      </c>
      <c r="E70" s="133" t="s">
        <v>44</v>
      </c>
      <c r="F70" s="134" t="s">
        <v>587</v>
      </c>
    </row>
    <row r="71" spans="2:6" ht="12.75">
      <c r="B71" s="31" t="s">
        <v>500</v>
      </c>
      <c r="C71" s="133" t="s">
        <v>185</v>
      </c>
      <c r="D71" s="133" t="s">
        <v>205</v>
      </c>
      <c r="E71" s="133" t="s">
        <v>29</v>
      </c>
      <c r="F71" s="134" t="s">
        <v>588</v>
      </c>
    </row>
  </sheetData>
  <sheetProtection/>
  <mergeCells count="22">
    <mergeCell ref="B1:J2"/>
    <mergeCell ref="B3:B4"/>
    <mergeCell ref="C3:C4"/>
    <mergeCell ref="D3:D4"/>
    <mergeCell ref="E3:E4"/>
    <mergeCell ref="B17:M17"/>
    <mergeCell ref="N3:N4"/>
    <mergeCell ref="B5:M5"/>
    <mergeCell ref="B11:M11"/>
    <mergeCell ref="L3:L4"/>
    <mergeCell ref="M3:M4"/>
    <mergeCell ref="F3:F4"/>
    <mergeCell ref="G3:G4"/>
    <mergeCell ref="H3:K3"/>
    <mergeCell ref="B31:M31"/>
    <mergeCell ref="B39:M39"/>
    <mergeCell ref="B44:M44"/>
    <mergeCell ref="B6:M6"/>
    <mergeCell ref="B8:M8"/>
    <mergeCell ref="B10:M10"/>
    <mergeCell ref="B13:M13"/>
    <mergeCell ref="B23:M23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0"/>
  <sheetViews>
    <sheetView workbookViewId="0" topLeftCell="A1">
      <selection activeCell="M3" sqref="M3:M4"/>
    </sheetView>
  </sheetViews>
  <sheetFormatPr defaultColWidth="8.75390625" defaultRowHeight="12.75"/>
  <cols>
    <col min="1" max="1" width="2.00390625" style="28" customWidth="1"/>
    <col min="2" max="2" width="19.125" style="28" customWidth="1"/>
    <col min="3" max="3" width="26.875" style="28" customWidth="1"/>
    <col min="4" max="4" width="7.625" style="28" customWidth="1"/>
    <col min="5" max="5" width="11.25390625" style="28" customWidth="1"/>
    <col min="6" max="6" width="16.875" style="28" customWidth="1"/>
    <col min="7" max="7" width="27.375" style="28" customWidth="1"/>
    <col min="8" max="9" width="5.625" style="28" bestFit="1" customWidth="1"/>
    <col min="10" max="10" width="5.25390625" style="28" customWidth="1"/>
    <col min="11" max="11" width="7.875" style="28" customWidth="1"/>
    <col min="12" max="12" width="8.75390625" style="28" customWidth="1"/>
    <col min="13" max="13" width="10.625" style="28" customWidth="1"/>
    <col min="14" max="14" width="15.875" style="0" customWidth="1"/>
    <col min="15" max="15" width="0.37109375" style="0" hidden="1" customWidth="1"/>
    <col min="16" max="35" width="9.125" style="0" hidden="1" customWidth="1"/>
  </cols>
  <sheetData>
    <row r="1" spans="1:14" s="1" customFormat="1" ht="15" customHeight="1">
      <c r="A1" s="38"/>
      <c r="B1" s="162" t="s">
        <v>1155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79"/>
    </row>
    <row r="2" spans="1:14" s="1" customFormat="1" ht="81.75" customHeight="1" thickBot="1">
      <c r="A2" s="38"/>
      <c r="B2" s="164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80"/>
    </row>
    <row r="3" spans="2:14" s="2" customFormat="1" ht="12.75" customHeight="1">
      <c r="B3" s="166" t="s">
        <v>0</v>
      </c>
      <c r="C3" s="168" t="s">
        <v>1108</v>
      </c>
      <c r="D3" s="170" t="s">
        <v>1109</v>
      </c>
      <c r="E3" s="170" t="s">
        <v>1110</v>
      </c>
      <c r="F3" s="170" t="s">
        <v>4</v>
      </c>
      <c r="G3" s="170" t="s">
        <v>6</v>
      </c>
      <c r="H3" s="170" t="s">
        <v>1054</v>
      </c>
      <c r="I3" s="170"/>
      <c r="J3" s="170"/>
      <c r="K3" s="170"/>
      <c r="L3" s="170" t="s">
        <v>2</v>
      </c>
      <c r="M3" s="170" t="s">
        <v>1110</v>
      </c>
      <c r="N3" s="160" t="s">
        <v>3</v>
      </c>
    </row>
    <row r="4" spans="2:14" s="2" customFormat="1" ht="21" customHeight="1" thickBot="1">
      <c r="B4" s="167"/>
      <c r="C4" s="169"/>
      <c r="D4" s="169"/>
      <c r="E4" s="169"/>
      <c r="F4" s="169"/>
      <c r="G4" s="169"/>
      <c r="H4" s="3">
        <v>1</v>
      </c>
      <c r="I4" s="3">
        <v>2</v>
      </c>
      <c r="J4" s="3">
        <v>3</v>
      </c>
      <c r="K4" s="3" t="s">
        <v>5</v>
      </c>
      <c r="L4" s="169"/>
      <c r="M4" s="169"/>
      <c r="N4" s="161"/>
    </row>
    <row r="5" spans="1:21" ht="15.75">
      <c r="A5" s="61"/>
      <c r="B5" s="171" t="s">
        <v>1053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</row>
    <row r="6" spans="1:21" ht="15.75">
      <c r="A6" s="61"/>
      <c r="B6" s="171" t="s">
        <v>1122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</row>
    <row r="7" spans="1:21" ht="12.75">
      <c r="A7" s="61">
        <v>1</v>
      </c>
      <c r="B7" s="24" t="s">
        <v>427</v>
      </c>
      <c r="C7" s="24" t="s">
        <v>428</v>
      </c>
      <c r="D7" s="24" t="s">
        <v>429</v>
      </c>
      <c r="E7" s="24" t="s">
        <v>1120</v>
      </c>
      <c r="F7" s="24" t="s">
        <v>1121</v>
      </c>
      <c r="G7" s="24" t="s">
        <v>430</v>
      </c>
      <c r="H7" s="56" t="s">
        <v>81</v>
      </c>
      <c r="I7" s="56" t="s">
        <v>82</v>
      </c>
      <c r="J7" s="56" t="s">
        <v>83</v>
      </c>
      <c r="K7" s="25"/>
      <c r="L7" s="56" t="s">
        <v>83</v>
      </c>
      <c r="M7" s="24" t="str">
        <f>"241,8660"</f>
        <v>241,8660</v>
      </c>
      <c r="N7" s="18" t="s">
        <v>431</v>
      </c>
      <c r="O7" s="28"/>
      <c r="P7" s="28"/>
      <c r="Q7" s="28"/>
      <c r="R7" s="28"/>
      <c r="S7" s="28"/>
      <c r="T7" s="28"/>
      <c r="U7" s="28"/>
    </row>
    <row r="8" spans="15:21" ht="12.75" customHeight="1">
      <c r="O8" s="55"/>
      <c r="P8" s="55"/>
      <c r="Q8" s="55"/>
      <c r="R8" s="55"/>
      <c r="S8" s="55"/>
      <c r="T8" s="55"/>
      <c r="U8" s="55"/>
    </row>
    <row r="9" spans="15:21" ht="12" customHeight="1">
      <c r="O9" s="55"/>
      <c r="P9" s="55"/>
      <c r="Q9" s="55"/>
      <c r="R9" s="55"/>
      <c r="S9" s="55"/>
      <c r="T9" s="55"/>
      <c r="U9" s="55"/>
    </row>
    <row r="10" spans="16:21" ht="12.75">
      <c r="P10" s="28"/>
      <c r="Q10" s="28"/>
      <c r="R10" s="28"/>
      <c r="S10" s="28"/>
      <c r="T10" s="28"/>
      <c r="U10" s="28"/>
    </row>
  </sheetData>
  <sheetProtection/>
  <mergeCells count="13">
    <mergeCell ref="C3:C4"/>
    <mergeCell ref="D3:D4"/>
    <mergeCell ref="E3:E4"/>
    <mergeCell ref="B6:U6"/>
    <mergeCell ref="B1:N2"/>
    <mergeCell ref="G3:G4"/>
    <mergeCell ref="H3:K3"/>
    <mergeCell ref="N3:N4"/>
    <mergeCell ref="B5:U5"/>
    <mergeCell ref="F3:F4"/>
    <mergeCell ref="L3:L4"/>
    <mergeCell ref="M3:M4"/>
    <mergeCell ref="B3:B4"/>
  </mergeCell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7"/>
  <sheetViews>
    <sheetView workbookViewId="0" topLeftCell="A1">
      <selection activeCell="M3" sqref="M3:M4"/>
    </sheetView>
  </sheetViews>
  <sheetFormatPr defaultColWidth="8.75390625" defaultRowHeight="12.75"/>
  <cols>
    <col min="1" max="1" width="2.625" style="61" customWidth="1"/>
    <col min="2" max="2" width="17.625" style="28" customWidth="1"/>
    <col min="3" max="3" width="27.25390625" style="28" customWidth="1"/>
    <col min="4" max="4" width="8.125" style="28" customWidth="1"/>
    <col min="5" max="5" width="8.25390625" style="28" customWidth="1"/>
    <col min="6" max="6" width="11.25390625" style="28" customWidth="1"/>
    <col min="7" max="7" width="27.625" style="28" customWidth="1"/>
    <col min="8" max="11" width="4.625" style="28" bestFit="1" customWidth="1"/>
    <col min="12" max="12" width="7.875" style="28" bestFit="1" customWidth="1"/>
    <col min="13" max="13" width="9.00390625" style="28" customWidth="1"/>
    <col min="14" max="14" width="14.25390625" style="28" customWidth="1"/>
    <col min="15" max="15" width="0.12890625" style="28" customWidth="1"/>
    <col min="16" max="16" width="3.625" style="28" hidden="1" customWidth="1"/>
    <col min="17" max="19" width="9.125" style="28" hidden="1" customWidth="1"/>
    <col min="20" max="20" width="3.00390625" style="28" hidden="1" customWidth="1"/>
    <col min="21" max="21" width="8.625" style="28" hidden="1" customWidth="1"/>
    <col min="22" max="22" width="13.125" style="0" bestFit="1" customWidth="1"/>
  </cols>
  <sheetData>
    <row r="1" spans="1:14" s="1" customFormat="1" ht="15" customHeight="1">
      <c r="A1" s="38"/>
      <c r="B1" s="162" t="s">
        <v>1154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79"/>
    </row>
    <row r="2" spans="1:14" s="1" customFormat="1" ht="81.75" customHeight="1" thickBot="1">
      <c r="A2" s="38"/>
      <c r="B2" s="164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80"/>
    </row>
    <row r="3" spans="2:14" s="2" customFormat="1" ht="12.75" customHeight="1">
      <c r="B3" s="166" t="s">
        <v>0</v>
      </c>
      <c r="C3" s="168" t="s">
        <v>1108</v>
      </c>
      <c r="D3" s="170" t="s">
        <v>1109</v>
      </c>
      <c r="E3" s="170" t="s">
        <v>1110</v>
      </c>
      <c r="F3" s="170" t="s">
        <v>4</v>
      </c>
      <c r="G3" s="170" t="s">
        <v>6</v>
      </c>
      <c r="H3" s="170" t="s">
        <v>1054</v>
      </c>
      <c r="I3" s="170"/>
      <c r="J3" s="170"/>
      <c r="K3" s="170"/>
      <c r="L3" s="170" t="s">
        <v>2</v>
      </c>
      <c r="M3" s="170" t="s">
        <v>1110</v>
      </c>
      <c r="N3" s="160" t="s">
        <v>3</v>
      </c>
    </row>
    <row r="4" spans="2:14" s="2" customFormat="1" ht="21" customHeight="1" thickBot="1">
      <c r="B4" s="167"/>
      <c r="C4" s="169"/>
      <c r="D4" s="169"/>
      <c r="E4" s="169"/>
      <c r="F4" s="169"/>
      <c r="G4" s="169"/>
      <c r="H4" s="3">
        <v>1</v>
      </c>
      <c r="I4" s="3">
        <v>2</v>
      </c>
      <c r="J4" s="3">
        <v>3</v>
      </c>
      <c r="K4" s="3" t="s">
        <v>5</v>
      </c>
      <c r="L4" s="169"/>
      <c r="M4" s="169"/>
      <c r="N4" s="161"/>
    </row>
    <row r="5" spans="2:21" ht="15.75">
      <c r="B5" s="171" t="s">
        <v>1052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</row>
    <row r="6" spans="2:21" ht="15.75">
      <c r="B6" s="171" t="s">
        <v>257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</row>
    <row r="7" spans="1:14" ht="12.75">
      <c r="A7" s="61">
        <v>1</v>
      </c>
      <c r="B7" s="24" t="s">
        <v>1047</v>
      </c>
      <c r="C7" s="24" t="s">
        <v>1048</v>
      </c>
      <c r="D7" s="24" t="s">
        <v>1049</v>
      </c>
      <c r="E7" s="24" t="str">
        <f>"1,8408"</f>
        <v>1,8408</v>
      </c>
      <c r="F7" s="24" t="s">
        <v>27</v>
      </c>
      <c r="G7" s="24" t="s">
        <v>152</v>
      </c>
      <c r="H7" s="58" t="s">
        <v>32</v>
      </c>
      <c r="I7" s="56" t="s">
        <v>32</v>
      </c>
      <c r="J7" s="58" t="s">
        <v>239</v>
      </c>
      <c r="K7" s="25"/>
      <c r="L7" s="56" t="s">
        <v>32</v>
      </c>
      <c r="M7" s="24" t="str">
        <f>"147,2640"</f>
        <v>147,2640</v>
      </c>
      <c r="N7" s="18" t="s">
        <v>247</v>
      </c>
    </row>
  </sheetData>
  <sheetProtection/>
  <mergeCells count="13">
    <mergeCell ref="B1:N2"/>
    <mergeCell ref="B3:B4"/>
    <mergeCell ref="C3:C4"/>
    <mergeCell ref="D3:D4"/>
    <mergeCell ref="E3:E4"/>
    <mergeCell ref="F3:F4"/>
    <mergeCell ref="G3:G4"/>
    <mergeCell ref="H3:K3"/>
    <mergeCell ref="B6:U6"/>
    <mergeCell ref="L3:L4"/>
    <mergeCell ref="M3:M4"/>
    <mergeCell ref="N3:N4"/>
    <mergeCell ref="B5:U5"/>
  </mergeCells>
  <printOptions/>
  <pageMargins left="0.75" right="0.75" top="1" bottom="1" header="0.5" footer="0.5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M3" sqref="M3:M4"/>
    </sheetView>
  </sheetViews>
  <sheetFormatPr defaultColWidth="8.75390625" defaultRowHeight="12.75"/>
  <cols>
    <col min="1" max="1" width="3.625" style="61" customWidth="1"/>
    <col min="2" max="2" width="16.25390625" style="28" customWidth="1"/>
    <col min="3" max="3" width="26.00390625" style="28" customWidth="1"/>
    <col min="4" max="4" width="7.125" style="28" customWidth="1"/>
    <col min="5" max="5" width="7.375" style="28" customWidth="1"/>
    <col min="6" max="6" width="11.75390625" style="28" customWidth="1"/>
    <col min="7" max="7" width="25.00390625" style="28" bestFit="1" customWidth="1"/>
    <col min="8" max="8" width="5.625" style="28" bestFit="1" customWidth="1"/>
    <col min="9" max="9" width="6.00390625" style="28" customWidth="1"/>
    <col min="10" max="10" width="5.125" style="28" customWidth="1"/>
    <col min="11" max="11" width="4.625" style="28" bestFit="1" customWidth="1"/>
    <col min="12" max="12" width="7.875" style="28" bestFit="1" customWidth="1"/>
    <col min="13" max="13" width="9.75390625" style="28" customWidth="1"/>
    <col min="14" max="14" width="16.75390625" style="28" customWidth="1"/>
  </cols>
  <sheetData>
    <row r="1" spans="1:14" s="1" customFormat="1" ht="15" customHeight="1">
      <c r="A1" s="38"/>
      <c r="B1" s="162" t="s">
        <v>1153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79"/>
    </row>
    <row r="2" spans="1:14" s="1" customFormat="1" ht="81.75" customHeight="1" thickBot="1">
      <c r="A2" s="38"/>
      <c r="B2" s="164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80"/>
    </row>
    <row r="3" spans="2:14" s="2" customFormat="1" ht="12.75" customHeight="1">
      <c r="B3" s="166" t="s">
        <v>0</v>
      </c>
      <c r="C3" s="168" t="s">
        <v>1108</v>
      </c>
      <c r="D3" s="170" t="s">
        <v>1109</v>
      </c>
      <c r="E3" s="170" t="s">
        <v>1110</v>
      </c>
      <c r="F3" s="170" t="s">
        <v>4</v>
      </c>
      <c r="G3" s="170" t="s">
        <v>6</v>
      </c>
      <c r="H3" s="170" t="s">
        <v>1054</v>
      </c>
      <c r="I3" s="170"/>
      <c r="J3" s="170"/>
      <c r="K3" s="170"/>
      <c r="L3" s="170" t="s">
        <v>2</v>
      </c>
      <c r="M3" s="170" t="s">
        <v>1110</v>
      </c>
      <c r="N3" s="160" t="s">
        <v>3</v>
      </c>
    </row>
    <row r="4" spans="2:14" s="2" customFormat="1" ht="21" customHeight="1" thickBot="1">
      <c r="B4" s="167"/>
      <c r="C4" s="169"/>
      <c r="D4" s="169"/>
      <c r="E4" s="169"/>
      <c r="F4" s="169"/>
      <c r="G4" s="169"/>
      <c r="H4" s="3">
        <v>1</v>
      </c>
      <c r="I4" s="3">
        <v>2</v>
      </c>
      <c r="J4" s="3">
        <v>3</v>
      </c>
      <c r="K4" s="3" t="s">
        <v>5</v>
      </c>
      <c r="L4" s="169"/>
      <c r="M4" s="169"/>
      <c r="N4" s="161"/>
    </row>
    <row r="5" spans="2:14" ht="15.75">
      <c r="B5" s="171" t="s">
        <v>1053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</row>
    <row r="6" spans="2:14" ht="15.75">
      <c r="B6" s="171" t="s">
        <v>166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</row>
    <row r="7" spans="1:14" ht="12.75">
      <c r="A7" s="61">
        <v>1</v>
      </c>
      <c r="B7" s="24" t="s">
        <v>167</v>
      </c>
      <c r="C7" s="24" t="s">
        <v>168</v>
      </c>
      <c r="D7" s="24" t="s">
        <v>169</v>
      </c>
      <c r="E7" s="24" t="str">
        <f>"0,8652"</f>
        <v>0,8652</v>
      </c>
      <c r="F7" s="24" t="s">
        <v>27</v>
      </c>
      <c r="G7" s="24" t="s">
        <v>170</v>
      </c>
      <c r="H7" s="56" t="s">
        <v>92</v>
      </c>
      <c r="I7" s="56" t="s">
        <v>171</v>
      </c>
      <c r="J7" s="58" t="s">
        <v>83</v>
      </c>
      <c r="K7" s="25"/>
      <c r="L7" s="56" t="s">
        <v>171</v>
      </c>
      <c r="M7" s="24" t="str">
        <f>"220,6260"</f>
        <v>220,6260</v>
      </c>
      <c r="N7" s="18" t="s">
        <v>111</v>
      </c>
    </row>
  </sheetData>
  <sheetProtection/>
  <mergeCells count="13">
    <mergeCell ref="B1:N2"/>
    <mergeCell ref="B3:B4"/>
    <mergeCell ref="C3:C4"/>
    <mergeCell ref="D3:D4"/>
    <mergeCell ref="E3:E4"/>
    <mergeCell ref="F3:F4"/>
    <mergeCell ref="G3:G4"/>
    <mergeCell ref="H3:K3"/>
    <mergeCell ref="B6:N6"/>
    <mergeCell ref="L3:L4"/>
    <mergeCell ref="M3:M4"/>
    <mergeCell ref="N3:N4"/>
    <mergeCell ref="B5:N5"/>
  </mergeCells>
  <printOptions/>
  <pageMargins left="0.75" right="0.75" top="1" bottom="1" header="0.5" footer="0.5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7"/>
  <sheetViews>
    <sheetView workbookViewId="0" topLeftCell="A1">
      <selection activeCell="C7" sqref="C7"/>
    </sheetView>
  </sheetViews>
  <sheetFormatPr defaultColWidth="8.75390625" defaultRowHeight="12.75"/>
  <cols>
    <col min="1" max="1" width="3.75390625" style="61" customWidth="1"/>
    <col min="2" max="2" width="16.625" style="28" customWidth="1"/>
    <col min="3" max="3" width="25.25390625" style="28" customWidth="1"/>
    <col min="4" max="4" width="8.00390625" style="28" customWidth="1"/>
    <col min="5" max="5" width="7.25390625" style="28" customWidth="1"/>
    <col min="6" max="6" width="11.75390625" style="28" customWidth="1"/>
    <col min="7" max="7" width="25.00390625" style="28" bestFit="1" customWidth="1"/>
    <col min="8" max="8" width="5.625" style="28" customWidth="1"/>
    <col min="9" max="9" width="6.00390625" style="28" customWidth="1"/>
    <col min="10" max="10" width="5.00390625" style="28" customWidth="1"/>
    <col min="11" max="11" width="4.625" style="28" bestFit="1" customWidth="1"/>
    <col min="12" max="12" width="5.25390625" style="28" customWidth="1"/>
    <col min="13" max="13" width="5.625" style="28" customWidth="1"/>
    <col min="14" max="14" width="5.875" style="28" customWidth="1"/>
    <col min="15" max="15" width="4.625" style="28" bestFit="1" customWidth="1"/>
    <col min="16" max="16" width="7.875" style="28" bestFit="1" customWidth="1"/>
    <col min="17" max="17" width="8.75390625" style="28" customWidth="1"/>
    <col min="18" max="18" width="15.625" style="28" customWidth="1"/>
  </cols>
  <sheetData>
    <row r="1" spans="1:18" s="1" customFormat="1" ht="15" customHeight="1">
      <c r="A1" s="38"/>
      <c r="B1" s="162" t="s">
        <v>1152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79"/>
    </row>
    <row r="2" spans="1:18" s="1" customFormat="1" ht="81.75" customHeight="1" thickBot="1">
      <c r="A2" s="38"/>
      <c r="B2" s="164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80"/>
    </row>
    <row r="3" spans="2:18" s="2" customFormat="1" ht="12.75" customHeight="1">
      <c r="B3" s="166" t="s">
        <v>0</v>
      </c>
      <c r="C3" s="168" t="s">
        <v>1108</v>
      </c>
      <c r="D3" s="170" t="s">
        <v>1109</v>
      </c>
      <c r="E3" s="170" t="s">
        <v>1110</v>
      </c>
      <c r="F3" s="170" t="s">
        <v>4</v>
      </c>
      <c r="G3" s="170" t="s">
        <v>6</v>
      </c>
      <c r="H3" s="170" t="s">
        <v>1050</v>
      </c>
      <c r="I3" s="170"/>
      <c r="J3" s="170"/>
      <c r="K3" s="170"/>
      <c r="L3" s="170" t="s">
        <v>1</v>
      </c>
      <c r="M3" s="170"/>
      <c r="N3" s="170"/>
      <c r="O3" s="170"/>
      <c r="P3" s="170" t="s">
        <v>2</v>
      </c>
      <c r="Q3" s="170" t="s">
        <v>1110</v>
      </c>
      <c r="R3" s="160" t="s">
        <v>3</v>
      </c>
    </row>
    <row r="4" spans="2:18" s="2" customFormat="1" ht="26.25" customHeight="1" thickBot="1">
      <c r="B4" s="167"/>
      <c r="C4" s="169"/>
      <c r="D4" s="169"/>
      <c r="E4" s="169"/>
      <c r="F4" s="169"/>
      <c r="G4" s="169"/>
      <c r="H4" s="3">
        <v>1</v>
      </c>
      <c r="I4" s="3">
        <v>2</v>
      </c>
      <c r="J4" s="3">
        <v>3</v>
      </c>
      <c r="K4" s="3" t="s">
        <v>5</v>
      </c>
      <c r="L4" s="3">
        <v>1</v>
      </c>
      <c r="M4" s="3">
        <v>2</v>
      </c>
      <c r="N4" s="3">
        <v>3</v>
      </c>
      <c r="O4" s="3" t="s">
        <v>5</v>
      </c>
      <c r="P4" s="169"/>
      <c r="Q4" s="169"/>
      <c r="R4" s="161"/>
    </row>
    <row r="5" spans="2:18" ht="15.75">
      <c r="B5" s="171" t="s">
        <v>1053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</row>
    <row r="6" spans="2:18" ht="15.75">
      <c r="B6" s="171" t="s">
        <v>166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</row>
    <row r="7" spans="1:18" ht="12.75">
      <c r="A7" s="61">
        <v>1</v>
      </c>
      <c r="B7" s="24" t="s">
        <v>167</v>
      </c>
      <c r="C7" s="24" t="s">
        <v>168</v>
      </c>
      <c r="D7" s="24" t="s">
        <v>480</v>
      </c>
      <c r="E7" s="24" t="str">
        <f>"0,8660"</f>
        <v>0,8660</v>
      </c>
      <c r="F7" s="24" t="s">
        <v>27</v>
      </c>
      <c r="G7" s="24" t="s">
        <v>170</v>
      </c>
      <c r="H7" s="56" t="s">
        <v>44</v>
      </c>
      <c r="I7" s="58" t="s">
        <v>46</v>
      </c>
      <c r="J7" s="25"/>
      <c r="K7" s="25"/>
      <c r="L7" s="56" t="s">
        <v>48</v>
      </c>
      <c r="M7" s="56" t="s">
        <v>74</v>
      </c>
      <c r="N7" s="25"/>
      <c r="O7" s="25"/>
      <c r="P7" s="56" t="s">
        <v>387</v>
      </c>
      <c r="Q7" s="24" t="str">
        <f>"415,6800"</f>
        <v>415,6800</v>
      </c>
      <c r="R7" s="18" t="s">
        <v>111</v>
      </c>
    </row>
  </sheetData>
  <sheetProtection/>
  <mergeCells count="14">
    <mergeCell ref="B6:R6"/>
    <mergeCell ref="B1:R2"/>
    <mergeCell ref="B3:B4"/>
    <mergeCell ref="C3:C4"/>
    <mergeCell ref="D3:D4"/>
    <mergeCell ref="E3:E4"/>
    <mergeCell ref="F3:F4"/>
    <mergeCell ref="G3:G4"/>
    <mergeCell ref="L3:O3"/>
    <mergeCell ref="P3:P4"/>
    <mergeCell ref="Q3:Q4"/>
    <mergeCell ref="R3:R4"/>
    <mergeCell ref="B5:R5"/>
    <mergeCell ref="H3:K3"/>
  </mergeCells>
  <printOptions/>
  <pageMargins left="0.75" right="0.75" top="1" bottom="1" header="0.5" footer="0.5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7"/>
  <sheetViews>
    <sheetView workbookViewId="0" topLeftCell="A1">
      <selection activeCell="C7" sqref="C7"/>
    </sheetView>
  </sheetViews>
  <sheetFormatPr defaultColWidth="8.75390625" defaultRowHeight="12.75"/>
  <cols>
    <col min="1" max="1" width="3.625" style="61" customWidth="1"/>
    <col min="2" max="2" width="16.75390625" style="28" customWidth="1"/>
    <col min="3" max="3" width="25.875" style="28" customWidth="1"/>
    <col min="4" max="4" width="8.00390625" style="28" customWidth="1"/>
    <col min="5" max="5" width="7.625" style="28" customWidth="1"/>
    <col min="6" max="6" width="14.25390625" style="28" customWidth="1"/>
    <col min="7" max="7" width="28.625" style="28" customWidth="1"/>
    <col min="8" max="8" width="6.125" style="28" customWidth="1"/>
    <col min="9" max="9" width="5.625" style="28" customWidth="1"/>
    <col min="10" max="10" width="6.125" style="28" customWidth="1"/>
    <col min="11" max="11" width="6.00390625" style="28" customWidth="1"/>
    <col min="12" max="12" width="5.875" style="28" customWidth="1"/>
    <col min="13" max="13" width="6.125" style="28" customWidth="1"/>
    <col min="14" max="14" width="5.25390625" style="28" customWidth="1"/>
    <col min="15" max="15" width="5.375" style="28" customWidth="1"/>
    <col min="16" max="16" width="7.875" style="28" bestFit="1" customWidth="1"/>
    <col min="17" max="17" width="8.625" style="28" customWidth="1"/>
    <col min="18" max="18" width="19.375" style="28" customWidth="1"/>
  </cols>
  <sheetData>
    <row r="1" spans="1:18" s="1" customFormat="1" ht="15" customHeight="1">
      <c r="A1" s="38"/>
      <c r="B1" s="162" t="s">
        <v>1151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79"/>
    </row>
    <row r="2" spans="1:18" s="1" customFormat="1" ht="81.75" customHeight="1" thickBot="1">
      <c r="A2" s="38"/>
      <c r="B2" s="164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80"/>
    </row>
    <row r="3" spans="2:18" s="2" customFormat="1" ht="12.75" customHeight="1">
      <c r="B3" s="166" t="s">
        <v>0</v>
      </c>
      <c r="C3" s="168" t="s">
        <v>1108</v>
      </c>
      <c r="D3" s="170" t="s">
        <v>1109</v>
      </c>
      <c r="E3" s="170" t="s">
        <v>1110</v>
      </c>
      <c r="F3" s="170" t="s">
        <v>4</v>
      </c>
      <c r="G3" s="170" t="s">
        <v>6</v>
      </c>
      <c r="H3" s="170" t="s">
        <v>1050</v>
      </c>
      <c r="I3" s="170"/>
      <c r="J3" s="170"/>
      <c r="K3" s="170"/>
      <c r="L3" s="170" t="s">
        <v>1</v>
      </c>
      <c r="M3" s="170"/>
      <c r="N3" s="170"/>
      <c r="O3" s="170"/>
      <c r="P3" s="170" t="s">
        <v>2</v>
      </c>
      <c r="Q3" s="170" t="s">
        <v>1110</v>
      </c>
      <c r="R3" s="160" t="s">
        <v>3</v>
      </c>
    </row>
    <row r="4" spans="2:18" s="2" customFormat="1" ht="21" customHeight="1" thickBot="1">
      <c r="B4" s="167"/>
      <c r="C4" s="169"/>
      <c r="D4" s="169"/>
      <c r="E4" s="169"/>
      <c r="F4" s="169"/>
      <c r="G4" s="169"/>
      <c r="H4" s="3">
        <v>1</v>
      </c>
      <c r="I4" s="3">
        <v>2</v>
      </c>
      <c r="J4" s="3">
        <v>3</v>
      </c>
      <c r="K4" s="3" t="s">
        <v>5</v>
      </c>
      <c r="L4" s="3">
        <v>1</v>
      </c>
      <c r="M4" s="3">
        <v>2</v>
      </c>
      <c r="N4" s="3">
        <v>3</v>
      </c>
      <c r="O4" s="3" t="s">
        <v>5</v>
      </c>
      <c r="P4" s="169"/>
      <c r="Q4" s="169"/>
      <c r="R4" s="161"/>
    </row>
    <row r="5" spans="2:18" ht="15.75">
      <c r="B5" s="171" t="s">
        <v>1053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</row>
    <row r="6" spans="2:18" ht="15.75">
      <c r="B6" s="171" t="s">
        <v>117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</row>
    <row r="7" spans="1:18" ht="12.75">
      <c r="A7" s="61">
        <v>1</v>
      </c>
      <c r="B7" s="24" t="s">
        <v>1044</v>
      </c>
      <c r="C7" s="24" t="s">
        <v>1045</v>
      </c>
      <c r="D7" s="24" t="s">
        <v>1046</v>
      </c>
      <c r="E7" s="24" t="str">
        <f>"0,9210"</f>
        <v>0,9210</v>
      </c>
      <c r="F7" s="24" t="s">
        <v>853</v>
      </c>
      <c r="G7" s="24" t="s">
        <v>148</v>
      </c>
      <c r="H7" s="56" t="s">
        <v>91</v>
      </c>
      <c r="I7" s="58" t="s">
        <v>21</v>
      </c>
      <c r="J7" s="24"/>
      <c r="K7" s="24"/>
      <c r="L7" s="58" t="s">
        <v>45</v>
      </c>
      <c r="M7" s="56" t="s">
        <v>45</v>
      </c>
      <c r="N7" s="56" t="s">
        <v>89</v>
      </c>
      <c r="O7" s="56" t="s">
        <v>90</v>
      </c>
      <c r="P7" s="56" t="s">
        <v>463</v>
      </c>
      <c r="Q7" s="24" t="str">
        <f>"313,1400"</f>
        <v>313,1400</v>
      </c>
      <c r="R7" s="18" t="s">
        <v>1111</v>
      </c>
    </row>
  </sheetData>
  <sheetProtection/>
  <mergeCells count="14">
    <mergeCell ref="B6:R6"/>
    <mergeCell ref="B1:R2"/>
    <mergeCell ref="B3:B4"/>
    <mergeCell ref="C3:C4"/>
    <mergeCell ref="D3:D4"/>
    <mergeCell ref="E3:E4"/>
    <mergeCell ref="F3:F4"/>
    <mergeCell ref="G3:G4"/>
    <mergeCell ref="L3:O3"/>
    <mergeCell ref="P3:P4"/>
    <mergeCell ref="Q3:Q4"/>
    <mergeCell ref="R3:R4"/>
    <mergeCell ref="B5:R5"/>
    <mergeCell ref="H3:K3"/>
  </mergeCells>
  <printOptions/>
  <pageMargins left="0.75" right="0.75" top="1" bottom="1" header="0.5" footer="0.5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9"/>
  <sheetViews>
    <sheetView workbookViewId="0" topLeftCell="A1">
      <selection activeCell="C9" sqref="C9"/>
    </sheetView>
  </sheetViews>
  <sheetFormatPr defaultColWidth="8.75390625" defaultRowHeight="12.75"/>
  <cols>
    <col min="1" max="1" width="2.625" style="0" customWidth="1"/>
    <col min="2" max="2" width="14.875" style="28" customWidth="1"/>
    <col min="3" max="3" width="27.00390625" style="28" customWidth="1"/>
    <col min="4" max="5" width="7.625" style="28" customWidth="1"/>
    <col min="6" max="6" width="14.25390625" style="28" customWidth="1"/>
    <col min="7" max="7" width="27.25390625" style="28" customWidth="1"/>
    <col min="8" max="8" width="6.00390625" style="28" customWidth="1"/>
    <col min="9" max="9" width="5.625" style="28" customWidth="1"/>
    <col min="10" max="10" width="5.75390625" style="28" customWidth="1"/>
    <col min="11" max="11" width="4.625" style="28" bestFit="1" customWidth="1"/>
    <col min="12" max="12" width="5.875" style="28" customWidth="1"/>
    <col min="13" max="13" width="5.75390625" style="28" customWidth="1"/>
    <col min="14" max="14" width="5.375" style="28" customWidth="1"/>
    <col min="15" max="15" width="4.625" style="28" bestFit="1" customWidth="1"/>
    <col min="16" max="16" width="7.875" style="28" bestFit="1" customWidth="1"/>
    <col min="17" max="17" width="8.25390625" style="28" customWidth="1"/>
    <col min="18" max="18" width="22.75390625" style="28" customWidth="1"/>
  </cols>
  <sheetData>
    <row r="1" spans="2:18" s="1" customFormat="1" ht="15" customHeight="1">
      <c r="B1" s="162" t="s">
        <v>1150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79"/>
    </row>
    <row r="2" spans="2:18" s="1" customFormat="1" ht="81.75" customHeight="1" thickBot="1">
      <c r="B2" s="164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80"/>
    </row>
    <row r="3" spans="2:18" s="2" customFormat="1" ht="12.75" customHeight="1">
      <c r="B3" s="166" t="s">
        <v>0</v>
      </c>
      <c r="C3" s="168" t="s">
        <v>1108</v>
      </c>
      <c r="D3" s="170" t="s">
        <v>1109</v>
      </c>
      <c r="E3" s="170" t="s">
        <v>1110</v>
      </c>
      <c r="F3" s="170" t="s">
        <v>4</v>
      </c>
      <c r="G3" s="170" t="s">
        <v>6</v>
      </c>
      <c r="H3" s="170" t="s">
        <v>1050</v>
      </c>
      <c r="I3" s="170"/>
      <c r="J3" s="170"/>
      <c r="K3" s="170"/>
      <c r="L3" s="170" t="s">
        <v>1</v>
      </c>
      <c r="M3" s="170"/>
      <c r="N3" s="170"/>
      <c r="O3" s="170"/>
      <c r="P3" s="170" t="s">
        <v>2</v>
      </c>
      <c r="Q3" s="170" t="s">
        <v>1110</v>
      </c>
      <c r="R3" s="160" t="s">
        <v>3</v>
      </c>
    </row>
    <row r="4" spans="2:18" s="2" customFormat="1" ht="21" customHeight="1" thickBot="1">
      <c r="B4" s="167"/>
      <c r="C4" s="169"/>
      <c r="D4" s="169"/>
      <c r="E4" s="169"/>
      <c r="F4" s="169"/>
      <c r="G4" s="169"/>
      <c r="H4" s="3">
        <v>1</v>
      </c>
      <c r="I4" s="3">
        <v>2</v>
      </c>
      <c r="J4" s="3">
        <v>3</v>
      </c>
      <c r="K4" s="3" t="s">
        <v>5</v>
      </c>
      <c r="L4" s="3">
        <v>1</v>
      </c>
      <c r="M4" s="3">
        <v>2</v>
      </c>
      <c r="N4" s="3">
        <v>3</v>
      </c>
      <c r="O4" s="3" t="s">
        <v>5</v>
      </c>
      <c r="P4" s="169"/>
      <c r="Q4" s="169"/>
      <c r="R4" s="161"/>
    </row>
    <row r="5" spans="2:18" ht="15.75">
      <c r="B5" s="171" t="s">
        <v>1053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</row>
    <row r="6" spans="2:18" ht="15.75">
      <c r="B6" s="171" t="s">
        <v>166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</row>
    <row r="7" spans="1:18" ht="12.75">
      <c r="A7" s="61">
        <v>1</v>
      </c>
      <c r="B7" s="24" t="s">
        <v>167</v>
      </c>
      <c r="C7" s="24" t="s">
        <v>168</v>
      </c>
      <c r="D7" s="24" t="s">
        <v>169</v>
      </c>
      <c r="E7" s="24" t="str">
        <f>"0,8652"</f>
        <v>0,8652</v>
      </c>
      <c r="F7" s="24" t="s">
        <v>27</v>
      </c>
      <c r="G7" s="24" t="s">
        <v>170</v>
      </c>
      <c r="H7" s="56" t="s">
        <v>91</v>
      </c>
      <c r="I7" s="56" t="s">
        <v>172</v>
      </c>
      <c r="J7" s="56" t="s">
        <v>72</v>
      </c>
      <c r="K7" s="25"/>
      <c r="L7" s="56" t="s">
        <v>173</v>
      </c>
      <c r="M7" s="56" t="s">
        <v>174</v>
      </c>
      <c r="N7" s="25"/>
      <c r="O7" s="25"/>
      <c r="P7" s="57">
        <v>477.5</v>
      </c>
      <c r="Q7" s="24" t="str">
        <f>"413,1330"</f>
        <v>413,1330</v>
      </c>
      <c r="R7" s="18" t="s">
        <v>111</v>
      </c>
    </row>
    <row r="8" spans="2:18" ht="15.75">
      <c r="B8" s="171" t="s">
        <v>562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</row>
    <row r="9" spans="1:18" ht="12.75">
      <c r="A9" s="61">
        <v>1</v>
      </c>
      <c r="B9" s="24" t="s">
        <v>845</v>
      </c>
      <c r="C9" s="24" t="s">
        <v>1553</v>
      </c>
      <c r="D9" s="24" t="s">
        <v>846</v>
      </c>
      <c r="E9" s="24" t="str">
        <f>"0,8404"</f>
        <v>0,8404</v>
      </c>
      <c r="F9" s="24" t="s">
        <v>853</v>
      </c>
      <c r="G9" s="24" t="s">
        <v>1188</v>
      </c>
      <c r="H9" s="56" t="s">
        <v>98</v>
      </c>
      <c r="I9" s="24"/>
      <c r="J9" s="25"/>
      <c r="K9" s="25"/>
      <c r="L9" s="56" t="s">
        <v>182</v>
      </c>
      <c r="M9" s="56" t="s">
        <v>1123</v>
      </c>
      <c r="N9" s="58" t="s">
        <v>933</v>
      </c>
      <c r="O9" s="25"/>
      <c r="P9" s="57" t="s">
        <v>1124</v>
      </c>
      <c r="Q9" s="24" t="s">
        <v>1247</v>
      </c>
      <c r="R9" s="18" t="s">
        <v>1232</v>
      </c>
    </row>
  </sheetData>
  <sheetProtection/>
  <mergeCells count="15">
    <mergeCell ref="B6:R6"/>
    <mergeCell ref="B8:R8"/>
    <mergeCell ref="B1:R2"/>
    <mergeCell ref="B3:B4"/>
    <mergeCell ref="C3:C4"/>
    <mergeCell ref="D3:D4"/>
    <mergeCell ref="E3:E4"/>
    <mergeCell ref="F3:F4"/>
    <mergeCell ref="G3:G4"/>
    <mergeCell ref="L3:O3"/>
    <mergeCell ref="P3:P4"/>
    <mergeCell ref="Q3:Q4"/>
    <mergeCell ref="R3:R4"/>
    <mergeCell ref="B5:R5"/>
    <mergeCell ref="H3:K3"/>
  </mergeCells>
  <printOptions/>
  <pageMargins left="0.75" right="0.75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9"/>
  <sheetViews>
    <sheetView workbookViewId="0" topLeftCell="A1">
      <selection activeCell="C7" sqref="C7"/>
    </sheetView>
  </sheetViews>
  <sheetFormatPr defaultColWidth="8.75390625" defaultRowHeight="12.75"/>
  <cols>
    <col min="1" max="1" width="2.875" style="61" customWidth="1"/>
    <col min="2" max="2" width="15.75390625" style="28" customWidth="1"/>
    <col min="3" max="3" width="27.625" style="28" customWidth="1"/>
    <col min="4" max="4" width="6.875" style="28" customWidth="1"/>
    <col min="5" max="5" width="6.625" style="28" customWidth="1"/>
    <col min="6" max="6" width="10.75390625" style="28" customWidth="1"/>
    <col min="7" max="7" width="25.875" style="28" customWidth="1"/>
    <col min="8" max="10" width="5.625" style="28" bestFit="1" customWidth="1"/>
    <col min="11" max="11" width="4.625" style="28" bestFit="1" customWidth="1"/>
    <col min="12" max="14" width="5.625" style="28" bestFit="1" customWidth="1"/>
    <col min="15" max="15" width="4.625" style="28" bestFit="1" customWidth="1"/>
    <col min="16" max="18" width="5.625" style="28" bestFit="1" customWidth="1"/>
    <col min="19" max="19" width="4.625" style="28" bestFit="1" customWidth="1"/>
    <col min="20" max="20" width="7.875" style="36" bestFit="1" customWidth="1"/>
    <col min="21" max="21" width="8.25390625" style="28" customWidth="1"/>
    <col min="22" max="22" width="18.00390625" style="28" customWidth="1"/>
  </cols>
  <sheetData>
    <row r="1" spans="1:22" s="1" customFormat="1" ht="15" customHeight="1">
      <c r="A1" s="38"/>
      <c r="B1" s="162" t="s">
        <v>1149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79"/>
    </row>
    <row r="2" spans="1:22" s="1" customFormat="1" ht="81.75" customHeight="1" thickBot="1">
      <c r="A2" s="38"/>
      <c r="B2" s="164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80"/>
    </row>
    <row r="3" spans="2:22" s="2" customFormat="1" ht="12.75" customHeight="1">
      <c r="B3" s="166" t="s">
        <v>0</v>
      </c>
      <c r="C3" s="168" t="s">
        <v>1108</v>
      </c>
      <c r="D3" s="170" t="s">
        <v>1109</v>
      </c>
      <c r="E3" s="170" t="s">
        <v>1110</v>
      </c>
      <c r="F3" s="170" t="s">
        <v>4</v>
      </c>
      <c r="G3" s="170" t="s">
        <v>6</v>
      </c>
      <c r="H3" s="170" t="s">
        <v>1054</v>
      </c>
      <c r="I3" s="170"/>
      <c r="J3" s="170"/>
      <c r="K3" s="170"/>
      <c r="L3" s="170" t="s">
        <v>1050</v>
      </c>
      <c r="M3" s="170"/>
      <c r="N3" s="170"/>
      <c r="O3" s="170"/>
      <c r="P3" s="170" t="s">
        <v>1</v>
      </c>
      <c r="Q3" s="170"/>
      <c r="R3" s="170"/>
      <c r="S3" s="170"/>
      <c r="T3" s="170" t="s">
        <v>2</v>
      </c>
      <c r="U3" s="170" t="s">
        <v>1110</v>
      </c>
      <c r="V3" s="160" t="s">
        <v>3</v>
      </c>
    </row>
    <row r="4" spans="2:22" s="2" customFormat="1" ht="21" customHeight="1" thickBot="1">
      <c r="B4" s="167"/>
      <c r="C4" s="169"/>
      <c r="D4" s="169"/>
      <c r="E4" s="169"/>
      <c r="F4" s="169"/>
      <c r="G4" s="169"/>
      <c r="H4" s="3">
        <v>1</v>
      </c>
      <c r="I4" s="3">
        <v>2</v>
      </c>
      <c r="J4" s="3">
        <v>3</v>
      </c>
      <c r="K4" s="3" t="s">
        <v>5</v>
      </c>
      <c r="L4" s="3">
        <v>1</v>
      </c>
      <c r="M4" s="3">
        <v>2</v>
      </c>
      <c r="N4" s="3">
        <v>3</v>
      </c>
      <c r="O4" s="3" t="s">
        <v>5</v>
      </c>
      <c r="P4" s="3">
        <v>1</v>
      </c>
      <c r="Q4" s="3">
        <v>2</v>
      </c>
      <c r="R4" s="3">
        <v>3</v>
      </c>
      <c r="S4" s="3" t="s">
        <v>5</v>
      </c>
      <c r="T4" s="169"/>
      <c r="U4" s="169"/>
      <c r="V4" s="161"/>
    </row>
    <row r="5" spans="2:22" ht="15.75">
      <c r="B5" s="171" t="s">
        <v>1053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</row>
    <row r="6" spans="2:22" ht="15.75">
      <c r="B6" s="171" t="s">
        <v>66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</row>
    <row r="7" spans="1:22" ht="12.75">
      <c r="A7" s="61">
        <v>1</v>
      </c>
      <c r="B7" s="24" t="s">
        <v>475</v>
      </c>
      <c r="C7" s="24" t="s">
        <v>476</v>
      </c>
      <c r="D7" s="24" t="s">
        <v>477</v>
      </c>
      <c r="E7" s="24" t="str">
        <f>"1,0528"</f>
        <v>1,0528</v>
      </c>
      <c r="F7" s="24" t="s">
        <v>27</v>
      </c>
      <c r="G7" s="24" t="s">
        <v>478</v>
      </c>
      <c r="H7" s="56" t="s">
        <v>48</v>
      </c>
      <c r="I7" s="56" t="s">
        <v>74</v>
      </c>
      <c r="J7" s="58" t="s">
        <v>463</v>
      </c>
      <c r="K7" s="25"/>
      <c r="L7" s="56" t="s">
        <v>98</v>
      </c>
      <c r="M7" s="56" t="s">
        <v>479</v>
      </c>
      <c r="N7" s="56" t="s">
        <v>54</v>
      </c>
      <c r="O7" s="25"/>
      <c r="P7" s="56" t="s">
        <v>81</v>
      </c>
      <c r="Q7" s="56" t="s">
        <v>83</v>
      </c>
      <c r="R7" s="56" t="s">
        <v>47</v>
      </c>
      <c r="S7" s="25"/>
      <c r="T7" s="56" t="s">
        <v>1125</v>
      </c>
      <c r="U7" s="24" t="str">
        <f>"863,2960"</f>
        <v>863,2960</v>
      </c>
      <c r="V7" s="18" t="s">
        <v>111</v>
      </c>
    </row>
    <row r="8" spans="2:22" ht="15.75">
      <c r="B8" s="171" t="s">
        <v>166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</row>
    <row r="9" spans="1:22" ht="12.75">
      <c r="A9" s="61">
        <v>1</v>
      </c>
      <c r="B9" s="24" t="s">
        <v>167</v>
      </c>
      <c r="C9" s="24" t="s">
        <v>168</v>
      </c>
      <c r="D9" s="24" t="s">
        <v>480</v>
      </c>
      <c r="E9" s="24" t="str">
        <f>"0,8660"</f>
        <v>0,8660</v>
      </c>
      <c r="F9" s="24" t="s">
        <v>27</v>
      </c>
      <c r="G9" s="24" t="s">
        <v>170</v>
      </c>
      <c r="H9" s="56" t="s">
        <v>81</v>
      </c>
      <c r="I9" s="25"/>
      <c r="J9" s="25"/>
      <c r="K9" s="25"/>
      <c r="L9" s="56" t="s">
        <v>44</v>
      </c>
      <c r="M9" s="58" t="s">
        <v>46</v>
      </c>
      <c r="N9" s="25"/>
      <c r="O9" s="25"/>
      <c r="P9" s="56" t="s">
        <v>48</v>
      </c>
      <c r="Q9" s="56" t="s">
        <v>74</v>
      </c>
      <c r="R9" s="25"/>
      <c r="S9" s="25"/>
      <c r="T9" s="56" t="s">
        <v>439</v>
      </c>
      <c r="U9" s="24" t="str">
        <f>"632,1800"</f>
        <v>632,1800</v>
      </c>
      <c r="V9" s="18" t="s">
        <v>111</v>
      </c>
    </row>
  </sheetData>
  <sheetProtection/>
  <mergeCells count="16">
    <mergeCell ref="B8:V8"/>
    <mergeCell ref="V3:V4"/>
    <mergeCell ref="B5:V5"/>
    <mergeCell ref="L3:O3"/>
    <mergeCell ref="P3:S3"/>
    <mergeCell ref="B6:V6"/>
    <mergeCell ref="B1:V2"/>
    <mergeCell ref="B3:B4"/>
    <mergeCell ref="C3:C4"/>
    <mergeCell ref="D3:D4"/>
    <mergeCell ref="E3:E4"/>
    <mergeCell ref="F3:F4"/>
    <mergeCell ref="G3:G4"/>
    <mergeCell ref="H3:K3"/>
    <mergeCell ref="T3:T4"/>
    <mergeCell ref="U3:U4"/>
  </mergeCells>
  <printOptions/>
  <pageMargins left="0.75" right="0.75" top="1" bottom="1" header="0.5" footer="0.5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C13" sqref="C13"/>
    </sheetView>
  </sheetViews>
  <sheetFormatPr defaultColWidth="8.75390625" defaultRowHeight="12.75"/>
  <cols>
    <col min="1" max="1" width="4.00390625" style="61" customWidth="1"/>
    <col min="2" max="2" width="19.25390625" style="28" customWidth="1"/>
    <col min="3" max="3" width="26.125" style="28" customWidth="1"/>
    <col min="4" max="4" width="9.625" style="28" customWidth="1"/>
    <col min="5" max="5" width="7.75390625" style="28" customWidth="1"/>
    <col min="6" max="6" width="11.625" style="28" customWidth="1"/>
    <col min="7" max="7" width="31.375" style="28" customWidth="1"/>
    <col min="8" max="10" width="5.625" style="28" bestFit="1" customWidth="1"/>
    <col min="11" max="11" width="4.625" style="28" bestFit="1" customWidth="1"/>
    <col min="12" max="12" width="5.75390625" style="28" customWidth="1"/>
    <col min="13" max="13" width="5.625" style="28" customWidth="1"/>
    <col min="14" max="15" width="5.875" style="28" customWidth="1"/>
    <col min="16" max="19" width="5.625" style="28" bestFit="1" customWidth="1"/>
    <col min="20" max="20" width="8.125" style="36" customWidth="1"/>
    <col min="21" max="21" width="8.625" style="28" bestFit="1" customWidth="1"/>
    <col min="22" max="22" width="20.125" style="0" bestFit="1" customWidth="1"/>
  </cols>
  <sheetData>
    <row r="1" spans="1:20" s="1" customFormat="1" ht="15" customHeight="1">
      <c r="A1" s="38"/>
      <c r="B1" s="162" t="s">
        <v>1148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79"/>
      <c r="T1" s="38"/>
    </row>
    <row r="2" spans="1:20" s="1" customFormat="1" ht="81.75" customHeight="1" thickBot="1">
      <c r="A2" s="38"/>
      <c r="B2" s="164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80"/>
      <c r="T2" s="38"/>
    </row>
    <row r="3" spans="2:22" s="2" customFormat="1" ht="12.75" customHeight="1">
      <c r="B3" s="166" t="s">
        <v>0</v>
      </c>
      <c r="C3" s="168" t="s">
        <v>1108</v>
      </c>
      <c r="D3" s="170" t="s">
        <v>1109</v>
      </c>
      <c r="E3" s="170" t="s">
        <v>1110</v>
      </c>
      <c r="F3" s="170" t="s">
        <v>4</v>
      </c>
      <c r="G3" s="170" t="s">
        <v>6</v>
      </c>
      <c r="H3" s="170" t="s">
        <v>1054</v>
      </c>
      <c r="I3" s="170"/>
      <c r="J3" s="170"/>
      <c r="K3" s="170"/>
      <c r="L3" s="170" t="s">
        <v>1050</v>
      </c>
      <c r="M3" s="170"/>
      <c r="N3" s="170"/>
      <c r="O3" s="170"/>
      <c r="P3" s="170" t="s">
        <v>1</v>
      </c>
      <c r="Q3" s="170"/>
      <c r="R3" s="170"/>
      <c r="S3" s="170"/>
      <c r="T3" s="170" t="s">
        <v>2</v>
      </c>
      <c r="U3" s="170" t="s">
        <v>1110</v>
      </c>
      <c r="V3" s="160" t="s">
        <v>3</v>
      </c>
    </row>
    <row r="4" spans="2:22" s="2" customFormat="1" ht="21" customHeight="1" thickBot="1">
      <c r="B4" s="167"/>
      <c r="C4" s="169"/>
      <c r="D4" s="169"/>
      <c r="E4" s="169"/>
      <c r="F4" s="169"/>
      <c r="G4" s="169"/>
      <c r="H4" s="3">
        <v>1</v>
      </c>
      <c r="I4" s="3">
        <v>2</v>
      </c>
      <c r="J4" s="3">
        <v>3</v>
      </c>
      <c r="K4" s="3" t="s">
        <v>5</v>
      </c>
      <c r="L4" s="3">
        <v>1</v>
      </c>
      <c r="M4" s="3">
        <v>2</v>
      </c>
      <c r="N4" s="3">
        <v>3</v>
      </c>
      <c r="O4" s="3" t="s">
        <v>5</v>
      </c>
      <c r="P4" s="3">
        <v>1</v>
      </c>
      <c r="Q4" s="3">
        <v>2</v>
      </c>
      <c r="R4" s="3">
        <v>3</v>
      </c>
      <c r="S4" s="3" t="s">
        <v>5</v>
      </c>
      <c r="T4" s="169"/>
      <c r="U4" s="169"/>
      <c r="V4" s="161"/>
    </row>
    <row r="5" spans="2:21" ht="15.75">
      <c r="B5" s="171" t="s">
        <v>1053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</row>
    <row r="6" spans="2:21" ht="15.75">
      <c r="B6" s="171" t="s">
        <v>66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</row>
    <row r="7" spans="1:22" ht="12.75">
      <c r="A7" s="61">
        <v>1</v>
      </c>
      <c r="B7" s="24" t="s">
        <v>452</v>
      </c>
      <c r="C7" s="24" t="s">
        <v>453</v>
      </c>
      <c r="D7" s="24" t="s">
        <v>454</v>
      </c>
      <c r="E7" s="24" t="str">
        <f>"1,0372"</f>
        <v>1,0372</v>
      </c>
      <c r="F7" s="24" t="s">
        <v>27</v>
      </c>
      <c r="G7" s="24" t="s">
        <v>142</v>
      </c>
      <c r="H7" s="58" t="s">
        <v>108</v>
      </c>
      <c r="I7" s="56" t="s">
        <v>108</v>
      </c>
      <c r="J7" s="58" t="s">
        <v>81</v>
      </c>
      <c r="K7" s="25"/>
      <c r="L7" s="56" t="s">
        <v>115</v>
      </c>
      <c r="M7" s="56" t="s">
        <v>90</v>
      </c>
      <c r="N7" s="58" t="s">
        <v>79</v>
      </c>
      <c r="O7" s="25"/>
      <c r="P7" s="56" t="s">
        <v>79</v>
      </c>
      <c r="Q7" s="56" t="s">
        <v>108</v>
      </c>
      <c r="R7" s="58" t="s">
        <v>42</v>
      </c>
      <c r="S7" s="25"/>
      <c r="T7" s="56" t="s">
        <v>1129</v>
      </c>
      <c r="U7" s="24" t="str">
        <f>"679,3660"</f>
        <v>679,3660</v>
      </c>
      <c r="V7" s="18" t="s">
        <v>455</v>
      </c>
    </row>
    <row r="8" spans="2:21" ht="15.75">
      <c r="B8" s="171" t="s">
        <v>100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</row>
    <row r="9" spans="1:22" ht="12.75">
      <c r="A9" s="61">
        <v>1</v>
      </c>
      <c r="B9" s="24" t="s">
        <v>456</v>
      </c>
      <c r="C9" s="24" t="s">
        <v>457</v>
      </c>
      <c r="D9" s="24" t="s">
        <v>458</v>
      </c>
      <c r="E9" s="24" t="str">
        <f>"0,9806"</f>
        <v>0,9806</v>
      </c>
      <c r="F9" s="24" t="s">
        <v>27</v>
      </c>
      <c r="G9" s="24" t="s">
        <v>148</v>
      </c>
      <c r="H9" s="58" t="s">
        <v>81</v>
      </c>
      <c r="I9" s="56" t="s">
        <v>82</v>
      </c>
      <c r="J9" s="58" t="s">
        <v>83</v>
      </c>
      <c r="K9" s="25"/>
      <c r="L9" s="58" t="s">
        <v>89</v>
      </c>
      <c r="M9" s="56" t="s">
        <v>115</v>
      </c>
      <c r="N9" s="56" t="s">
        <v>98</v>
      </c>
      <c r="O9" s="25"/>
      <c r="P9" s="56" t="s">
        <v>459</v>
      </c>
      <c r="Q9" s="25"/>
      <c r="R9" s="25"/>
      <c r="S9" s="25"/>
      <c r="T9" s="56" t="s">
        <v>1130</v>
      </c>
      <c r="U9" s="24" t="str">
        <f>"688,8715"</f>
        <v>688,8715</v>
      </c>
      <c r="V9" s="18" t="s">
        <v>455</v>
      </c>
    </row>
    <row r="10" spans="2:21" ht="15.75">
      <c r="B10" s="171" t="s">
        <v>166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</row>
    <row r="11" spans="1:22" ht="12.75">
      <c r="A11" s="61">
        <v>1</v>
      </c>
      <c r="B11" s="24" t="s">
        <v>465</v>
      </c>
      <c r="C11" s="24" t="s">
        <v>466</v>
      </c>
      <c r="D11" s="24" t="s">
        <v>467</v>
      </c>
      <c r="E11" s="24" t="str">
        <f>"0,8580"</f>
        <v>0,8580</v>
      </c>
      <c r="F11" s="24" t="s">
        <v>27</v>
      </c>
      <c r="G11" s="24" t="s">
        <v>468</v>
      </c>
      <c r="H11" s="56" t="s">
        <v>1126</v>
      </c>
      <c r="I11" s="58" t="s">
        <v>1127</v>
      </c>
      <c r="J11" s="58" t="s">
        <v>1127</v>
      </c>
      <c r="K11" s="25"/>
      <c r="L11" s="56" t="s">
        <v>171</v>
      </c>
      <c r="M11" s="56" t="s">
        <v>469</v>
      </c>
      <c r="N11" s="56" t="s">
        <v>83</v>
      </c>
      <c r="O11" s="25"/>
      <c r="P11" s="56" t="s">
        <v>153</v>
      </c>
      <c r="Q11" s="56" t="s">
        <v>1128</v>
      </c>
      <c r="R11" s="56" t="s">
        <v>1126</v>
      </c>
      <c r="S11" s="56" t="s">
        <v>401</v>
      </c>
      <c r="T11" s="56" t="s">
        <v>1131</v>
      </c>
      <c r="U11" s="24" t="s">
        <v>1248</v>
      </c>
      <c r="V11" s="18" t="s">
        <v>470</v>
      </c>
    </row>
    <row r="12" spans="1:22" ht="12.75">
      <c r="A12" s="61">
        <v>2</v>
      </c>
      <c r="B12" s="24" t="s">
        <v>460</v>
      </c>
      <c r="C12" s="24" t="s">
        <v>461</v>
      </c>
      <c r="D12" s="24" t="s">
        <v>462</v>
      </c>
      <c r="E12" s="24" t="str">
        <f>"0,8706"</f>
        <v>0,8706</v>
      </c>
      <c r="F12" s="24" t="s">
        <v>27</v>
      </c>
      <c r="G12" s="24" t="s">
        <v>129</v>
      </c>
      <c r="H12" s="58" t="s">
        <v>153</v>
      </c>
      <c r="I12" s="56" t="s">
        <v>463</v>
      </c>
      <c r="J12" s="58" t="s">
        <v>187</v>
      </c>
      <c r="K12" s="25"/>
      <c r="L12" s="56" t="s">
        <v>42</v>
      </c>
      <c r="M12" s="56" t="s">
        <v>92</v>
      </c>
      <c r="N12" s="56" t="s">
        <v>81</v>
      </c>
      <c r="O12" s="25"/>
      <c r="P12" s="58" t="s">
        <v>463</v>
      </c>
      <c r="Q12" s="56" t="s">
        <v>187</v>
      </c>
      <c r="R12" s="58" t="s">
        <v>464</v>
      </c>
      <c r="S12" s="25"/>
      <c r="T12" s="56" t="s">
        <v>1132</v>
      </c>
      <c r="U12" s="24" t="s">
        <v>1249</v>
      </c>
      <c r="V12" s="18" t="s">
        <v>132</v>
      </c>
    </row>
    <row r="13" spans="1:22" ht="12.75">
      <c r="A13" s="61">
        <v>1</v>
      </c>
      <c r="B13" s="22" t="s">
        <v>471</v>
      </c>
      <c r="C13" s="22" t="s">
        <v>472</v>
      </c>
      <c r="D13" s="22" t="s">
        <v>473</v>
      </c>
      <c r="E13" s="22" t="str">
        <f>"0,9432"</f>
        <v>0,9432</v>
      </c>
      <c r="F13" s="22" t="s">
        <v>27</v>
      </c>
      <c r="G13" s="22" t="s">
        <v>474</v>
      </c>
      <c r="H13" s="64" t="s">
        <v>124</v>
      </c>
      <c r="I13" s="65" t="s">
        <v>48</v>
      </c>
      <c r="J13" s="65" t="s">
        <v>49</v>
      </c>
      <c r="K13" s="23"/>
      <c r="L13" s="65" t="s">
        <v>41</v>
      </c>
      <c r="M13" s="64" t="s">
        <v>54</v>
      </c>
      <c r="N13" s="64" t="s">
        <v>54</v>
      </c>
      <c r="O13" s="23"/>
      <c r="P13" s="65" t="s">
        <v>82</v>
      </c>
      <c r="Q13" s="65" t="s">
        <v>47</v>
      </c>
      <c r="R13" s="64" t="s">
        <v>173</v>
      </c>
      <c r="S13" s="23"/>
      <c r="T13" s="65" t="s">
        <v>1133</v>
      </c>
      <c r="U13" s="22" t="str">
        <f>"759,2901"</f>
        <v>759,2901</v>
      </c>
      <c r="V13" s="17" t="s">
        <v>111</v>
      </c>
    </row>
    <row r="15" spans="2:3" ht="18">
      <c r="B15" s="29" t="s">
        <v>7</v>
      </c>
      <c r="C15" s="29"/>
    </row>
    <row r="16" spans="2:3" ht="15.75">
      <c r="B16" s="30" t="s">
        <v>189</v>
      </c>
      <c r="C16" s="30"/>
    </row>
    <row r="17" spans="2:3" ht="13.5">
      <c r="B17" s="32" t="s">
        <v>184</v>
      </c>
      <c r="C17" s="33"/>
    </row>
    <row r="18" spans="2:6" ht="13.5">
      <c r="B18" s="35" t="s">
        <v>176</v>
      </c>
      <c r="C18" s="35" t="s">
        <v>177</v>
      </c>
      <c r="D18" s="35" t="s">
        <v>178</v>
      </c>
      <c r="E18" s="35" t="s">
        <v>179</v>
      </c>
      <c r="F18" s="35" t="s">
        <v>180</v>
      </c>
    </row>
    <row r="19" spans="1:6" ht="12.75">
      <c r="A19" s="61">
        <v>1</v>
      </c>
      <c r="B19" s="109" t="s">
        <v>465</v>
      </c>
      <c r="C19" s="133" t="s">
        <v>185</v>
      </c>
      <c r="D19" s="133" t="s">
        <v>1143</v>
      </c>
      <c r="E19" s="133" t="s">
        <v>1131</v>
      </c>
      <c r="F19" s="135" t="s">
        <v>1248</v>
      </c>
    </row>
    <row r="20" spans="1:6" ht="12.75">
      <c r="A20" s="61">
        <v>2</v>
      </c>
      <c r="B20" s="109" t="s">
        <v>460</v>
      </c>
      <c r="C20" s="133" t="s">
        <v>185</v>
      </c>
      <c r="D20" s="133" t="s">
        <v>1143</v>
      </c>
      <c r="E20" s="133" t="s">
        <v>1132</v>
      </c>
      <c r="F20" s="135" t="s">
        <v>1249</v>
      </c>
    </row>
    <row r="21" spans="1:6" ht="12.75">
      <c r="A21" s="61">
        <v>3</v>
      </c>
      <c r="B21" s="109" t="s">
        <v>456</v>
      </c>
      <c r="C21" s="133" t="s">
        <v>185</v>
      </c>
      <c r="D21" s="133" t="s">
        <v>205</v>
      </c>
      <c r="E21" s="133" t="s">
        <v>1130</v>
      </c>
      <c r="F21" s="135" t="str">
        <f>"688,8715"</f>
        <v>688,8715</v>
      </c>
    </row>
    <row r="22" spans="2:6" ht="12.75">
      <c r="B22" s="109" t="s">
        <v>452</v>
      </c>
      <c r="C22" s="133" t="s">
        <v>185</v>
      </c>
      <c r="D22" s="133" t="s">
        <v>1144</v>
      </c>
      <c r="E22" s="133" t="s">
        <v>1129</v>
      </c>
      <c r="F22" s="135" t="str">
        <f>"679,3660"</f>
        <v>679,3660</v>
      </c>
    </row>
  </sheetData>
  <sheetProtection/>
  <mergeCells count="17">
    <mergeCell ref="B8:U8"/>
    <mergeCell ref="B10:U10"/>
    <mergeCell ref="V3:V4"/>
    <mergeCell ref="B5:U5"/>
    <mergeCell ref="L3:O3"/>
    <mergeCell ref="P3:S3"/>
    <mergeCell ref="T3:T4"/>
    <mergeCell ref="U3:U4"/>
    <mergeCell ref="B6:U6"/>
    <mergeCell ref="B1:N2"/>
    <mergeCell ref="B3:B4"/>
    <mergeCell ref="C3:C4"/>
    <mergeCell ref="D3:D4"/>
    <mergeCell ref="E3:E4"/>
    <mergeCell ref="F3:F4"/>
    <mergeCell ref="G3:G4"/>
    <mergeCell ref="H3:K3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">
      <selection activeCell="F19" sqref="F19"/>
    </sheetView>
  </sheetViews>
  <sheetFormatPr defaultColWidth="8.75390625" defaultRowHeight="12.75"/>
  <cols>
    <col min="1" max="1" width="3.125" style="61" customWidth="1"/>
    <col min="2" max="2" width="19.375" style="28" customWidth="1"/>
    <col min="3" max="3" width="26.875" style="28" customWidth="1"/>
    <col min="4" max="4" width="7.375" style="28" customWidth="1"/>
    <col min="5" max="5" width="7.00390625" style="28" customWidth="1"/>
    <col min="6" max="6" width="11.75390625" style="28" customWidth="1"/>
    <col min="7" max="7" width="25.00390625" style="28" customWidth="1"/>
    <col min="8" max="8" width="5.625" style="28" bestFit="1" customWidth="1"/>
    <col min="9" max="9" width="6.00390625" style="28" customWidth="1"/>
    <col min="10" max="10" width="6.125" style="28" customWidth="1"/>
    <col min="11" max="11" width="7.125" style="28" customWidth="1"/>
    <col min="12" max="12" width="8.125" style="36" customWidth="1"/>
    <col min="13" max="13" width="8.625" style="28" bestFit="1" customWidth="1"/>
    <col min="14" max="14" width="16.375" style="0" bestFit="1" customWidth="1"/>
  </cols>
  <sheetData>
    <row r="1" spans="1:12" s="1" customFormat="1" ht="15" customHeight="1">
      <c r="A1" s="38"/>
      <c r="B1" s="162" t="s">
        <v>1165</v>
      </c>
      <c r="C1" s="163"/>
      <c r="D1" s="163"/>
      <c r="E1" s="163"/>
      <c r="F1" s="163"/>
      <c r="G1" s="163"/>
      <c r="L1" s="38"/>
    </row>
    <row r="2" spans="1:12" s="1" customFormat="1" ht="81.75" customHeight="1" thickBot="1">
      <c r="A2" s="38"/>
      <c r="B2" s="164"/>
      <c r="C2" s="165"/>
      <c r="D2" s="165"/>
      <c r="E2" s="165"/>
      <c r="F2" s="165"/>
      <c r="G2" s="165"/>
      <c r="L2" s="38"/>
    </row>
    <row r="3" spans="2:14" s="2" customFormat="1" ht="12.75" customHeight="1">
      <c r="B3" s="166" t="s">
        <v>0</v>
      </c>
      <c r="C3" s="168" t="s">
        <v>1108</v>
      </c>
      <c r="D3" s="170" t="s">
        <v>1109</v>
      </c>
      <c r="E3" s="170" t="s">
        <v>1110</v>
      </c>
      <c r="F3" s="170" t="s">
        <v>4</v>
      </c>
      <c r="G3" s="170" t="s">
        <v>6</v>
      </c>
      <c r="H3" s="170" t="s">
        <v>1</v>
      </c>
      <c r="I3" s="170"/>
      <c r="J3" s="170"/>
      <c r="K3" s="170"/>
      <c r="L3" s="170" t="s">
        <v>2</v>
      </c>
      <c r="M3" s="170" t="s">
        <v>1110</v>
      </c>
      <c r="N3" s="160" t="s">
        <v>3</v>
      </c>
    </row>
    <row r="4" spans="2:14" s="2" customFormat="1" ht="21" customHeight="1" thickBot="1">
      <c r="B4" s="167"/>
      <c r="C4" s="169"/>
      <c r="D4" s="169"/>
      <c r="E4" s="169"/>
      <c r="F4" s="169"/>
      <c r="G4" s="169"/>
      <c r="H4" s="3">
        <v>1</v>
      </c>
      <c r="I4" s="3">
        <v>2</v>
      </c>
      <c r="J4" s="3">
        <v>3</v>
      </c>
      <c r="K4" s="3" t="s">
        <v>5</v>
      </c>
      <c r="L4" s="169"/>
      <c r="M4" s="169"/>
      <c r="N4" s="161"/>
    </row>
    <row r="5" spans="2:13" ht="15.75">
      <c r="B5" s="171" t="s">
        <v>1053</v>
      </c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</row>
    <row r="6" spans="2:13" ht="15.75">
      <c r="B6" s="171" t="s">
        <v>117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</row>
    <row r="7" spans="1:14" ht="12.75">
      <c r="A7" s="61">
        <v>1</v>
      </c>
      <c r="B7" s="24" t="s">
        <v>1039</v>
      </c>
      <c r="C7" s="24" t="s">
        <v>1040</v>
      </c>
      <c r="D7" s="24" t="s">
        <v>1019</v>
      </c>
      <c r="E7" s="24" t="str">
        <f>"0,9320"</f>
        <v>0,9320</v>
      </c>
      <c r="F7" s="24" t="s">
        <v>870</v>
      </c>
      <c r="G7" s="24" t="s">
        <v>1188</v>
      </c>
      <c r="H7" s="56" t="s">
        <v>41</v>
      </c>
      <c r="I7" s="58" t="s">
        <v>108</v>
      </c>
      <c r="J7" s="58" t="s">
        <v>381</v>
      </c>
      <c r="K7" s="25"/>
      <c r="L7" s="56" t="s">
        <v>41</v>
      </c>
      <c r="M7" s="24" t="str">
        <f>"200,3800"</f>
        <v>200,3800</v>
      </c>
      <c r="N7" s="18" t="s">
        <v>871</v>
      </c>
    </row>
    <row r="8" spans="2:13" ht="15.75">
      <c r="B8" s="171" t="s">
        <v>166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</row>
    <row r="9" spans="1:14" ht="12.75">
      <c r="A9" s="61">
        <v>1</v>
      </c>
      <c r="B9" s="24" t="s">
        <v>167</v>
      </c>
      <c r="C9" s="24" t="s">
        <v>168</v>
      </c>
      <c r="D9" s="24" t="s">
        <v>480</v>
      </c>
      <c r="E9" s="24" t="str">
        <f>"0,8660"</f>
        <v>0,8660</v>
      </c>
      <c r="F9" s="24" t="s">
        <v>27</v>
      </c>
      <c r="G9" s="24" t="s">
        <v>170</v>
      </c>
      <c r="H9" s="56" t="s">
        <v>48</v>
      </c>
      <c r="I9" s="56" t="s">
        <v>74</v>
      </c>
      <c r="J9" s="25"/>
      <c r="K9" s="25"/>
      <c r="L9" s="56" t="s">
        <v>74</v>
      </c>
      <c r="M9" s="24" t="str">
        <f>"277,1200"</f>
        <v>277,1200</v>
      </c>
      <c r="N9" s="18" t="s">
        <v>111</v>
      </c>
    </row>
  </sheetData>
  <sheetProtection/>
  <mergeCells count="14">
    <mergeCell ref="B8:M8"/>
    <mergeCell ref="N3:N4"/>
    <mergeCell ref="B5:M5"/>
    <mergeCell ref="H3:K3"/>
    <mergeCell ref="L3:L4"/>
    <mergeCell ref="M3:M4"/>
    <mergeCell ref="B6:M6"/>
    <mergeCell ref="B1:G2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33"/>
  <sheetViews>
    <sheetView workbookViewId="0" topLeftCell="A3">
      <selection activeCell="C7" sqref="C7"/>
    </sheetView>
  </sheetViews>
  <sheetFormatPr defaultColWidth="8.75390625" defaultRowHeight="12.75"/>
  <cols>
    <col min="1" max="1" width="3.25390625" style="61" customWidth="1"/>
    <col min="2" max="2" width="23.875" style="28" customWidth="1"/>
    <col min="3" max="3" width="26.625" style="28" customWidth="1"/>
    <col min="4" max="4" width="11.25390625" style="28" customWidth="1"/>
    <col min="5" max="5" width="8.125" style="28" customWidth="1"/>
    <col min="6" max="6" width="14.75390625" style="28" customWidth="1"/>
    <col min="7" max="7" width="37.375" style="28" customWidth="1"/>
    <col min="8" max="10" width="5.625" style="28" bestFit="1" customWidth="1"/>
    <col min="11" max="11" width="4.625" style="28" bestFit="1" customWidth="1"/>
    <col min="12" max="12" width="6.00390625" style="28" customWidth="1"/>
    <col min="13" max="13" width="5.375" style="28" customWidth="1"/>
    <col min="14" max="14" width="5.625" style="28" customWidth="1"/>
    <col min="15" max="15" width="6.625" style="28" customWidth="1"/>
    <col min="16" max="18" width="5.625" style="28" bestFit="1" customWidth="1"/>
    <col min="19" max="19" width="6.25390625" style="28" customWidth="1"/>
    <col min="20" max="20" width="9.625" style="36" customWidth="1"/>
    <col min="21" max="21" width="8.625" style="28" bestFit="1" customWidth="1"/>
    <col min="22" max="22" width="22.00390625" style="0" customWidth="1"/>
  </cols>
  <sheetData>
    <row r="1" spans="1:20" s="1" customFormat="1" ht="15" customHeight="1">
      <c r="A1" s="38"/>
      <c r="B1" s="162" t="s">
        <v>1147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79"/>
      <c r="T1" s="38"/>
    </row>
    <row r="2" spans="1:20" s="1" customFormat="1" ht="81.75" customHeight="1" thickBot="1">
      <c r="A2" s="38"/>
      <c r="B2" s="164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80"/>
      <c r="T2" s="38"/>
    </row>
    <row r="3" spans="2:22" s="2" customFormat="1" ht="12.75" customHeight="1">
      <c r="B3" s="166" t="s">
        <v>0</v>
      </c>
      <c r="C3" s="168" t="s">
        <v>1108</v>
      </c>
      <c r="D3" s="170" t="s">
        <v>1109</v>
      </c>
      <c r="E3" s="170" t="s">
        <v>1110</v>
      </c>
      <c r="F3" s="170" t="s">
        <v>4</v>
      </c>
      <c r="G3" s="170" t="s">
        <v>6</v>
      </c>
      <c r="H3" s="170" t="s">
        <v>1054</v>
      </c>
      <c r="I3" s="170"/>
      <c r="J3" s="170"/>
      <c r="K3" s="170"/>
      <c r="L3" s="170" t="s">
        <v>1050</v>
      </c>
      <c r="M3" s="170"/>
      <c r="N3" s="170"/>
      <c r="O3" s="170"/>
      <c r="P3" s="170" t="s">
        <v>1</v>
      </c>
      <c r="Q3" s="170"/>
      <c r="R3" s="170"/>
      <c r="S3" s="170"/>
      <c r="T3" s="170" t="s">
        <v>2</v>
      </c>
      <c r="U3" s="170" t="s">
        <v>1110</v>
      </c>
      <c r="V3" s="160" t="s">
        <v>3</v>
      </c>
    </row>
    <row r="4" spans="2:22" s="2" customFormat="1" ht="21" customHeight="1" thickBot="1">
      <c r="B4" s="167"/>
      <c r="C4" s="169"/>
      <c r="D4" s="169"/>
      <c r="E4" s="169"/>
      <c r="F4" s="169"/>
      <c r="G4" s="169"/>
      <c r="H4" s="3">
        <v>1</v>
      </c>
      <c r="I4" s="3">
        <v>2</v>
      </c>
      <c r="J4" s="3">
        <v>3</v>
      </c>
      <c r="K4" s="3" t="s">
        <v>5</v>
      </c>
      <c r="L4" s="3">
        <v>1</v>
      </c>
      <c r="M4" s="3">
        <v>2</v>
      </c>
      <c r="N4" s="3">
        <v>3</v>
      </c>
      <c r="O4" s="3" t="s">
        <v>5</v>
      </c>
      <c r="P4" s="3">
        <v>1</v>
      </c>
      <c r="Q4" s="3">
        <v>2</v>
      </c>
      <c r="R4" s="3">
        <v>3</v>
      </c>
      <c r="S4" s="3" t="s">
        <v>5</v>
      </c>
      <c r="T4" s="169"/>
      <c r="U4" s="169"/>
      <c r="V4" s="161"/>
    </row>
    <row r="5" spans="2:21" ht="15.75">
      <c r="B5" s="171" t="s">
        <v>1052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</row>
    <row r="6" spans="2:21" ht="15.75">
      <c r="B6" s="171" t="s">
        <v>257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</row>
    <row r="7" spans="1:22" ht="12.75">
      <c r="A7" s="61">
        <v>1</v>
      </c>
      <c r="B7" s="24" t="s">
        <v>408</v>
      </c>
      <c r="C7" s="24" t="s">
        <v>1540</v>
      </c>
      <c r="D7" s="24" t="s">
        <v>409</v>
      </c>
      <c r="E7" s="24" t="str">
        <f>"1,7902"</f>
        <v>1,7902</v>
      </c>
      <c r="F7" s="24" t="s">
        <v>1182</v>
      </c>
      <c r="G7" s="24" t="s">
        <v>1186</v>
      </c>
      <c r="H7" s="56" t="s">
        <v>294</v>
      </c>
      <c r="I7" s="56" t="s">
        <v>53</v>
      </c>
      <c r="J7" s="56" t="s">
        <v>411</v>
      </c>
      <c r="K7" s="25"/>
      <c r="L7" s="56" t="s">
        <v>253</v>
      </c>
      <c r="M7" s="56" t="s">
        <v>254</v>
      </c>
      <c r="N7" s="56" t="s">
        <v>289</v>
      </c>
      <c r="O7" s="25"/>
      <c r="P7" s="56" t="s">
        <v>91</v>
      </c>
      <c r="Q7" s="56" t="s">
        <v>172</v>
      </c>
      <c r="R7" s="56" t="s">
        <v>21</v>
      </c>
      <c r="S7" s="25"/>
      <c r="T7" s="56" t="s">
        <v>1141</v>
      </c>
      <c r="U7" s="24" t="str">
        <f>"599,7170"</f>
        <v>599,7170</v>
      </c>
      <c r="V7" s="18" t="s">
        <v>412</v>
      </c>
    </row>
    <row r="8" spans="2:21" ht="15.75">
      <c r="B8" s="171" t="s">
        <v>1053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</row>
    <row r="9" spans="2:21" ht="15.75">
      <c r="B9" s="171" t="s">
        <v>66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</row>
    <row r="10" spans="1:22" ht="12.75">
      <c r="A10" s="61">
        <v>1</v>
      </c>
      <c r="B10" s="24" t="s">
        <v>415</v>
      </c>
      <c r="C10" s="24" t="s">
        <v>1542</v>
      </c>
      <c r="D10" s="24" t="s">
        <v>417</v>
      </c>
      <c r="E10" s="24" t="str">
        <f>"1,0298"</f>
        <v>1,0298</v>
      </c>
      <c r="F10" s="24" t="s">
        <v>12</v>
      </c>
      <c r="G10" s="24" t="s">
        <v>13</v>
      </c>
      <c r="H10" s="58" t="s">
        <v>82</v>
      </c>
      <c r="I10" s="56" t="s">
        <v>82</v>
      </c>
      <c r="J10" s="56" t="s">
        <v>83</v>
      </c>
      <c r="K10" s="25"/>
      <c r="L10" s="56" t="s">
        <v>46</v>
      </c>
      <c r="M10" s="56" t="s">
        <v>52</v>
      </c>
      <c r="N10" s="56" t="s">
        <v>333</v>
      </c>
      <c r="O10" s="25"/>
      <c r="P10" s="56" t="s">
        <v>47</v>
      </c>
      <c r="Q10" s="56" t="s">
        <v>48</v>
      </c>
      <c r="R10" s="58" t="s">
        <v>71</v>
      </c>
      <c r="S10" s="25"/>
      <c r="T10" s="56" t="s">
        <v>440</v>
      </c>
      <c r="U10" s="24" t="str">
        <f>"774,9245"</f>
        <v>774,9245</v>
      </c>
      <c r="V10" s="18" t="s">
        <v>1111</v>
      </c>
    </row>
    <row r="11" spans="2:21" ht="15.75">
      <c r="B11" s="171" t="s">
        <v>100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</row>
    <row r="12" spans="1:22" ht="12.75">
      <c r="A12" s="61">
        <v>1</v>
      </c>
      <c r="B12" s="24" t="s">
        <v>413</v>
      </c>
      <c r="C12" s="24" t="s">
        <v>1541</v>
      </c>
      <c r="D12" s="24" t="s">
        <v>421</v>
      </c>
      <c r="E12" s="24" t="str">
        <f>"0,9720"</f>
        <v>0,9720</v>
      </c>
      <c r="F12" s="24" t="s">
        <v>27</v>
      </c>
      <c r="G12" s="24" t="s">
        <v>142</v>
      </c>
      <c r="H12" s="56" t="s">
        <v>83</v>
      </c>
      <c r="I12" s="56" t="s">
        <v>124</v>
      </c>
      <c r="J12" s="56" t="s">
        <v>48</v>
      </c>
      <c r="K12" s="25"/>
      <c r="L12" s="56" t="s">
        <v>44</v>
      </c>
      <c r="M12" s="56" t="s">
        <v>45</v>
      </c>
      <c r="N12" s="58" t="s">
        <v>46</v>
      </c>
      <c r="O12" s="25"/>
      <c r="P12" s="58" t="s">
        <v>82</v>
      </c>
      <c r="Q12" s="56" t="s">
        <v>82</v>
      </c>
      <c r="R12" s="58" t="s">
        <v>47</v>
      </c>
      <c r="S12" s="25"/>
      <c r="T12" s="56" t="s">
        <v>439</v>
      </c>
      <c r="U12" s="24" t="str">
        <f>"709,5600"</f>
        <v>709,5600</v>
      </c>
      <c r="V12" s="18" t="s">
        <v>414</v>
      </c>
    </row>
    <row r="13" spans="1:22" ht="12.75">
      <c r="A13" s="61">
        <v>1</v>
      </c>
      <c r="B13" s="20" t="s">
        <v>418</v>
      </c>
      <c r="C13" s="20" t="s">
        <v>419</v>
      </c>
      <c r="D13" s="20" t="s">
        <v>420</v>
      </c>
      <c r="E13" s="20" t="str">
        <f>"0,9900"</f>
        <v>0,9900</v>
      </c>
      <c r="F13" s="24" t="s">
        <v>1119</v>
      </c>
      <c r="G13" s="20" t="s">
        <v>136</v>
      </c>
      <c r="H13" s="62" t="s">
        <v>82</v>
      </c>
      <c r="I13" s="62" t="s">
        <v>83</v>
      </c>
      <c r="J13" s="62" t="s">
        <v>47</v>
      </c>
      <c r="K13" s="21"/>
      <c r="L13" s="62" t="s">
        <v>91</v>
      </c>
      <c r="M13" s="62" t="s">
        <v>44</v>
      </c>
      <c r="N13" s="62" t="s">
        <v>72</v>
      </c>
      <c r="O13" s="21"/>
      <c r="P13" s="62" t="s">
        <v>124</v>
      </c>
      <c r="Q13" s="62" t="s">
        <v>73</v>
      </c>
      <c r="R13" s="63" t="s">
        <v>49</v>
      </c>
      <c r="S13" s="21"/>
      <c r="T13" s="56" t="s">
        <v>442</v>
      </c>
      <c r="U13" s="20" t="str">
        <f>"742,5000"</f>
        <v>742,5000</v>
      </c>
      <c r="V13" s="16" t="s">
        <v>111</v>
      </c>
    </row>
    <row r="14" spans="1:22" ht="12.75">
      <c r="A14" s="61">
        <v>2</v>
      </c>
      <c r="B14" s="24" t="s">
        <v>413</v>
      </c>
      <c r="C14" s="24" t="s">
        <v>1543</v>
      </c>
      <c r="D14" s="24" t="s">
        <v>421</v>
      </c>
      <c r="E14" s="24" t="str">
        <f>"0,9720"</f>
        <v>0,9720</v>
      </c>
      <c r="F14" s="24" t="s">
        <v>27</v>
      </c>
      <c r="G14" s="24" t="s">
        <v>142</v>
      </c>
      <c r="H14" s="56" t="s">
        <v>83</v>
      </c>
      <c r="I14" s="56" t="s">
        <v>124</v>
      </c>
      <c r="J14" s="56" t="s">
        <v>48</v>
      </c>
      <c r="K14" s="25"/>
      <c r="L14" s="62" t="s">
        <v>44</v>
      </c>
      <c r="M14" s="56" t="s">
        <v>45</v>
      </c>
      <c r="N14" s="108" t="s">
        <v>46</v>
      </c>
      <c r="O14" s="25"/>
      <c r="P14" s="108" t="s">
        <v>82</v>
      </c>
      <c r="Q14" s="56" t="s">
        <v>82</v>
      </c>
      <c r="R14" s="108" t="s">
        <v>47</v>
      </c>
      <c r="S14" s="25"/>
      <c r="T14" s="56" t="s">
        <v>439</v>
      </c>
      <c r="U14" s="24" t="str">
        <f>"709,5600"</f>
        <v>709,5600</v>
      </c>
      <c r="V14" s="18" t="s">
        <v>414</v>
      </c>
    </row>
    <row r="15" spans="1:22" ht="12.75">
      <c r="A15" s="61">
        <v>3</v>
      </c>
      <c r="B15" s="22" t="s">
        <v>422</v>
      </c>
      <c r="C15" s="22" t="s">
        <v>423</v>
      </c>
      <c r="D15" s="22" t="s">
        <v>424</v>
      </c>
      <c r="E15" s="22" t="str">
        <f>"0,9752"</f>
        <v>0,9752</v>
      </c>
      <c r="F15" s="22" t="s">
        <v>27</v>
      </c>
      <c r="G15" s="24" t="s">
        <v>1188</v>
      </c>
      <c r="H15" s="64" t="s">
        <v>41</v>
      </c>
      <c r="I15" s="65" t="s">
        <v>41</v>
      </c>
      <c r="J15" s="64" t="s">
        <v>108</v>
      </c>
      <c r="K15" s="23"/>
      <c r="L15" s="64" t="s">
        <v>30</v>
      </c>
      <c r="M15" s="64" t="s">
        <v>35</v>
      </c>
      <c r="N15" s="65" t="s">
        <v>35</v>
      </c>
      <c r="O15" s="23"/>
      <c r="P15" s="65" t="s">
        <v>90</v>
      </c>
      <c r="Q15" s="65" t="s">
        <v>54</v>
      </c>
      <c r="R15" s="64" t="s">
        <v>42</v>
      </c>
      <c r="S15" s="23"/>
      <c r="T15" s="56" t="s">
        <v>450</v>
      </c>
      <c r="U15" s="22" t="str">
        <f>"555,8640"</f>
        <v>555,8640</v>
      </c>
      <c r="V15" s="18" t="s">
        <v>111</v>
      </c>
    </row>
    <row r="16" spans="2:21" ht="15.75">
      <c r="B16" s="171" t="s">
        <v>138</v>
      </c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</row>
    <row r="17" spans="1:22" ht="12.75">
      <c r="A17" s="61">
        <v>1</v>
      </c>
      <c r="B17" s="20" t="s">
        <v>425</v>
      </c>
      <c r="C17" s="20" t="s">
        <v>1544</v>
      </c>
      <c r="D17" s="20" t="s">
        <v>378</v>
      </c>
      <c r="E17" s="20" t="str">
        <f>"0,8940"</f>
        <v>0,8940</v>
      </c>
      <c r="F17" s="20" t="s">
        <v>853</v>
      </c>
      <c r="G17" s="20" t="s">
        <v>1188</v>
      </c>
      <c r="H17" s="62" t="s">
        <v>83</v>
      </c>
      <c r="I17" s="62" t="s">
        <v>47</v>
      </c>
      <c r="J17" s="62" t="s">
        <v>124</v>
      </c>
      <c r="K17" s="21"/>
      <c r="L17" s="62" t="s">
        <v>98</v>
      </c>
      <c r="M17" s="62" t="s">
        <v>426</v>
      </c>
      <c r="N17" s="62" t="s">
        <v>41</v>
      </c>
      <c r="O17" s="21"/>
      <c r="P17" s="62" t="s">
        <v>47</v>
      </c>
      <c r="Q17" s="63" t="s">
        <v>154</v>
      </c>
      <c r="R17" s="63" t="s">
        <v>154</v>
      </c>
      <c r="S17" s="21"/>
      <c r="T17" s="56" t="s">
        <v>445</v>
      </c>
      <c r="U17" s="20" t="str">
        <f>"697,3200"</f>
        <v>697,3200</v>
      </c>
      <c r="V17" s="16" t="s">
        <v>1112</v>
      </c>
    </row>
    <row r="18" spans="1:22" ht="12.75">
      <c r="A18" s="61">
        <v>2</v>
      </c>
      <c r="B18" s="24" t="s">
        <v>427</v>
      </c>
      <c r="C18" s="24" t="s">
        <v>428</v>
      </c>
      <c r="D18" s="24" t="s">
        <v>429</v>
      </c>
      <c r="E18" s="24" t="str">
        <f>"0,8958"</f>
        <v>0,8958</v>
      </c>
      <c r="F18" s="24" t="s">
        <v>27</v>
      </c>
      <c r="G18" s="24" t="s">
        <v>430</v>
      </c>
      <c r="H18" s="56" t="s">
        <v>81</v>
      </c>
      <c r="I18" s="56" t="s">
        <v>82</v>
      </c>
      <c r="J18" s="56" t="s">
        <v>83</v>
      </c>
      <c r="K18" s="25"/>
      <c r="L18" s="56" t="s">
        <v>72</v>
      </c>
      <c r="M18" s="56" t="s">
        <v>46</v>
      </c>
      <c r="N18" s="25"/>
      <c r="O18" s="25"/>
      <c r="P18" s="56" t="s">
        <v>54</v>
      </c>
      <c r="Q18" s="25"/>
      <c r="R18" s="25"/>
      <c r="S18" s="25"/>
      <c r="T18" s="56" t="s">
        <v>448</v>
      </c>
      <c r="U18" s="24" t="str">
        <f>"595,7070"</f>
        <v>595,7070</v>
      </c>
      <c r="V18" s="18" t="s">
        <v>431</v>
      </c>
    </row>
    <row r="19" spans="2:21" ht="15.75">
      <c r="B19" s="171" t="s">
        <v>166</v>
      </c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</row>
    <row r="20" spans="1:22" ht="12.75">
      <c r="A20" s="61">
        <v>1</v>
      </c>
      <c r="B20" s="20" t="s">
        <v>432</v>
      </c>
      <c r="C20" s="20" t="s">
        <v>1545</v>
      </c>
      <c r="D20" s="20" t="s">
        <v>433</v>
      </c>
      <c r="E20" s="20" t="str">
        <f>"0,8590"</f>
        <v>0,8590</v>
      </c>
      <c r="F20" s="20" t="s">
        <v>27</v>
      </c>
      <c r="G20" s="20" t="s">
        <v>170</v>
      </c>
      <c r="H20" s="62" t="s">
        <v>82</v>
      </c>
      <c r="I20" s="62" t="s">
        <v>47</v>
      </c>
      <c r="J20" s="63" t="s">
        <v>48</v>
      </c>
      <c r="K20" s="21"/>
      <c r="L20" s="62" t="s">
        <v>116</v>
      </c>
      <c r="M20" s="62" t="s">
        <v>137</v>
      </c>
      <c r="N20" s="63" t="s">
        <v>91</v>
      </c>
      <c r="O20" s="21"/>
      <c r="P20" s="63" t="s">
        <v>171</v>
      </c>
      <c r="Q20" s="62" t="s">
        <v>171</v>
      </c>
      <c r="R20" s="21"/>
      <c r="S20" s="21"/>
      <c r="T20" s="56" t="s">
        <v>1142</v>
      </c>
      <c r="U20" s="20" t="str">
        <f>"584,1200"</f>
        <v>584,1200</v>
      </c>
      <c r="V20" s="16" t="s">
        <v>434</v>
      </c>
    </row>
    <row r="21" spans="1:22" ht="12.75">
      <c r="A21" s="61">
        <v>1</v>
      </c>
      <c r="B21" s="24" t="s">
        <v>435</v>
      </c>
      <c r="C21" s="24" t="s">
        <v>436</v>
      </c>
      <c r="D21" s="24" t="s">
        <v>437</v>
      </c>
      <c r="E21" s="24" t="str">
        <f>"0,8670"</f>
        <v>0,8670</v>
      </c>
      <c r="F21" s="24" t="s">
        <v>128</v>
      </c>
      <c r="G21" s="24" t="s">
        <v>129</v>
      </c>
      <c r="H21" s="56" t="s">
        <v>83</v>
      </c>
      <c r="I21" s="56" t="s">
        <v>124</v>
      </c>
      <c r="J21" s="56" t="s">
        <v>48</v>
      </c>
      <c r="K21" s="25"/>
      <c r="L21" s="56" t="s">
        <v>63</v>
      </c>
      <c r="M21" s="56" t="s">
        <v>115</v>
      </c>
      <c r="N21" s="56" t="s">
        <v>98</v>
      </c>
      <c r="O21" s="25"/>
      <c r="P21" s="56" t="s">
        <v>83</v>
      </c>
      <c r="Q21" s="58" t="s">
        <v>124</v>
      </c>
      <c r="R21" s="25"/>
      <c r="S21" s="25"/>
      <c r="T21" s="56" t="s">
        <v>194</v>
      </c>
      <c r="U21" s="24" t="str">
        <f>"667,5900"</f>
        <v>667,5900</v>
      </c>
      <c r="V21" s="18" t="s">
        <v>438</v>
      </c>
    </row>
    <row r="23" spans="2:3" ht="18">
      <c r="B23" s="29" t="s">
        <v>7</v>
      </c>
      <c r="C23" s="29"/>
    </row>
    <row r="24" spans="2:3" ht="15.75">
      <c r="B24" s="30" t="s">
        <v>189</v>
      </c>
      <c r="C24" s="30"/>
    </row>
    <row r="25" spans="2:3" ht="13.5">
      <c r="B25" s="32" t="s">
        <v>184</v>
      </c>
      <c r="C25" s="33"/>
    </row>
    <row r="26" spans="2:6" ht="13.5">
      <c r="B26" s="35" t="s">
        <v>176</v>
      </c>
      <c r="C26" s="35" t="s">
        <v>177</v>
      </c>
      <c r="D26" s="35" t="s">
        <v>178</v>
      </c>
      <c r="E26" s="35" t="s">
        <v>179</v>
      </c>
      <c r="F26" s="35" t="s">
        <v>180</v>
      </c>
    </row>
    <row r="27" spans="1:6" ht="12.75">
      <c r="A27" s="61">
        <v>1</v>
      </c>
      <c r="B27" s="31" t="s">
        <v>415</v>
      </c>
      <c r="C27" s="133" t="s">
        <v>185</v>
      </c>
      <c r="D27" s="133" t="s">
        <v>193</v>
      </c>
      <c r="E27" s="133" t="s">
        <v>440</v>
      </c>
      <c r="F27" s="134" t="s">
        <v>441</v>
      </c>
    </row>
    <row r="28" spans="1:6" ht="12.75">
      <c r="A28" s="61">
        <v>2</v>
      </c>
      <c r="B28" s="31" t="s">
        <v>418</v>
      </c>
      <c r="C28" s="133" t="s">
        <v>185</v>
      </c>
      <c r="D28" s="133" t="s">
        <v>205</v>
      </c>
      <c r="E28" s="133" t="s">
        <v>442</v>
      </c>
      <c r="F28" s="134" t="s">
        <v>443</v>
      </c>
    </row>
    <row r="29" spans="1:6" ht="12.75">
      <c r="A29" s="61">
        <v>3</v>
      </c>
      <c r="B29" s="31" t="s">
        <v>413</v>
      </c>
      <c r="C29" s="133" t="s">
        <v>185</v>
      </c>
      <c r="D29" s="133" t="s">
        <v>205</v>
      </c>
      <c r="E29" s="133" t="s">
        <v>439</v>
      </c>
      <c r="F29" s="134" t="s">
        <v>444</v>
      </c>
    </row>
    <row r="30" spans="2:6" ht="12.75">
      <c r="B30" s="31" t="s">
        <v>425</v>
      </c>
      <c r="C30" s="133" t="s">
        <v>185</v>
      </c>
      <c r="D30" s="133" t="s">
        <v>190</v>
      </c>
      <c r="E30" s="133" t="s">
        <v>445</v>
      </c>
      <c r="F30" s="134" t="s">
        <v>446</v>
      </c>
    </row>
    <row r="31" spans="2:6" ht="12.75">
      <c r="B31" s="31" t="s">
        <v>435</v>
      </c>
      <c r="C31" s="133" t="s">
        <v>185</v>
      </c>
      <c r="D31" s="133" t="s">
        <v>212</v>
      </c>
      <c r="E31" s="133" t="s">
        <v>194</v>
      </c>
      <c r="F31" s="134" t="s">
        <v>447</v>
      </c>
    </row>
    <row r="32" spans="2:6" ht="12.75">
      <c r="B32" s="31" t="s">
        <v>427</v>
      </c>
      <c r="C32" s="133" t="s">
        <v>185</v>
      </c>
      <c r="D32" s="133" t="s">
        <v>190</v>
      </c>
      <c r="E32" s="133" t="s">
        <v>448</v>
      </c>
      <c r="F32" s="134" t="s">
        <v>449</v>
      </c>
    </row>
    <row r="33" spans="2:6" ht="12.75">
      <c r="B33" s="31" t="s">
        <v>422</v>
      </c>
      <c r="C33" s="133" t="s">
        <v>185</v>
      </c>
      <c r="D33" s="133" t="s">
        <v>205</v>
      </c>
      <c r="E33" s="133" t="s">
        <v>450</v>
      </c>
      <c r="F33" s="134" t="s">
        <v>451</v>
      </c>
    </row>
  </sheetData>
  <sheetProtection/>
  <mergeCells count="20">
    <mergeCell ref="V3:V4"/>
    <mergeCell ref="B5:U5"/>
    <mergeCell ref="B8:U8"/>
    <mergeCell ref="B11:U11"/>
    <mergeCell ref="B16:U16"/>
    <mergeCell ref="B19:U19"/>
    <mergeCell ref="L3:O3"/>
    <mergeCell ref="P3:S3"/>
    <mergeCell ref="T3:T4"/>
    <mergeCell ref="U3:U4"/>
    <mergeCell ref="B6:U6"/>
    <mergeCell ref="B9:U9"/>
    <mergeCell ref="B1:N2"/>
    <mergeCell ref="B3:B4"/>
    <mergeCell ref="C3:C4"/>
    <mergeCell ref="D3:D4"/>
    <mergeCell ref="E3:E4"/>
    <mergeCell ref="F3:F4"/>
    <mergeCell ref="G3:G4"/>
    <mergeCell ref="H3:K3"/>
  </mergeCells>
  <printOptions/>
  <pageMargins left="0.75" right="0.75" top="1" bottom="1" header="0.5" footer="0.5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67"/>
  <sheetViews>
    <sheetView workbookViewId="0" topLeftCell="A23">
      <selection activeCell="C24" sqref="C24"/>
    </sheetView>
  </sheetViews>
  <sheetFormatPr defaultColWidth="8.75390625" defaultRowHeight="12.75"/>
  <cols>
    <col min="1" max="1" width="3.875" style="61" customWidth="1"/>
    <col min="2" max="2" width="21.25390625" style="28" customWidth="1"/>
    <col min="3" max="3" width="27.125" style="28" customWidth="1"/>
    <col min="4" max="4" width="10.625" style="28" bestFit="1" customWidth="1"/>
    <col min="5" max="5" width="8.375" style="28" bestFit="1" customWidth="1"/>
    <col min="6" max="6" width="19.625" style="28" customWidth="1"/>
    <col min="7" max="7" width="36.625" style="28" customWidth="1"/>
    <col min="8" max="10" width="5.625" style="28" bestFit="1" customWidth="1"/>
    <col min="11" max="11" width="4.625" style="28" bestFit="1" customWidth="1"/>
    <col min="12" max="12" width="5.75390625" style="28" customWidth="1"/>
    <col min="13" max="13" width="5.875" style="28" customWidth="1"/>
    <col min="14" max="14" width="5.75390625" style="28" customWidth="1"/>
    <col min="15" max="15" width="6.375" style="28" customWidth="1"/>
    <col min="16" max="18" width="5.625" style="28" bestFit="1" customWidth="1"/>
    <col min="19" max="19" width="5.75390625" style="28" customWidth="1"/>
    <col min="20" max="20" width="8.00390625" style="36" customWidth="1"/>
    <col min="21" max="21" width="8.625" style="28" bestFit="1" customWidth="1"/>
    <col min="22" max="22" width="19.125" style="0" bestFit="1" customWidth="1"/>
  </cols>
  <sheetData>
    <row r="1" spans="1:20" s="1" customFormat="1" ht="15" customHeight="1">
      <c r="A1" s="38"/>
      <c r="B1" s="162" t="s">
        <v>1146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79"/>
      <c r="T1" s="38"/>
    </row>
    <row r="2" spans="1:20" s="1" customFormat="1" ht="81.75" customHeight="1" thickBot="1">
      <c r="A2" s="38"/>
      <c r="B2" s="164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80"/>
      <c r="T2" s="38"/>
    </row>
    <row r="3" spans="2:22" s="2" customFormat="1" ht="12.75" customHeight="1">
      <c r="B3" s="166" t="s">
        <v>0</v>
      </c>
      <c r="C3" s="168" t="s">
        <v>1108</v>
      </c>
      <c r="D3" s="170" t="s">
        <v>1109</v>
      </c>
      <c r="E3" s="170" t="s">
        <v>1110</v>
      </c>
      <c r="F3" s="170" t="s">
        <v>4</v>
      </c>
      <c r="G3" s="170" t="s">
        <v>6</v>
      </c>
      <c r="H3" s="170" t="s">
        <v>1054</v>
      </c>
      <c r="I3" s="170"/>
      <c r="J3" s="170"/>
      <c r="K3" s="170"/>
      <c r="L3" s="170" t="s">
        <v>1050</v>
      </c>
      <c r="M3" s="170"/>
      <c r="N3" s="170"/>
      <c r="O3" s="170"/>
      <c r="P3" s="170" t="s">
        <v>1</v>
      </c>
      <c r="Q3" s="170"/>
      <c r="R3" s="170"/>
      <c r="S3" s="170"/>
      <c r="T3" s="170" t="s">
        <v>2</v>
      </c>
      <c r="U3" s="170" t="s">
        <v>1110</v>
      </c>
      <c r="V3" s="160" t="s">
        <v>3</v>
      </c>
    </row>
    <row r="4" spans="2:22" s="2" customFormat="1" ht="21" customHeight="1" thickBot="1">
      <c r="B4" s="167"/>
      <c r="C4" s="169"/>
      <c r="D4" s="169"/>
      <c r="E4" s="169"/>
      <c r="F4" s="169"/>
      <c r="G4" s="169"/>
      <c r="H4" s="3">
        <v>1</v>
      </c>
      <c r="I4" s="3">
        <v>2</v>
      </c>
      <c r="J4" s="3">
        <v>3</v>
      </c>
      <c r="K4" s="3" t="s">
        <v>5</v>
      </c>
      <c r="L4" s="3">
        <v>1</v>
      </c>
      <c r="M4" s="3">
        <v>2</v>
      </c>
      <c r="N4" s="3">
        <v>3</v>
      </c>
      <c r="O4" s="3" t="s">
        <v>5</v>
      </c>
      <c r="P4" s="3">
        <v>1</v>
      </c>
      <c r="Q4" s="3">
        <v>2</v>
      </c>
      <c r="R4" s="3">
        <v>3</v>
      </c>
      <c r="S4" s="3" t="s">
        <v>5</v>
      </c>
      <c r="T4" s="169"/>
      <c r="U4" s="169"/>
      <c r="V4" s="161"/>
    </row>
    <row r="5" spans="2:21" ht="15.75">
      <c r="B5" s="171" t="s">
        <v>1052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</row>
    <row r="6" spans="2:21" ht="15.75">
      <c r="B6" s="171" t="s">
        <v>228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</row>
    <row r="7" spans="1:22" ht="12.75">
      <c r="A7" s="61">
        <v>1</v>
      </c>
      <c r="B7" s="20" t="s">
        <v>229</v>
      </c>
      <c r="C7" s="20" t="s">
        <v>230</v>
      </c>
      <c r="D7" s="20" t="s">
        <v>231</v>
      </c>
      <c r="E7" s="20" t="str">
        <f>"2,7010"</f>
        <v>2,7010</v>
      </c>
      <c r="F7" s="20" t="s">
        <v>27</v>
      </c>
      <c r="G7" s="20" t="s">
        <v>148</v>
      </c>
      <c r="H7" s="62" t="s">
        <v>232</v>
      </c>
      <c r="I7" s="62" t="s">
        <v>233</v>
      </c>
      <c r="J7" s="62" t="s">
        <v>234</v>
      </c>
      <c r="K7" s="21"/>
      <c r="L7" s="62" t="s">
        <v>235</v>
      </c>
      <c r="M7" s="62" t="s">
        <v>236</v>
      </c>
      <c r="N7" s="63" t="s">
        <v>237</v>
      </c>
      <c r="O7" s="21"/>
      <c r="P7" s="62" t="s">
        <v>19</v>
      </c>
      <c r="Q7" s="62" t="s">
        <v>238</v>
      </c>
      <c r="R7" s="62" t="s">
        <v>239</v>
      </c>
      <c r="S7" s="21"/>
      <c r="T7" s="62" t="s">
        <v>89</v>
      </c>
      <c r="U7" s="20" t="str">
        <f>"513,1900"</f>
        <v>513,1900</v>
      </c>
      <c r="V7" s="16" t="s">
        <v>240</v>
      </c>
    </row>
    <row r="8" spans="1:22" ht="12.75">
      <c r="A8" s="61">
        <v>2</v>
      </c>
      <c r="B8" s="24" t="s">
        <v>241</v>
      </c>
      <c r="C8" s="24" t="s">
        <v>242</v>
      </c>
      <c r="D8" s="24" t="s">
        <v>243</v>
      </c>
      <c r="E8" s="24" t="str">
        <f>"2,6320"</f>
        <v>2,6320</v>
      </c>
      <c r="F8" s="24" t="s">
        <v>244</v>
      </c>
      <c r="G8" s="24" t="s">
        <v>152</v>
      </c>
      <c r="H8" s="58" t="s">
        <v>233</v>
      </c>
      <c r="I8" s="56" t="s">
        <v>234</v>
      </c>
      <c r="J8" s="58" t="s">
        <v>17</v>
      </c>
      <c r="K8" s="25"/>
      <c r="L8" s="56" t="s">
        <v>236</v>
      </c>
      <c r="M8" s="56" t="s">
        <v>245</v>
      </c>
      <c r="N8" s="56" t="s">
        <v>246</v>
      </c>
      <c r="O8" s="25"/>
      <c r="P8" s="56" t="s">
        <v>32</v>
      </c>
      <c r="Q8" s="58" t="s">
        <v>238</v>
      </c>
      <c r="R8" s="58" t="s">
        <v>238</v>
      </c>
      <c r="S8" s="25"/>
      <c r="T8" s="56" t="s">
        <v>309</v>
      </c>
      <c r="U8" s="24" t="str">
        <f>"493,5000"</f>
        <v>493,5000</v>
      </c>
      <c r="V8" s="18" t="s">
        <v>247</v>
      </c>
    </row>
    <row r="9" spans="2:21" ht="15.75">
      <c r="B9" s="171" t="s">
        <v>248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</row>
    <row r="10" spans="1:22" ht="12.75">
      <c r="A10" s="61">
        <v>1</v>
      </c>
      <c r="B10" s="24" t="s">
        <v>249</v>
      </c>
      <c r="C10" s="24" t="s">
        <v>250</v>
      </c>
      <c r="D10" s="24" t="s">
        <v>251</v>
      </c>
      <c r="E10" s="24" t="str">
        <f>"1,9050"</f>
        <v>1,9050</v>
      </c>
      <c r="F10" s="24" t="s">
        <v>59</v>
      </c>
      <c r="G10" s="24" t="s">
        <v>60</v>
      </c>
      <c r="H10" s="56" t="s">
        <v>233</v>
      </c>
      <c r="I10" s="56" t="s">
        <v>234</v>
      </c>
      <c r="J10" s="56" t="s">
        <v>31</v>
      </c>
      <c r="K10" s="25"/>
      <c r="L10" s="56" t="s">
        <v>252</v>
      </c>
      <c r="M10" s="56" t="s">
        <v>253</v>
      </c>
      <c r="N10" s="58" t="s">
        <v>254</v>
      </c>
      <c r="O10" s="25"/>
      <c r="P10" s="56" t="s">
        <v>239</v>
      </c>
      <c r="Q10" s="56" t="s">
        <v>61</v>
      </c>
      <c r="R10" s="56" t="s">
        <v>255</v>
      </c>
      <c r="S10" s="25"/>
      <c r="T10" s="56" t="s">
        <v>381</v>
      </c>
      <c r="U10" s="24" t="str">
        <f>"433,3875"</f>
        <v>433,3875</v>
      </c>
      <c r="V10" s="18" t="s">
        <v>256</v>
      </c>
    </row>
    <row r="11" spans="2:21" ht="15.75">
      <c r="B11" s="171" t="s">
        <v>257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</row>
    <row r="12" spans="1:22" ht="12.75">
      <c r="A12" s="61">
        <v>1</v>
      </c>
      <c r="B12" s="20" t="s">
        <v>258</v>
      </c>
      <c r="C12" s="20" t="s">
        <v>259</v>
      </c>
      <c r="D12" s="20" t="s">
        <v>260</v>
      </c>
      <c r="E12" s="20" t="str">
        <f>"1,8906"</f>
        <v>1,8906</v>
      </c>
      <c r="F12" s="24" t="s">
        <v>1119</v>
      </c>
      <c r="G12" s="20" t="s">
        <v>136</v>
      </c>
      <c r="H12" s="62" t="s">
        <v>31</v>
      </c>
      <c r="I12" s="63" t="s">
        <v>32</v>
      </c>
      <c r="J12" s="62" t="s">
        <v>32</v>
      </c>
      <c r="K12" s="21"/>
      <c r="L12" s="63" t="s">
        <v>232</v>
      </c>
      <c r="M12" s="62" t="s">
        <v>232</v>
      </c>
      <c r="N12" s="21"/>
      <c r="O12" s="21"/>
      <c r="P12" s="62" t="s">
        <v>239</v>
      </c>
      <c r="Q12" s="62" t="s">
        <v>61</v>
      </c>
      <c r="R12" s="62" t="s">
        <v>53</v>
      </c>
      <c r="S12" s="21"/>
      <c r="T12" s="62" t="s">
        <v>92</v>
      </c>
      <c r="U12" s="20" t="str">
        <f>"453,7440"</f>
        <v>453,7440</v>
      </c>
      <c r="V12" s="16" t="s">
        <v>261</v>
      </c>
    </row>
    <row r="13" spans="1:22" ht="12.75">
      <c r="A13" s="61">
        <v>2</v>
      </c>
      <c r="B13" s="24" t="s">
        <v>262</v>
      </c>
      <c r="C13" s="24" t="s">
        <v>263</v>
      </c>
      <c r="D13" s="24" t="s">
        <v>264</v>
      </c>
      <c r="E13" s="24" t="str">
        <f>"1,8520"</f>
        <v>1,8520</v>
      </c>
      <c r="F13" s="24" t="s">
        <v>27</v>
      </c>
      <c r="G13" s="24" t="s">
        <v>60</v>
      </c>
      <c r="H13" s="56" t="s">
        <v>233</v>
      </c>
      <c r="I13" s="58" t="s">
        <v>17</v>
      </c>
      <c r="J13" s="58" t="s">
        <v>17</v>
      </c>
      <c r="K13" s="25"/>
      <c r="L13" s="56" t="s">
        <v>237</v>
      </c>
      <c r="M13" s="56" t="s">
        <v>246</v>
      </c>
      <c r="N13" s="56" t="s">
        <v>252</v>
      </c>
      <c r="O13" s="25"/>
      <c r="P13" s="56" t="s">
        <v>32</v>
      </c>
      <c r="Q13" s="58" t="s">
        <v>238</v>
      </c>
      <c r="R13" s="58" t="s">
        <v>238</v>
      </c>
      <c r="S13" s="25"/>
      <c r="T13" s="56" t="s">
        <v>63</v>
      </c>
      <c r="U13" s="24" t="str">
        <f>"342,6200"</f>
        <v>342,6200</v>
      </c>
      <c r="V13" s="18" t="s">
        <v>265</v>
      </c>
    </row>
    <row r="14" spans="1:22" ht="12.75">
      <c r="A14" s="61">
        <v>1</v>
      </c>
      <c r="B14" s="26" t="s">
        <v>266</v>
      </c>
      <c r="C14" s="26" t="s">
        <v>267</v>
      </c>
      <c r="D14" s="26" t="s">
        <v>268</v>
      </c>
      <c r="E14" s="26" t="str">
        <f>"1,8108"</f>
        <v>1,8108</v>
      </c>
      <c r="F14" s="26" t="s">
        <v>164</v>
      </c>
      <c r="G14" s="26" t="s">
        <v>1186</v>
      </c>
      <c r="H14" s="66" t="s">
        <v>239</v>
      </c>
      <c r="I14" s="66" t="s">
        <v>61</v>
      </c>
      <c r="J14" s="66" t="s">
        <v>255</v>
      </c>
      <c r="K14" s="27"/>
      <c r="L14" s="66" t="s">
        <v>252</v>
      </c>
      <c r="M14" s="66" t="s">
        <v>232</v>
      </c>
      <c r="N14" s="67" t="s">
        <v>254</v>
      </c>
      <c r="O14" s="27"/>
      <c r="P14" s="66" t="s">
        <v>53</v>
      </c>
      <c r="Q14" s="66" t="s">
        <v>29</v>
      </c>
      <c r="R14" s="67" t="s">
        <v>34</v>
      </c>
      <c r="S14" s="27"/>
      <c r="T14" s="56" t="s">
        <v>47</v>
      </c>
      <c r="U14" s="26" t="str">
        <f>"507,0240"</f>
        <v>507,0240</v>
      </c>
      <c r="V14" s="19" t="s">
        <v>165</v>
      </c>
    </row>
    <row r="15" spans="1:22" ht="12.75">
      <c r="A15" s="61">
        <v>2</v>
      </c>
      <c r="B15" s="24" t="s">
        <v>269</v>
      </c>
      <c r="C15" s="24" t="s">
        <v>270</v>
      </c>
      <c r="D15" s="24" t="s">
        <v>271</v>
      </c>
      <c r="E15" s="24" t="str">
        <f>"1,8162"</f>
        <v>1,8162</v>
      </c>
      <c r="F15" s="24" t="s">
        <v>272</v>
      </c>
      <c r="G15" s="24" t="s">
        <v>148</v>
      </c>
      <c r="H15" s="56" t="s">
        <v>273</v>
      </c>
      <c r="I15" s="56" t="s">
        <v>238</v>
      </c>
      <c r="J15" s="56" t="s">
        <v>239</v>
      </c>
      <c r="K15" s="25"/>
      <c r="L15" s="56" t="s">
        <v>274</v>
      </c>
      <c r="M15" s="56" t="s">
        <v>253</v>
      </c>
      <c r="N15" s="58" t="s">
        <v>254</v>
      </c>
      <c r="O15" s="25"/>
      <c r="P15" s="56" t="s">
        <v>238</v>
      </c>
      <c r="Q15" s="56" t="s">
        <v>239</v>
      </c>
      <c r="R15" s="56" t="s">
        <v>275</v>
      </c>
      <c r="S15" s="25"/>
      <c r="T15" s="56" t="s">
        <v>1137</v>
      </c>
      <c r="U15" s="24" t="str">
        <f>"431,3475"</f>
        <v>431,3475</v>
      </c>
      <c r="V15" s="18" t="s">
        <v>276</v>
      </c>
    </row>
    <row r="16" spans="1:22" ht="12.75">
      <c r="A16" s="61">
        <v>1</v>
      </c>
      <c r="B16" s="26" t="s">
        <v>277</v>
      </c>
      <c r="C16" s="26" t="s">
        <v>278</v>
      </c>
      <c r="D16" s="26" t="s">
        <v>279</v>
      </c>
      <c r="E16" s="26" t="str">
        <f>"1,7878"</f>
        <v>1,7878</v>
      </c>
      <c r="F16" s="26" t="s">
        <v>87</v>
      </c>
      <c r="G16" s="26" t="s">
        <v>88</v>
      </c>
      <c r="H16" s="67" t="s">
        <v>239</v>
      </c>
      <c r="I16" s="66" t="s">
        <v>239</v>
      </c>
      <c r="J16" s="66" t="s">
        <v>61</v>
      </c>
      <c r="K16" s="27"/>
      <c r="L16" s="67" t="s">
        <v>274</v>
      </c>
      <c r="M16" s="67" t="s">
        <v>232</v>
      </c>
      <c r="N16" s="66" t="s">
        <v>232</v>
      </c>
      <c r="O16" s="27"/>
      <c r="P16" s="66" t="s">
        <v>32</v>
      </c>
      <c r="Q16" s="66" t="s">
        <v>238</v>
      </c>
      <c r="R16" s="67" t="s">
        <v>275</v>
      </c>
      <c r="S16" s="27"/>
      <c r="T16" s="56" t="s">
        <v>1138</v>
      </c>
      <c r="U16" s="26" t="str">
        <f>"420,1330"</f>
        <v>420,1330</v>
      </c>
      <c r="V16" s="19" t="s">
        <v>280</v>
      </c>
    </row>
    <row r="17" spans="1:22" ht="12.75">
      <c r="A17" s="61">
        <v>2</v>
      </c>
      <c r="B17" s="24" t="s">
        <v>281</v>
      </c>
      <c r="C17" s="24" t="s">
        <v>282</v>
      </c>
      <c r="D17" s="24" t="s">
        <v>283</v>
      </c>
      <c r="E17" s="24" t="str">
        <f>"1,8056"</f>
        <v>1,8056</v>
      </c>
      <c r="F17" s="24" t="s">
        <v>59</v>
      </c>
      <c r="G17" s="24" t="s">
        <v>60</v>
      </c>
      <c r="H17" s="56" t="s">
        <v>234</v>
      </c>
      <c r="I17" s="56" t="s">
        <v>31</v>
      </c>
      <c r="J17" s="58" t="s">
        <v>19</v>
      </c>
      <c r="K17" s="25"/>
      <c r="L17" s="56" t="s">
        <v>245</v>
      </c>
      <c r="M17" s="58" t="s">
        <v>252</v>
      </c>
      <c r="N17" s="58" t="s">
        <v>252</v>
      </c>
      <c r="O17" s="25"/>
      <c r="P17" s="56" t="s">
        <v>238</v>
      </c>
      <c r="Q17" s="56" t="s">
        <v>275</v>
      </c>
      <c r="R17" s="56" t="s">
        <v>61</v>
      </c>
      <c r="S17" s="25"/>
      <c r="T17" s="56" t="s">
        <v>41</v>
      </c>
      <c r="U17" s="24" t="str">
        <f>"379,1760"</f>
        <v>379,1760</v>
      </c>
      <c r="V17" s="18" t="s">
        <v>256</v>
      </c>
    </row>
    <row r="18" spans="2:21" ht="15.75">
      <c r="B18" s="171" t="s">
        <v>284</v>
      </c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</row>
    <row r="19" spans="1:22" ht="12.75">
      <c r="A19" s="61">
        <v>1</v>
      </c>
      <c r="B19" s="24" t="s">
        <v>285</v>
      </c>
      <c r="C19" s="24" t="s">
        <v>286</v>
      </c>
      <c r="D19" s="24" t="s">
        <v>287</v>
      </c>
      <c r="E19" s="24" t="str">
        <f>"1,6810"</f>
        <v>1,6810</v>
      </c>
      <c r="F19" s="24" t="s">
        <v>244</v>
      </c>
      <c r="G19" s="24" t="s">
        <v>152</v>
      </c>
      <c r="H19" s="58" t="s">
        <v>239</v>
      </c>
      <c r="I19" s="56" t="s">
        <v>288</v>
      </c>
      <c r="J19" s="56" t="s">
        <v>255</v>
      </c>
      <c r="K19" s="25"/>
      <c r="L19" s="56" t="s">
        <v>289</v>
      </c>
      <c r="M19" s="56" t="s">
        <v>290</v>
      </c>
      <c r="N19" s="56" t="s">
        <v>234</v>
      </c>
      <c r="O19" s="25"/>
      <c r="P19" s="56" t="s">
        <v>61</v>
      </c>
      <c r="Q19" s="58" t="s">
        <v>255</v>
      </c>
      <c r="R19" s="58" t="s">
        <v>255</v>
      </c>
      <c r="S19" s="25"/>
      <c r="T19" s="56" t="s">
        <v>83</v>
      </c>
      <c r="U19" s="24" t="str">
        <f>"453,8700"</f>
        <v>453,8700</v>
      </c>
      <c r="V19" s="18" t="s">
        <v>247</v>
      </c>
    </row>
    <row r="20" spans="2:22" ht="15.75">
      <c r="B20" s="171" t="s">
        <v>1053</v>
      </c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5"/>
    </row>
    <row r="21" spans="2:21" ht="15.75">
      <c r="B21" s="171" t="s">
        <v>8</v>
      </c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</row>
    <row r="22" spans="1:22" ht="12.75">
      <c r="A22" s="61">
        <v>1</v>
      </c>
      <c r="B22" s="24" t="s">
        <v>291</v>
      </c>
      <c r="C22" s="24" t="s">
        <v>292</v>
      </c>
      <c r="D22" s="24" t="s">
        <v>293</v>
      </c>
      <c r="E22" s="24" t="str">
        <f>"1,9550"</f>
        <v>1,9550</v>
      </c>
      <c r="F22" s="24" t="s">
        <v>12</v>
      </c>
      <c r="G22" s="24" t="s">
        <v>13</v>
      </c>
      <c r="H22" s="56" t="s">
        <v>32</v>
      </c>
      <c r="I22" s="56" t="s">
        <v>238</v>
      </c>
      <c r="J22" s="56" t="s">
        <v>239</v>
      </c>
      <c r="K22" s="25"/>
      <c r="L22" s="56" t="s">
        <v>246</v>
      </c>
      <c r="M22" s="58" t="s">
        <v>252</v>
      </c>
      <c r="N22" s="56" t="s">
        <v>274</v>
      </c>
      <c r="O22" s="25"/>
      <c r="P22" s="56" t="s">
        <v>288</v>
      </c>
      <c r="Q22" s="56" t="s">
        <v>294</v>
      </c>
      <c r="R22" s="56" t="s">
        <v>14</v>
      </c>
      <c r="S22" s="25"/>
      <c r="T22" s="56" t="s">
        <v>43</v>
      </c>
      <c r="U22" s="24" t="str">
        <f>"478,9750"</f>
        <v>478,9750</v>
      </c>
      <c r="V22" s="18" t="s">
        <v>295</v>
      </c>
    </row>
    <row r="23" spans="2:21" ht="15.75">
      <c r="B23" s="171" t="s">
        <v>257</v>
      </c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</row>
    <row r="24" spans="1:22" ht="12.75">
      <c r="A24" s="61">
        <v>1</v>
      </c>
      <c r="B24" s="20" t="s">
        <v>296</v>
      </c>
      <c r="C24" s="20" t="s">
        <v>297</v>
      </c>
      <c r="D24" s="20" t="s">
        <v>298</v>
      </c>
      <c r="E24" s="20" t="str">
        <f>"1,4860"</f>
        <v>1,4860</v>
      </c>
      <c r="F24" s="20" t="s">
        <v>12</v>
      </c>
      <c r="G24" s="20" t="s">
        <v>13</v>
      </c>
      <c r="H24" s="62" t="s">
        <v>53</v>
      </c>
      <c r="I24" s="62" t="s">
        <v>15</v>
      </c>
      <c r="J24" s="62" t="s">
        <v>299</v>
      </c>
      <c r="K24" s="21"/>
      <c r="L24" s="62" t="s">
        <v>300</v>
      </c>
      <c r="M24" s="62" t="s">
        <v>239</v>
      </c>
      <c r="N24" s="21"/>
      <c r="O24" s="21"/>
      <c r="P24" s="63" t="s">
        <v>301</v>
      </c>
      <c r="Q24" s="62" t="s">
        <v>302</v>
      </c>
      <c r="R24" s="62" t="s">
        <v>172</v>
      </c>
      <c r="S24" s="21"/>
      <c r="T24" s="56" t="s">
        <v>401</v>
      </c>
      <c r="U24" s="20" t="str">
        <f>"549,8200"</f>
        <v>549,8200</v>
      </c>
      <c r="V24" s="16" t="s">
        <v>295</v>
      </c>
    </row>
    <row r="25" spans="1:22" ht="12.75">
      <c r="A25" s="61">
        <v>1</v>
      </c>
      <c r="B25" s="24" t="s">
        <v>303</v>
      </c>
      <c r="C25" s="24" t="s">
        <v>304</v>
      </c>
      <c r="D25" s="24" t="s">
        <v>305</v>
      </c>
      <c r="E25" s="24" t="str">
        <f>"1,7796"</f>
        <v>1,7796</v>
      </c>
      <c r="F25" s="24" t="s">
        <v>1119</v>
      </c>
      <c r="G25" s="24" t="s">
        <v>136</v>
      </c>
      <c r="H25" s="56" t="s">
        <v>15</v>
      </c>
      <c r="I25" s="56" t="s">
        <v>29</v>
      </c>
      <c r="J25" s="56" t="s">
        <v>34</v>
      </c>
      <c r="K25" s="25"/>
      <c r="L25" s="56" t="s">
        <v>239</v>
      </c>
      <c r="M25" s="56" t="s">
        <v>275</v>
      </c>
      <c r="N25" s="58" t="s">
        <v>288</v>
      </c>
      <c r="O25" s="25"/>
      <c r="P25" s="56" t="s">
        <v>44</v>
      </c>
      <c r="Q25" s="56" t="s">
        <v>45</v>
      </c>
      <c r="R25" s="56" t="s">
        <v>46</v>
      </c>
      <c r="S25" s="25"/>
      <c r="T25" s="56" t="s">
        <v>1139</v>
      </c>
      <c r="U25" s="24" t="str">
        <f>"711,8471"</f>
        <v>711,8471</v>
      </c>
      <c r="V25" s="18" t="s">
        <v>111</v>
      </c>
    </row>
    <row r="26" spans="2:21" ht="15.75">
      <c r="B26" s="171" t="s">
        <v>284</v>
      </c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</row>
    <row r="27" spans="1:22" ht="12.75">
      <c r="A27" s="61">
        <v>1</v>
      </c>
      <c r="B27" s="20" t="s">
        <v>306</v>
      </c>
      <c r="C27" s="20" t="s">
        <v>307</v>
      </c>
      <c r="D27" s="20" t="s">
        <v>308</v>
      </c>
      <c r="E27" s="20" t="str">
        <f>"1,2920"</f>
        <v>1,2920</v>
      </c>
      <c r="F27" s="20" t="s">
        <v>27</v>
      </c>
      <c r="G27" s="20" t="s">
        <v>1188</v>
      </c>
      <c r="H27" s="62" t="s">
        <v>72</v>
      </c>
      <c r="I27" s="62" t="s">
        <v>46</v>
      </c>
      <c r="J27" s="62" t="s">
        <v>52</v>
      </c>
      <c r="K27" s="21"/>
      <c r="L27" s="62" t="s">
        <v>14</v>
      </c>
      <c r="M27" s="63" t="s">
        <v>62</v>
      </c>
      <c r="N27" s="63" t="s">
        <v>15</v>
      </c>
      <c r="O27" s="21"/>
      <c r="P27" s="62" t="s">
        <v>46</v>
      </c>
      <c r="Q27" s="62" t="s">
        <v>309</v>
      </c>
      <c r="R27" s="62" t="s">
        <v>64</v>
      </c>
      <c r="S27" s="21"/>
      <c r="T27" s="62" t="s">
        <v>387</v>
      </c>
      <c r="U27" s="20" t="str">
        <f>"620,1600"</f>
        <v>620,1600</v>
      </c>
      <c r="V27" s="16" t="s">
        <v>111</v>
      </c>
    </row>
    <row r="28" spans="1:22" ht="12.75">
      <c r="A28" s="61">
        <v>2</v>
      </c>
      <c r="B28" s="24" t="s">
        <v>310</v>
      </c>
      <c r="C28" s="24" t="s">
        <v>311</v>
      </c>
      <c r="D28" s="24" t="s">
        <v>312</v>
      </c>
      <c r="E28" s="24" t="str">
        <f>"1,2766"</f>
        <v>1,2766</v>
      </c>
      <c r="F28" s="24" t="s">
        <v>1119</v>
      </c>
      <c r="G28" s="24" t="s">
        <v>148</v>
      </c>
      <c r="H28" s="56" t="s">
        <v>35</v>
      </c>
      <c r="I28" s="56" t="s">
        <v>91</v>
      </c>
      <c r="J28" s="58" t="s">
        <v>20</v>
      </c>
      <c r="K28" s="25"/>
      <c r="L28" s="58" t="s">
        <v>15</v>
      </c>
      <c r="M28" s="56" t="s">
        <v>16</v>
      </c>
      <c r="N28" s="56" t="s">
        <v>299</v>
      </c>
      <c r="O28" s="25"/>
      <c r="P28" s="56" t="s">
        <v>44</v>
      </c>
      <c r="Q28" s="56" t="s">
        <v>45</v>
      </c>
      <c r="R28" s="58" t="s">
        <v>46</v>
      </c>
      <c r="S28" s="25"/>
      <c r="T28" s="56" t="s">
        <v>397</v>
      </c>
      <c r="U28" s="24" t="str">
        <f>"564,8955"</f>
        <v>564,8955</v>
      </c>
      <c r="V28" s="18" t="s">
        <v>111</v>
      </c>
    </row>
    <row r="29" spans="1:22" ht="12.75">
      <c r="A29" s="61">
        <v>3</v>
      </c>
      <c r="B29" s="26" t="s">
        <v>313</v>
      </c>
      <c r="C29" s="26" t="s">
        <v>314</v>
      </c>
      <c r="D29" s="26" t="s">
        <v>315</v>
      </c>
      <c r="E29" s="26" t="str">
        <f>"1,2940"</f>
        <v>1,2940</v>
      </c>
      <c r="F29" s="26" t="s">
        <v>27</v>
      </c>
      <c r="G29" s="26" t="s">
        <v>148</v>
      </c>
      <c r="H29" s="66" t="s">
        <v>137</v>
      </c>
      <c r="I29" s="66" t="s">
        <v>91</v>
      </c>
      <c r="J29" s="67" t="s">
        <v>20</v>
      </c>
      <c r="K29" s="27"/>
      <c r="L29" s="66" t="s">
        <v>255</v>
      </c>
      <c r="M29" s="66" t="s">
        <v>53</v>
      </c>
      <c r="N29" s="66" t="s">
        <v>62</v>
      </c>
      <c r="O29" s="27"/>
      <c r="P29" s="66" t="s">
        <v>20</v>
      </c>
      <c r="Q29" s="66" t="s">
        <v>72</v>
      </c>
      <c r="R29" s="67" t="s">
        <v>104</v>
      </c>
      <c r="S29" s="27"/>
      <c r="T29" s="66" t="s">
        <v>399</v>
      </c>
      <c r="U29" s="26" t="str">
        <f>"553,1850"</f>
        <v>553,1850</v>
      </c>
      <c r="V29" s="19" t="s">
        <v>111</v>
      </c>
    </row>
    <row r="30" spans="1:22" ht="12.75">
      <c r="A30" s="61">
        <v>1</v>
      </c>
      <c r="B30" s="24" t="s">
        <v>316</v>
      </c>
      <c r="C30" s="24" t="s">
        <v>317</v>
      </c>
      <c r="D30" s="24" t="s">
        <v>318</v>
      </c>
      <c r="E30" s="24" t="str">
        <f>"1,6845"</f>
        <v>1,6845</v>
      </c>
      <c r="F30" s="24" t="s">
        <v>1113</v>
      </c>
      <c r="G30" s="24" t="s">
        <v>319</v>
      </c>
      <c r="H30" s="56" t="s">
        <v>32</v>
      </c>
      <c r="I30" s="56" t="s">
        <v>239</v>
      </c>
      <c r="J30" s="56" t="s">
        <v>275</v>
      </c>
      <c r="K30" s="25"/>
      <c r="L30" s="56" t="s">
        <v>232</v>
      </c>
      <c r="M30" s="56" t="s">
        <v>254</v>
      </c>
      <c r="N30" s="58" t="s">
        <v>233</v>
      </c>
      <c r="O30" s="25"/>
      <c r="P30" s="56" t="s">
        <v>61</v>
      </c>
      <c r="Q30" s="56" t="s">
        <v>16</v>
      </c>
      <c r="R30" s="56" t="s">
        <v>34</v>
      </c>
      <c r="S30" s="25"/>
      <c r="T30" s="56" t="s">
        <v>47</v>
      </c>
      <c r="U30" s="24" t="str">
        <f>"471,6579"</f>
        <v>471,6579</v>
      </c>
      <c r="V30" s="18" t="s">
        <v>320</v>
      </c>
    </row>
    <row r="31" spans="2:21" ht="15.75">
      <c r="B31" s="174" t="s">
        <v>23</v>
      </c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</row>
    <row r="32" spans="1:22" ht="12.75">
      <c r="A32" s="61">
        <v>1</v>
      </c>
      <c r="B32" s="20" t="s">
        <v>321</v>
      </c>
      <c r="C32" s="20" t="s">
        <v>322</v>
      </c>
      <c r="D32" s="20" t="s">
        <v>323</v>
      </c>
      <c r="E32" s="20" t="str">
        <f>"1,1550"</f>
        <v>1,1550</v>
      </c>
      <c r="F32" s="20" t="s">
        <v>59</v>
      </c>
      <c r="G32" s="20" t="s">
        <v>60</v>
      </c>
      <c r="H32" s="62" t="s">
        <v>238</v>
      </c>
      <c r="I32" s="62" t="s">
        <v>239</v>
      </c>
      <c r="J32" s="62" t="s">
        <v>275</v>
      </c>
      <c r="K32" s="21"/>
      <c r="L32" s="62" t="s">
        <v>19</v>
      </c>
      <c r="M32" s="63" t="s">
        <v>32</v>
      </c>
      <c r="N32" s="62" t="s">
        <v>32</v>
      </c>
      <c r="O32" s="21"/>
      <c r="P32" s="62" t="s">
        <v>255</v>
      </c>
      <c r="Q32" s="62" t="s">
        <v>53</v>
      </c>
      <c r="R32" s="62" t="s">
        <v>15</v>
      </c>
      <c r="S32" s="21"/>
      <c r="T32" s="62" t="s">
        <v>124</v>
      </c>
      <c r="U32" s="20" t="str">
        <f>"334,9500"</f>
        <v>334,9500</v>
      </c>
      <c r="V32" s="16" t="s">
        <v>324</v>
      </c>
    </row>
    <row r="33" spans="1:22" ht="12.75">
      <c r="A33" s="61">
        <v>1</v>
      </c>
      <c r="B33" s="24" t="s">
        <v>325</v>
      </c>
      <c r="C33" s="24" t="s">
        <v>326</v>
      </c>
      <c r="D33" s="24" t="s">
        <v>51</v>
      </c>
      <c r="E33" s="24" t="str">
        <f>"1,1240"</f>
        <v>1,1240</v>
      </c>
      <c r="F33" s="24" t="s">
        <v>327</v>
      </c>
      <c r="G33" s="24" t="s">
        <v>328</v>
      </c>
      <c r="H33" s="56" t="s">
        <v>20</v>
      </c>
      <c r="I33" s="56" t="s">
        <v>172</v>
      </c>
      <c r="J33" s="56" t="s">
        <v>44</v>
      </c>
      <c r="K33" s="25"/>
      <c r="L33" s="56" t="s">
        <v>53</v>
      </c>
      <c r="M33" s="56" t="s">
        <v>15</v>
      </c>
      <c r="N33" s="58" t="s">
        <v>16</v>
      </c>
      <c r="O33" s="25"/>
      <c r="P33" s="56" t="s">
        <v>98</v>
      </c>
      <c r="Q33" s="56" t="s">
        <v>90</v>
      </c>
      <c r="R33" s="56" t="s">
        <v>79</v>
      </c>
      <c r="S33" s="25"/>
      <c r="T33" s="62" t="s">
        <v>1140</v>
      </c>
      <c r="U33" s="24" t="str">
        <f>"550,7600"</f>
        <v>550,7600</v>
      </c>
      <c r="V33" s="18" t="s">
        <v>329</v>
      </c>
    </row>
    <row r="34" spans="1:22" ht="12.75">
      <c r="A34" s="61">
        <v>1</v>
      </c>
      <c r="B34" s="26" t="s">
        <v>330</v>
      </c>
      <c r="C34" s="26" t="s">
        <v>331</v>
      </c>
      <c r="D34" s="26" t="s">
        <v>323</v>
      </c>
      <c r="E34" s="26" t="str">
        <f>"1,1550"</f>
        <v>1,1550</v>
      </c>
      <c r="F34" s="26" t="s">
        <v>332</v>
      </c>
      <c r="G34" s="26" t="s">
        <v>28</v>
      </c>
      <c r="H34" s="66" t="s">
        <v>45</v>
      </c>
      <c r="I34" s="67" t="s">
        <v>333</v>
      </c>
      <c r="J34" s="67" t="s">
        <v>63</v>
      </c>
      <c r="K34" s="27"/>
      <c r="L34" s="66" t="s">
        <v>35</v>
      </c>
      <c r="M34" s="67" t="s">
        <v>137</v>
      </c>
      <c r="N34" s="67" t="s">
        <v>91</v>
      </c>
      <c r="O34" s="27"/>
      <c r="P34" s="66" t="s">
        <v>98</v>
      </c>
      <c r="Q34" s="66" t="s">
        <v>41</v>
      </c>
      <c r="R34" s="66" t="s">
        <v>159</v>
      </c>
      <c r="S34" s="27"/>
      <c r="T34" s="62" t="s">
        <v>389</v>
      </c>
      <c r="U34" s="26" t="str">
        <f>"609,2625"</f>
        <v>609,2625</v>
      </c>
      <c r="V34" s="19" t="s">
        <v>111</v>
      </c>
    </row>
    <row r="35" spans="1:22" ht="12.75">
      <c r="A35" s="61">
        <v>2</v>
      </c>
      <c r="B35" s="24" t="s">
        <v>334</v>
      </c>
      <c r="C35" s="24" t="s">
        <v>335</v>
      </c>
      <c r="D35" s="24" t="s">
        <v>336</v>
      </c>
      <c r="E35" s="24" t="str">
        <f>"1,1422"</f>
        <v>1,1422</v>
      </c>
      <c r="F35" s="24" t="s">
        <v>1119</v>
      </c>
      <c r="G35" s="24" t="s">
        <v>136</v>
      </c>
      <c r="H35" s="56" t="s">
        <v>46</v>
      </c>
      <c r="I35" s="56" t="s">
        <v>63</v>
      </c>
      <c r="J35" s="58" t="s">
        <v>89</v>
      </c>
      <c r="K35" s="25"/>
      <c r="L35" s="56" t="s">
        <v>53</v>
      </c>
      <c r="M35" s="58" t="s">
        <v>15</v>
      </c>
      <c r="N35" s="56" t="s">
        <v>15</v>
      </c>
      <c r="O35" s="25"/>
      <c r="P35" s="56" t="s">
        <v>98</v>
      </c>
      <c r="Q35" s="56" t="s">
        <v>41</v>
      </c>
      <c r="R35" s="58" t="s">
        <v>54</v>
      </c>
      <c r="S35" s="25"/>
      <c r="T35" s="56" t="s">
        <v>395</v>
      </c>
      <c r="U35" s="24" t="str">
        <f>"582,5220"</f>
        <v>582,5220</v>
      </c>
      <c r="V35" s="18" t="s">
        <v>337</v>
      </c>
    </row>
    <row r="36" spans="2:21" ht="15.75">
      <c r="B36" s="174" t="s">
        <v>66</v>
      </c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</row>
    <row r="37" spans="1:22" ht="12.75">
      <c r="A37" s="61">
        <v>1</v>
      </c>
      <c r="B37" s="20" t="s">
        <v>338</v>
      </c>
      <c r="C37" s="20" t="s">
        <v>339</v>
      </c>
      <c r="D37" s="20" t="s">
        <v>340</v>
      </c>
      <c r="E37" s="20" t="str">
        <f>"1,0348"</f>
        <v>1,0348</v>
      </c>
      <c r="F37" s="20" t="s">
        <v>332</v>
      </c>
      <c r="G37" s="20" t="s">
        <v>136</v>
      </c>
      <c r="H37" s="62" t="s">
        <v>98</v>
      </c>
      <c r="I37" s="63" t="s">
        <v>41</v>
      </c>
      <c r="J37" s="62" t="s">
        <v>41</v>
      </c>
      <c r="K37" s="21"/>
      <c r="L37" s="62" t="s">
        <v>35</v>
      </c>
      <c r="M37" s="62" t="s">
        <v>137</v>
      </c>
      <c r="N37" s="62" t="s">
        <v>301</v>
      </c>
      <c r="O37" s="21"/>
      <c r="P37" s="62" t="s">
        <v>98</v>
      </c>
      <c r="Q37" s="62" t="s">
        <v>41</v>
      </c>
      <c r="R37" s="63" t="s">
        <v>159</v>
      </c>
      <c r="S37" s="21"/>
      <c r="T37" s="62" t="s">
        <v>393</v>
      </c>
      <c r="U37" s="20" t="str">
        <f>"587,2490"</f>
        <v>587,2490</v>
      </c>
      <c r="V37" s="16" t="s">
        <v>111</v>
      </c>
    </row>
    <row r="38" spans="1:22" ht="12.75">
      <c r="A38" s="61">
        <v>2</v>
      </c>
      <c r="B38" s="24" t="s">
        <v>341</v>
      </c>
      <c r="C38" s="24" t="s">
        <v>342</v>
      </c>
      <c r="D38" s="24" t="s">
        <v>343</v>
      </c>
      <c r="E38" s="24" t="str">
        <f>"1,0328"</f>
        <v>1,0328</v>
      </c>
      <c r="F38" s="24" t="s">
        <v>1119</v>
      </c>
      <c r="G38" s="24" t="s">
        <v>136</v>
      </c>
      <c r="H38" s="56" t="s">
        <v>44</v>
      </c>
      <c r="I38" s="56" t="s">
        <v>72</v>
      </c>
      <c r="J38" s="56" t="s">
        <v>46</v>
      </c>
      <c r="K38" s="25"/>
      <c r="L38" s="56" t="s">
        <v>30</v>
      </c>
      <c r="M38" s="56" t="s">
        <v>35</v>
      </c>
      <c r="N38" s="56" t="s">
        <v>137</v>
      </c>
      <c r="O38" s="25"/>
      <c r="P38" s="56" t="s">
        <v>45</v>
      </c>
      <c r="Q38" s="56" t="s">
        <v>52</v>
      </c>
      <c r="R38" s="58" t="s">
        <v>89</v>
      </c>
      <c r="S38" s="25"/>
      <c r="T38" s="56" t="s">
        <v>403</v>
      </c>
      <c r="U38" s="24" t="str">
        <f>"516,4000"</f>
        <v>516,4000</v>
      </c>
      <c r="V38" s="18" t="s">
        <v>344</v>
      </c>
    </row>
    <row r="39" spans="2:21" ht="15.75">
      <c r="B39" s="174" t="s">
        <v>100</v>
      </c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</row>
    <row r="40" spans="1:22" ht="12.75">
      <c r="A40" s="61">
        <v>1</v>
      </c>
      <c r="B40" s="24" t="s">
        <v>345</v>
      </c>
      <c r="C40" s="24" t="s">
        <v>346</v>
      </c>
      <c r="D40" s="24" t="s">
        <v>347</v>
      </c>
      <c r="E40" s="24" t="str">
        <f>"0,9878"</f>
        <v>0,9878</v>
      </c>
      <c r="F40" s="24" t="s">
        <v>12</v>
      </c>
      <c r="G40" s="24" t="s">
        <v>348</v>
      </c>
      <c r="H40" s="56" t="s">
        <v>89</v>
      </c>
      <c r="I40" s="56" t="s">
        <v>90</v>
      </c>
      <c r="J40" s="56" t="s">
        <v>41</v>
      </c>
      <c r="K40" s="25"/>
      <c r="L40" s="56" t="s">
        <v>137</v>
      </c>
      <c r="M40" s="56" t="s">
        <v>302</v>
      </c>
      <c r="N40" s="56" t="s">
        <v>20</v>
      </c>
      <c r="O40" s="25"/>
      <c r="P40" s="56" t="s">
        <v>54</v>
      </c>
      <c r="Q40" s="56" t="s">
        <v>130</v>
      </c>
      <c r="R40" s="56" t="s">
        <v>92</v>
      </c>
      <c r="S40" s="25"/>
      <c r="T40" s="56" t="s">
        <v>391</v>
      </c>
      <c r="U40" s="24" t="str">
        <f>"597,6190"</f>
        <v>597,6190</v>
      </c>
      <c r="V40" s="18" t="s">
        <v>349</v>
      </c>
    </row>
    <row r="41" spans="1:22" ht="12.75">
      <c r="A41" s="61">
        <v>2</v>
      </c>
      <c r="B41" s="24" t="s">
        <v>350</v>
      </c>
      <c r="C41" s="24" t="s">
        <v>351</v>
      </c>
      <c r="D41" s="24" t="s">
        <v>352</v>
      </c>
      <c r="E41" s="24" t="str">
        <f>"1,0190"</f>
        <v>1,0190</v>
      </c>
      <c r="F41" s="24" t="s">
        <v>1119</v>
      </c>
      <c r="G41" s="24" t="s">
        <v>136</v>
      </c>
      <c r="H41" s="58" t="s">
        <v>44</v>
      </c>
      <c r="I41" s="56" t="s">
        <v>44</v>
      </c>
      <c r="J41" s="56" t="s">
        <v>45</v>
      </c>
      <c r="K41" s="25"/>
      <c r="L41" s="56" t="s">
        <v>61</v>
      </c>
      <c r="M41" s="56" t="s">
        <v>14</v>
      </c>
      <c r="N41" s="58" t="s">
        <v>15</v>
      </c>
      <c r="O41" s="25"/>
      <c r="P41" s="56" t="s">
        <v>44</v>
      </c>
      <c r="Q41" s="56" t="s">
        <v>52</v>
      </c>
      <c r="R41" s="56" t="s">
        <v>89</v>
      </c>
      <c r="S41" s="25"/>
      <c r="T41" s="56" t="s">
        <v>406</v>
      </c>
      <c r="U41" s="24" t="str">
        <f>"476,3825"</f>
        <v>476,3825</v>
      </c>
      <c r="V41" s="18" t="s">
        <v>111</v>
      </c>
    </row>
    <row r="42" spans="2:22" ht="12.75">
      <c r="B42" s="22" t="s">
        <v>353</v>
      </c>
      <c r="C42" s="22" t="s">
        <v>354</v>
      </c>
      <c r="D42" s="22" t="s">
        <v>355</v>
      </c>
      <c r="E42" s="22" t="str">
        <f>"0,9932"</f>
        <v>0,9932</v>
      </c>
      <c r="F42" s="22" t="s">
        <v>327</v>
      </c>
      <c r="G42" s="22" t="s">
        <v>328</v>
      </c>
      <c r="H42" s="64" t="s">
        <v>52</v>
      </c>
      <c r="I42" s="64" t="s">
        <v>89</v>
      </c>
      <c r="J42" s="64" t="s">
        <v>89</v>
      </c>
      <c r="K42" s="64"/>
      <c r="L42" s="67" t="s">
        <v>131</v>
      </c>
      <c r="M42" s="64"/>
      <c r="N42" s="64"/>
      <c r="O42" s="64"/>
      <c r="P42" s="64" t="s">
        <v>131</v>
      </c>
      <c r="Q42" s="64"/>
      <c r="R42" s="64"/>
      <c r="S42" s="64"/>
      <c r="T42" s="72">
        <v>0</v>
      </c>
      <c r="U42" s="76" t="str">
        <f>"0,0000"</f>
        <v>0,0000</v>
      </c>
      <c r="V42" s="17" t="s">
        <v>356</v>
      </c>
    </row>
    <row r="43" spans="2:21" ht="15.75">
      <c r="B43" s="174" t="s">
        <v>117</v>
      </c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</row>
    <row r="44" spans="1:22" ht="12.75">
      <c r="A44" s="61">
        <v>1</v>
      </c>
      <c r="B44" s="20" t="s">
        <v>357</v>
      </c>
      <c r="C44" s="20" t="s">
        <v>358</v>
      </c>
      <c r="D44" s="20" t="s">
        <v>359</v>
      </c>
      <c r="E44" s="20" t="str">
        <f>"0,9174"</f>
        <v>0,9174</v>
      </c>
      <c r="F44" s="20" t="s">
        <v>327</v>
      </c>
      <c r="G44" s="20" t="s">
        <v>328</v>
      </c>
      <c r="H44" s="62" t="s">
        <v>82</v>
      </c>
      <c r="I44" s="63" t="s">
        <v>360</v>
      </c>
      <c r="J44" s="62" t="s">
        <v>360</v>
      </c>
      <c r="K44" s="21"/>
      <c r="L44" s="62" t="s">
        <v>72</v>
      </c>
      <c r="M44" s="62" t="s">
        <v>45</v>
      </c>
      <c r="N44" s="62" t="s">
        <v>109</v>
      </c>
      <c r="O44" s="21"/>
      <c r="P44" s="62" t="s">
        <v>83</v>
      </c>
      <c r="Q44" s="62" t="s">
        <v>361</v>
      </c>
      <c r="R44" s="63" t="s">
        <v>70</v>
      </c>
      <c r="S44" s="21"/>
      <c r="T44" s="62" t="s">
        <v>385</v>
      </c>
      <c r="U44" s="20" t="str">
        <f>"655,9410"</f>
        <v>655,9410</v>
      </c>
      <c r="V44" s="16" t="s">
        <v>356</v>
      </c>
    </row>
    <row r="45" spans="1:22" ht="12.75">
      <c r="A45" s="61">
        <v>2</v>
      </c>
      <c r="B45" s="24" t="s">
        <v>362</v>
      </c>
      <c r="C45" s="24" t="s">
        <v>363</v>
      </c>
      <c r="D45" s="24" t="s">
        <v>364</v>
      </c>
      <c r="E45" s="24" t="str">
        <f>"0,9234"</f>
        <v>0,9234</v>
      </c>
      <c r="F45" s="24" t="s">
        <v>365</v>
      </c>
      <c r="G45" s="24" t="s">
        <v>366</v>
      </c>
      <c r="H45" s="56" t="s">
        <v>109</v>
      </c>
      <c r="I45" s="58" t="s">
        <v>333</v>
      </c>
      <c r="J45" s="58" t="s">
        <v>63</v>
      </c>
      <c r="K45" s="25"/>
      <c r="L45" s="56" t="s">
        <v>29</v>
      </c>
      <c r="M45" s="56" t="s">
        <v>367</v>
      </c>
      <c r="N45" s="58" t="s">
        <v>116</v>
      </c>
      <c r="O45" s="25"/>
      <c r="P45" s="56" t="s">
        <v>54</v>
      </c>
      <c r="Q45" s="58" t="s">
        <v>42</v>
      </c>
      <c r="R45" s="58" t="s">
        <v>42</v>
      </c>
      <c r="S45" s="25"/>
      <c r="T45" s="56" t="s">
        <v>218</v>
      </c>
      <c r="U45" s="24" t="str">
        <f>"484,7850"</f>
        <v>484,7850</v>
      </c>
      <c r="V45" s="18" t="s">
        <v>368</v>
      </c>
    </row>
    <row r="46" spans="2:22" ht="12.75">
      <c r="B46" s="26" t="s">
        <v>369</v>
      </c>
      <c r="C46" s="26" t="s">
        <v>370</v>
      </c>
      <c r="D46" s="26" t="s">
        <v>371</v>
      </c>
      <c r="E46" s="26" t="str">
        <f>"0,9332"</f>
        <v>0,9332</v>
      </c>
      <c r="F46" s="26" t="s">
        <v>372</v>
      </c>
      <c r="G46" s="26" t="s">
        <v>148</v>
      </c>
      <c r="H46" s="67" t="s">
        <v>30</v>
      </c>
      <c r="I46" s="67" t="s">
        <v>35</v>
      </c>
      <c r="J46" s="67" t="s">
        <v>35</v>
      </c>
      <c r="K46" s="67"/>
      <c r="L46" s="67" t="s">
        <v>131</v>
      </c>
      <c r="M46" s="67"/>
      <c r="N46" s="67"/>
      <c r="O46" s="67"/>
      <c r="P46" s="67" t="s">
        <v>131</v>
      </c>
      <c r="Q46" s="67"/>
      <c r="R46" s="67"/>
      <c r="S46" s="67"/>
      <c r="T46" s="75">
        <v>0</v>
      </c>
      <c r="U46" s="77" t="str">
        <f>"0,0000"</f>
        <v>0,0000</v>
      </c>
      <c r="V46" s="19" t="s">
        <v>373</v>
      </c>
    </row>
    <row r="47" spans="1:22" ht="12.75">
      <c r="A47" s="61">
        <v>1</v>
      </c>
      <c r="B47" s="24" t="s">
        <v>374</v>
      </c>
      <c r="C47" s="24" t="s">
        <v>1554</v>
      </c>
      <c r="D47" s="24" t="s">
        <v>375</v>
      </c>
      <c r="E47" s="24" t="str">
        <f>"1,0485"</f>
        <v>1,0485</v>
      </c>
      <c r="F47" s="24" t="s">
        <v>59</v>
      </c>
      <c r="G47" s="24" t="s">
        <v>60</v>
      </c>
      <c r="H47" s="56" t="s">
        <v>90</v>
      </c>
      <c r="I47" s="56" t="s">
        <v>159</v>
      </c>
      <c r="J47" s="56" t="s">
        <v>80</v>
      </c>
      <c r="K47" s="25"/>
      <c r="L47" s="56" t="s">
        <v>91</v>
      </c>
      <c r="M47" s="56" t="s">
        <v>172</v>
      </c>
      <c r="N47" s="58" t="s">
        <v>44</v>
      </c>
      <c r="O47" s="25"/>
      <c r="P47" s="56" t="s">
        <v>82</v>
      </c>
      <c r="Q47" s="56" t="s">
        <v>83</v>
      </c>
      <c r="R47" s="58" t="s">
        <v>361</v>
      </c>
      <c r="S47" s="25"/>
      <c r="T47" s="56" t="s">
        <v>215</v>
      </c>
      <c r="U47" s="24" t="str">
        <f>"681,4979"</f>
        <v>681,4979</v>
      </c>
      <c r="V47" s="18" t="s">
        <v>111</v>
      </c>
    </row>
    <row r="48" spans="2:21" ht="15.75">
      <c r="B48" s="174" t="s">
        <v>138</v>
      </c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</row>
    <row r="49" spans="1:22" ht="12.75">
      <c r="A49" s="61">
        <v>1</v>
      </c>
      <c r="B49" s="24" t="s">
        <v>376</v>
      </c>
      <c r="C49" s="24" t="s">
        <v>377</v>
      </c>
      <c r="D49" s="24" t="s">
        <v>378</v>
      </c>
      <c r="E49" s="24" t="str">
        <f>"0,8940"</f>
        <v>0,8940</v>
      </c>
      <c r="F49" s="24" t="s">
        <v>27</v>
      </c>
      <c r="G49" s="24" t="s">
        <v>1188</v>
      </c>
      <c r="H49" s="56" t="s">
        <v>108</v>
      </c>
      <c r="I49" s="56" t="s">
        <v>43</v>
      </c>
      <c r="J49" s="56" t="s">
        <v>82</v>
      </c>
      <c r="K49" s="25"/>
      <c r="L49" s="56" t="s">
        <v>63</v>
      </c>
      <c r="M49" s="56" t="s">
        <v>64</v>
      </c>
      <c r="N49" s="58" t="s">
        <v>115</v>
      </c>
      <c r="O49" s="25"/>
      <c r="P49" s="56" t="s">
        <v>83</v>
      </c>
      <c r="Q49" s="56" t="s">
        <v>70</v>
      </c>
      <c r="R49" s="56" t="s">
        <v>154</v>
      </c>
      <c r="S49" s="25"/>
      <c r="T49" s="56" t="s">
        <v>383</v>
      </c>
      <c r="U49" s="24" t="str">
        <f>"668,2650"</f>
        <v>668,2650</v>
      </c>
      <c r="V49" s="18" t="s">
        <v>111</v>
      </c>
    </row>
    <row r="51" spans="2:3" ht="18">
      <c r="B51" s="29" t="s">
        <v>7</v>
      </c>
      <c r="C51" s="29"/>
    </row>
    <row r="52" spans="2:3" ht="15.75">
      <c r="B52" s="30" t="s">
        <v>189</v>
      </c>
      <c r="C52" s="30"/>
    </row>
    <row r="53" spans="2:3" ht="13.5">
      <c r="B53" s="32" t="s">
        <v>184</v>
      </c>
      <c r="C53" s="33"/>
    </row>
    <row r="54" spans="2:6" ht="13.5">
      <c r="B54" s="35" t="s">
        <v>176</v>
      </c>
      <c r="C54" s="35" t="s">
        <v>177</v>
      </c>
      <c r="D54" s="35" t="s">
        <v>178</v>
      </c>
      <c r="E54" s="35" t="s">
        <v>179</v>
      </c>
      <c r="F54" s="35" t="s">
        <v>180</v>
      </c>
    </row>
    <row r="55" spans="1:6" ht="12.75">
      <c r="A55" s="61">
        <v>1</v>
      </c>
      <c r="B55" s="31" t="s">
        <v>376</v>
      </c>
      <c r="C55" s="133" t="s">
        <v>185</v>
      </c>
      <c r="D55" s="133" t="s">
        <v>190</v>
      </c>
      <c r="E55" s="133" t="s">
        <v>383</v>
      </c>
      <c r="F55" s="134" t="s">
        <v>384</v>
      </c>
    </row>
    <row r="56" spans="1:6" ht="12.75">
      <c r="A56" s="61">
        <v>2</v>
      </c>
      <c r="B56" s="31" t="s">
        <v>357</v>
      </c>
      <c r="C56" s="133" t="s">
        <v>185</v>
      </c>
      <c r="D56" s="133" t="s">
        <v>200</v>
      </c>
      <c r="E56" s="133" t="s">
        <v>385</v>
      </c>
      <c r="F56" s="134" t="s">
        <v>386</v>
      </c>
    </row>
    <row r="57" spans="1:6" ht="12.75">
      <c r="A57" s="61">
        <v>3</v>
      </c>
      <c r="B57" s="31" t="s">
        <v>306</v>
      </c>
      <c r="C57" s="133" t="s">
        <v>185</v>
      </c>
      <c r="D57" s="133" t="s">
        <v>382</v>
      </c>
      <c r="E57" s="133" t="s">
        <v>387</v>
      </c>
      <c r="F57" s="134" t="s">
        <v>388</v>
      </c>
    </row>
    <row r="58" spans="2:6" ht="12.75">
      <c r="B58" s="31" t="s">
        <v>330</v>
      </c>
      <c r="C58" s="133" t="s">
        <v>185</v>
      </c>
      <c r="D58" s="133" t="s">
        <v>181</v>
      </c>
      <c r="E58" s="133" t="s">
        <v>389</v>
      </c>
      <c r="F58" s="134" t="s">
        <v>390</v>
      </c>
    </row>
    <row r="59" spans="2:6" ht="12.75">
      <c r="B59" s="31" t="s">
        <v>345</v>
      </c>
      <c r="C59" s="133" t="s">
        <v>185</v>
      </c>
      <c r="D59" s="133" t="s">
        <v>205</v>
      </c>
      <c r="E59" s="133" t="s">
        <v>391</v>
      </c>
      <c r="F59" s="134" t="s">
        <v>392</v>
      </c>
    </row>
    <row r="60" spans="2:6" ht="12.75">
      <c r="B60" s="31" t="s">
        <v>338</v>
      </c>
      <c r="C60" s="133" t="s">
        <v>185</v>
      </c>
      <c r="D60" s="133" t="s">
        <v>193</v>
      </c>
      <c r="E60" s="133" t="s">
        <v>393</v>
      </c>
      <c r="F60" s="134" t="s">
        <v>394</v>
      </c>
    </row>
    <row r="61" spans="2:6" ht="12.75">
      <c r="B61" s="31" t="s">
        <v>334</v>
      </c>
      <c r="C61" s="133" t="s">
        <v>185</v>
      </c>
      <c r="D61" s="133" t="s">
        <v>181</v>
      </c>
      <c r="E61" s="133" t="s">
        <v>395</v>
      </c>
      <c r="F61" s="134" t="s">
        <v>396</v>
      </c>
    </row>
    <row r="62" spans="2:6" ht="12.75">
      <c r="B62" s="31" t="s">
        <v>310</v>
      </c>
      <c r="C62" s="133" t="s">
        <v>185</v>
      </c>
      <c r="D62" s="133" t="s">
        <v>382</v>
      </c>
      <c r="E62" s="133" t="s">
        <v>397</v>
      </c>
      <c r="F62" s="134" t="s">
        <v>398</v>
      </c>
    </row>
    <row r="63" spans="2:6" ht="12.75">
      <c r="B63" s="31" t="s">
        <v>313</v>
      </c>
      <c r="C63" s="133" t="s">
        <v>185</v>
      </c>
      <c r="D63" s="133" t="s">
        <v>382</v>
      </c>
      <c r="E63" s="133" t="s">
        <v>399</v>
      </c>
      <c r="F63" s="134" t="s">
        <v>400</v>
      </c>
    </row>
    <row r="64" spans="2:6" ht="12.75">
      <c r="B64" s="31" t="s">
        <v>296</v>
      </c>
      <c r="C64" s="133" t="s">
        <v>185</v>
      </c>
      <c r="D64" s="133" t="s">
        <v>379</v>
      </c>
      <c r="E64" s="133" t="s">
        <v>401</v>
      </c>
      <c r="F64" s="134" t="s">
        <v>402</v>
      </c>
    </row>
    <row r="65" spans="2:6" ht="12.75">
      <c r="B65" s="31" t="s">
        <v>341</v>
      </c>
      <c r="C65" s="133" t="s">
        <v>185</v>
      </c>
      <c r="D65" s="133" t="s">
        <v>193</v>
      </c>
      <c r="E65" s="133" t="s">
        <v>403</v>
      </c>
      <c r="F65" s="134" t="s">
        <v>404</v>
      </c>
    </row>
    <row r="66" spans="2:6" ht="12.75">
      <c r="B66" s="31" t="s">
        <v>362</v>
      </c>
      <c r="C66" s="133" t="s">
        <v>185</v>
      </c>
      <c r="D66" s="133" t="s">
        <v>200</v>
      </c>
      <c r="E66" s="133" t="s">
        <v>218</v>
      </c>
      <c r="F66" s="134" t="s">
        <v>405</v>
      </c>
    </row>
    <row r="67" spans="2:6" ht="12.75">
      <c r="B67" s="31" t="s">
        <v>350</v>
      </c>
      <c r="C67" s="133" t="s">
        <v>185</v>
      </c>
      <c r="D67" s="133" t="s">
        <v>205</v>
      </c>
      <c r="E67" s="133" t="s">
        <v>406</v>
      </c>
      <c r="F67" s="134" t="s">
        <v>407</v>
      </c>
    </row>
  </sheetData>
  <sheetProtection/>
  <mergeCells count="27">
    <mergeCell ref="B31:U31"/>
    <mergeCell ref="V3:V4"/>
    <mergeCell ref="B5:U5"/>
    <mergeCell ref="L3:O3"/>
    <mergeCell ref="P3:S3"/>
    <mergeCell ref="T3:T4"/>
    <mergeCell ref="U3:U4"/>
    <mergeCell ref="B48:U48"/>
    <mergeCell ref="B21:U21"/>
    <mergeCell ref="B9:U9"/>
    <mergeCell ref="B11:U11"/>
    <mergeCell ref="B18:U18"/>
    <mergeCell ref="H3:K3"/>
    <mergeCell ref="B6:U6"/>
    <mergeCell ref="B43:U43"/>
    <mergeCell ref="B39:U39"/>
    <mergeCell ref="B20:U20"/>
    <mergeCell ref="B36:U36"/>
    <mergeCell ref="B1:N2"/>
    <mergeCell ref="B3:B4"/>
    <mergeCell ref="C3:C4"/>
    <mergeCell ref="D3:D4"/>
    <mergeCell ref="E3:E4"/>
    <mergeCell ref="F3:F4"/>
    <mergeCell ref="G3:G4"/>
    <mergeCell ref="B23:U23"/>
    <mergeCell ref="B26:U26"/>
  </mergeCells>
  <printOptions/>
  <pageMargins left="0.75" right="0.75" top="1" bottom="1" header="0.5" footer="0.5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workbookViewId="0" topLeftCell="A11">
      <selection activeCell="C31" sqref="C31"/>
    </sheetView>
  </sheetViews>
  <sheetFormatPr defaultColWidth="9.125" defaultRowHeight="12.75"/>
  <cols>
    <col min="1" max="1" width="3.125" style="38" customWidth="1"/>
    <col min="2" max="2" width="20.00390625" style="4" customWidth="1"/>
    <col min="3" max="3" width="27.375" style="1" customWidth="1"/>
    <col min="4" max="4" width="11.125" style="1" customWidth="1"/>
    <col min="5" max="5" width="9.125" style="1" bestFit="1" customWidth="1"/>
    <col min="6" max="6" width="22.75390625" style="5" bestFit="1" customWidth="1"/>
    <col min="7" max="7" width="36.875" style="5" customWidth="1"/>
    <col min="8" max="10" width="5.625" style="1" bestFit="1" customWidth="1"/>
    <col min="11" max="11" width="4.625" style="1" bestFit="1" customWidth="1"/>
    <col min="12" max="12" width="6.125" style="4" customWidth="1"/>
    <col min="13" max="13" width="6.375" style="1" bestFit="1" customWidth="1"/>
    <col min="14" max="14" width="6.125" style="5" customWidth="1"/>
    <col min="15" max="15" width="5.125" style="1" customWidth="1"/>
    <col min="16" max="18" width="5.625" style="1" bestFit="1" customWidth="1"/>
    <col min="19" max="19" width="5.875" style="1" customWidth="1"/>
    <col min="20" max="20" width="8.25390625" style="38" customWidth="1"/>
    <col min="21" max="21" width="11.125" style="1" bestFit="1" customWidth="1"/>
    <col min="22" max="22" width="22.625" style="1" customWidth="1"/>
    <col min="23" max="16384" width="9.125" style="1" customWidth="1"/>
  </cols>
  <sheetData>
    <row r="1" spans="2:14" ht="15" customHeight="1">
      <c r="B1" s="162" t="s">
        <v>1145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79"/>
    </row>
    <row r="2" spans="2:14" ht="81.75" customHeight="1" thickBot="1">
      <c r="B2" s="164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80"/>
    </row>
    <row r="3" spans="2:22" s="2" customFormat="1" ht="12.75" customHeight="1">
      <c r="B3" s="166" t="s">
        <v>0</v>
      </c>
      <c r="C3" s="168" t="s">
        <v>1108</v>
      </c>
      <c r="D3" s="170" t="s">
        <v>1109</v>
      </c>
      <c r="E3" s="170" t="s">
        <v>1110</v>
      </c>
      <c r="F3" s="170" t="s">
        <v>4</v>
      </c>
      <c r="G3" s="170" t="s">
        <v>6</v>
      </c>
      <c r="H3" s="170" t="s">
        <v>1054</v>
      </c>
      <c r="I3" s="170"/>
      <c r="J3" s="170"/>
      <c r="K3" s="170"/>
      <c r="L3" s="170" t="s">
        <v>1050</v>
      </c>
      <c r="M3" s="170"/>
      <c r="N3" s="170"/>
      <c r="O3" s="170"/>
      <c r="P3" s="170" t="s">
        <v>1</v>
      </c>
      <c r="Q3" s="170"/>
      <c r="R3" s="170"/>
      <c r="S3" s="170"/>
      <c r="T3" s="170" t="s">
        <v>2</v>
      </c>
      <c r="U3" s="170" t="s">
        <v>1110</v>
      </c>
      <c r="V3" s="160" t="s">
        <v>3</v>
      </c>
    </row>
    <row r="4" spans="2:22" s="2" customFormat="1" ht="21" customHeight="1" thickBot="1">
      <c r="B4" s="167"/>
      <c r="C4" s="169"/>
      <c r="D4" s="169"/>
      <c r="E4" s="169"/>
      <c r="F4" s="169"/>
      <c r="G4" s="169"/>
      <c r="H4" s="3">
        <v>1</v>
      </c>
      <c r="I4" s="3">
        <v>2</v>
      </c>
      <c r="J4" s="3">
        <v>3</v>
      </c>
      <c r="K4" s="3" t="s">
        <v>5</v>
      </c>
      <c r="L4" s="3">
        <v>1</v>
      </c>
      <c r="M4" s="3">
        <v>2</v>
      </c>
      <c r="N4" s="3">
        <v>3</v>
      </c>
      <c r="O4" s="3" t="s">
        <v>5</v>
      </c>
      <c r="P4" s="3">
        <v>1</v>
      </c>
      <c r="Q4" s="3">
        <v>2</v>
      </c>
      <c r="R4" s="3">
        <v>3</v>
      </c>
      <c r="S4" s="3" t="s">
        <v>5</v>
      </c>
      <c r="T4" s="169"/>
      <c r="U4" s="169"/>
      <c r="V4" s="161"/>
    </row>
    <row r="5" spans="1:21" ht="15.75">
      <c r="A5" s="61"/>
      <c r="B5" s="171" t="s">
        <v>1052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</row>
    <row r="6" spans="2:21" ht="15.75">
      <c r="B6" s="181" t="s">
        <v>8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</row>
    <row r="7" spans="1:22" s="44" customFormat="1" ht="12.75">
      <c r="A7" s="38" t="s">
        <v>1076</v>
      </c>
      <c r="B7" s="40" t="s">
        <v>9</v>
      </c>
      <c r="C7" s="40" t="s">
        <v>10</v>
      </c>
      <c r="D7" s="40" t="s">
        <v>11</v>
      </c>
      <c r="E7" s="41" t="s">
        <v>1055</v>
      </c>
      <c r="F7" s="96" t="s">
        <v>12</v>
      </c>
      <c r="G7" s="42" t="s">
        <v>13</v>
      </c>
      <c r="H7" s="81" t="s">
        <v>14</v>
      </c>
      <c r="I7" s="81" t="s">
        <v>15</v>
      </c>
      <c r="J7" s="81" t="s">
        <v>16</v>
      </c>
      <c r="K7" s="9"/>
      <c r="L7" s="80" t="s">
        <v>17</v>
      </c>
      <c r="M7" s="81" t="s">
        <v>18</v>
      </c>
      <c r="N7" s="80" t="s">
        <v>19</v>
      </c>
      <c r="O7" s="9"/>
      <c r="P7" s="81" t="s">
        <v>20</v>
      </c>
      <c r="Q7" s="79" t="s">
        <v>21</v>
      </c>
      <c r="R7" s="79" t="s">
        <v>21</v>
      </c>
      <c r="S7" s="9"/>
      <c r="T7" s="105" t="s">
        <v>187</v>
      </c>
      <c r="U7" s="43" t="s">
        <v>188</v>
      </c>
      <c r="V7" s="42" t="s">
        <v>22</v>
      </c>
    </row>
    <row r="8" spans="2:22" ht="15.75">
      <c r="B8" s="181" t="s">
        <v>23</v>
      </c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5"/>
    </row>
    <row r="9" spans="1:22" ht="12.75">
      <c r="A9" s="38" t="s">
        <v>1076</v>
      </c>
      <c r="B9" s="40" t="s">
        <v>24</v>
      </c>
      <c r="C9" s="103" t="s">
        <v>25</v>
      </c>
      <c r="D9" s="40" t="s">
        <v>26</v>
      </c>
      <c r="E9" s="41" t="s">
        <v>1056</v>
      </c>
      <c r="F9" s="96" t="s">
        <v>27</v>
      </c>
      <c r="G9" s="42" t="s">
        <v>28</v>
      </c>
      <c r="H9" s="81" t="s">
        <v>15</v>
      </c>
      <c r="I9" s="81" t="s">
        <v>29</v>
      </c>
      <c r="J9" s="81" t="s">
        <v>30</v>
      </c>
      <c r="K9" s="9"/>
      <c r="L9" s="80" t="s">
        <v>31</v>
      </c>
      <c r="M9" s="81" t="s">
        <v>32</v>
      </c>
      <c r="N9" s="84" t="s">
        <v>33</v>
      </c>
      <c r="O9" s="9"/>
      <c r="P9" s="81" t="s">
        <v>16</v>
      </c>
      <c r="Q9" s="81" t="s">
        <v>34</v>
      </c>
      <c r="R9" s="81" t="s">
        <v>35</v>
      </c>
      <c r="S9" s="9"/>
      <c r="T9" s="105" t="s">
        <v>182</v>
      </c>
      <c r="U9" s="43" t="s">
        <v>183</v>
      </c>
      <c r="V9" s="42" t="s">
        <v>36</v>
      </c>
    </row>
    <row r="10" spans="1:22" s="44" customFormat="1" ht="15.75">
      <c r="A10" s="38"/>
      <c r="B10" s="171" t="s">
        <v>1053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5"/>
    </row>
    <row r="11" spans="2:22" ht="15.75">
      <c r="B11" s="181" t="s">
        <v>23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5"/>
    </row>
    <row r="12" spans="1:22" ht="12.75">
      <c r="A12" s="38" t="s">
        <v>1076</v>
      </c>
      <c r="B12" s="40" t="s">
        <v>37</v>
      </c>
      <c r="C12" s="103" t="s">
        <v>1538</v>
      </c>
      <c r="D12" s="40" t="s">
        <v>39</v>
      </c>
      <c r="E12" s="41" t="s">
        <v>1057</v>
      </c>
      <c r="F12" s="40" t="s">
        <v>27</v>
      </c>
      <c r="G12" s="40" t="s">
        <v>40</v>
      </c>
      <c r="H12" s="78" t="s">
        <v>41</v>
      </c>
      <c r="I12" s="78" t="s">
        <v>42</v>
      </c>
      <c r="J12" s="78" t="s">
        <v>43</v>
      </c>
      <c r="K12" s="9"/>
      <c r="L12" s="80" t="s">
        <v>44</v>
      </c>
      <c r="M12" s="81" t="s">
        <v>45</v>
      </c>
      <c r="N12" s="84" t="s">
        <v>46</v>
      </c>
      <c r="O12" s="9"/>
      <c r="P12" s="81" t="s">
        <v>47</v>
      </c>
      <c r="Q12" s="79" t="s">
        <v>48</v>
      </c>
      <c r="R12" s="79" t="s">
        <v>49</v>
      </c>
      <c r="S12" s="9"/>
      <c r="T12" s="105" t="s">
        <v>196</v>
      </c>
      <c r="U12" s="43" t="s">
        <v>197</v>
      </c>
      <c r="V12" s="97" t="s">
        <v>111</v>
      </c>
    </row>
    <row r="13" spans="1:22" s="44" customFormat="1" ht="12.75">
      <c r="A13" s="38" t="s">
        <v>1102</v>
      </c>
      <c r="B13" s="42" t="s">
        <v>50</v>
      </c>
      <c r="C13" s="42" t="s">
        <v>38</v>
      </c>
      <c r="D13" s="42" t="s">
        <v>51</v>
      </c>
      <c r="E13" s="43" t="s">
        <v>1058</v>
      </c>
      <c r="F13" s="42" t="s">
        <v>12</v>
      </c>
      <c r="G13" s="42" t="s">
        <v>13</v>
      </c>
      <c r="H13" s="81" t="s">
        <v>44</v>
      </c>
      <c r="I13" s="81" t="s">
        <v>45</v>
      </c>
      <c r="J13" s="79" t="s">
        <v>52</v>
      </c>
      <c r="K13" s="9"/>
      <c r="L13" s="80" t="s">
        <v>53</v>
      </c>
      <c r="M13" s="81" t="s">
        <v>16</v>
      </c>
      <c r="N13" s="80" t="s">
        <v>29</v>
      </c>
      <c r="O13" s="9"/>
      <c r="P13" s="81" t="s">
        <v>41</v>
      </c>
      <c r="Q13" s="81" t="s">
        <v>54</v>
      </c>
      <c r="R13" s="81" t="s">
        <v>42</v>
      </c>
      <c r="S13" s="9"/>
      <c r="T13" s="105" t="s">
        <v>218</v>
      </c>
      <c r="U13" s="43" t="s">
        <v>219</v>
      </c>
      <c r="V13" s="42" t="s">
        <v>55</v>
      </c>
    </row>
    <row r="14" spans="1:22" s="44" customFormat="1" ht="12.75">
      <c r="A14" s="38" t="s">
        <v>1103</v>
      </c>
      <c r="B14" s="51" t="s">
        <v>56</v>
      </c>
      <c r="C14" s="51" t="s">
        <v>57</v>
      </c>
      <c r="D14" s="51" t="s">
        <v>58</v>
      </c>
      <c r="E14" s="50" t="s">
        <v>1059</v>
      </c>
      <c r="F14" s="51" t="s">
        <v>59</v>
      </c>
      <c r="G14" s="51" t="s">
        <v>60</v>
      </c>
      <c r="H14" s="91" t="s">
        <v>61</v>
      </c>
      <c r="I14" s="91" t="s">
        <v>15</v>
      </c>
      <c r="J14" s="91" t="s">
        <v>29</v>
      </c>
      <c r="K14" s="12"/>
      <c r="L14" s="93" t="s">
        <v>61</v>
      </c>
      <c r="M14" s="91" t="s">
        <v>53</v>
      </c>
      <c r="N14" s="94" t="s">
        <v>62</v>
      </c>
      <c r="O14" s="12"/>
      <c r="P14" s="91" t="s">
        <v>46</v>
      </c>
      <c r="Q14" s="91" t="s">
        <v>63</v>
      </c>
      <c r="R14" s="92" t="s">
        <v>64</v>
      </c>
      <c r="S14" s="12"/>
      <c r="T14" s="106" t="s">
        <v>224</v>
      </c>
      <c r="U14" s="50" t="s">
        <v>225</v>
      </c>
      <c r="V14" s="51" t="s">
        <v>65</v>
      </c>
    </row>
    <row r="15" spans="1:22" s="44" customFormat="1" ht="15.75">
      <c r="A15" s="38"/>
      <c r="B15" s="181" t="s">
        <v>66</v>
      </c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5"/>
    </row>
    <row r="16" spans="1:22" ht="12.75">
      <c r="A16" s="38" t="s">
        <v>1076</v>
      </c>
      <c r="B16" s="45" t="s">
        <v>67</v>
      </c>
      <c r="C16" s="100" t="s">
        <v>68</v>
      </c>
      <c r="D16" s="45" t="s">
        <v>69</v>
      </c>
      <c r="E16" s="46" t="s">
        <v>1060</v>
      </c>
      <c r="F16" s="100" t="s">
        <v>853</v>
      </c>
      <c r="G16" s="100" t="s">
        <v>1184</v>
      </c>
      <c r="H16" s="85" t="s">
        <v>70</v>
      </c>
      <c r="I16" s="85" t="s">
        <v>48</v>
      </c>
      <c r="J16" s="89" t="s">
        <v>71</v>
      </c>
      <c r="K16" s="10"/>
      <c r="L16" s="88" t="s">
        <v>72</v>
      </c>
      <c r="M16" s="87" t="s">
        <v>72</v>
      </c>
      <c r="N16" s="88" t="s">
        <v>45</v>
      </c>
      <c r="O16" s="10"/>
      <c r="P16" s="87" t="s">
        <v>73</v>
      </c>
      <c r="Q16" s="89" t="s">
        <v>74</v>
      </c>
      <c r="R16" s="89" t="s">
        <v>74</v>
      </c>
      <c r="S16" s="10"/>
      <c r="T16" s="107" t="s">
        <v>194</v>
      </c>
      <c r="U16" s="47" t="s">
        <v>195</v>
      </c>
      <c r="V16" s="101" t="s">
        <v>111</v>
      </c>
    </row>
    <row r="17" spans="1:22" ht="12.75">
      <c r="A17" s="38" t="s">
        <v>1102</v>
      </c>
      <c r="B17" s="42" t="s">
        <v>75</v>
      </c>
      <c r="C17" s="42" t="s">
        <v>76</v>
      </c>
      <c r="D17" s="42" t="s">
        <v>77</v>
      </c>
      <c r="E17" s="43" t="s">
        <v>1061</v>
      </c>
      <c r="F17" s="42" t="s">
        <v>27</v>
      </c>
      <c r="G17" s="42" t="s">
        <v>78</v>
      </c>
      <c r="H17" s="79" t="s">
        <v>79</v>
      </c>
      <c r="I17" s="81" t="s">
        <v>79</v>
      </c>
      <c r="J17" s="81" t="s">
        <v>80</v>
      </c>
      <c r="K17" s="9"/>
      <c r="L17" s="80" t="s">
        <v>72</v>
      </c>
      <c r="M17" s="79" t="s">
        <v>45</v>
      </c>
      <c r="N17" s="80" t="s">
        <v>45</v>
      </c>
      <c r="O17" s="9"/>
      <c r="P17" s="81" t="s">
        <v>81</v>
      </c>
      <c r="Q17" s="81" t="s">
        <v>82</v>
      </c>
      <c r="R17" s="79" t="s">
        <v>83</v>
      </c>
      <c r="S17" s="9"/>
      <c r="T17" s="105" t="s">
        <v>203</v>
      </c>
      <c r="U17" s="43" t="s">
        <v>204</v>
      </c>
      <c r="V17" s="97" t="s">
        <v>111</v>
      </c>
    </row>
    <row r="18" spans="1:22" s="44" customFormat="1" ht="12.75">
      <c r="A18" s="38" t="s">
        <v>1103</v>
      </c>
      <c r="B18" s="42" t="s">
        <v>84</v>
      </c>
      <c r="C18" s="42" t="s">
        <v>85</v>
      </c>
      <c r="D18" s="42" t="s">
        <v>86</v>
      </c>
      <c r="E18" s="43" t="s">
        <v>1062</v>
      </c>
      <c r="F18" s="42" t="s">
        <v>87</v>
      </c>
      <c r="G18" s="42" t="s">
        <v>88</v>
      </c>
      <c r="H18" s="81" t="s">
        <v>89</v>
      </c>
      <c r="I18" s="81" t="s">
        <v>90</v>
      </c>
      <c r="J18" s="79" t="s">
        <v>41</v>
      </c>
      <c r="K18" s="9"/>
      <c r="L18" s="80" t="s">
        <v>35</v>
      </c>
      <c r="M18" s="81" t="s">
        <v>91</v>
      </c>
      <c r="N18" s="80" t="s">
        <v>20</v>
      </c>
      <c r="O18" s="9"/>
      <c r="P18" s="81" t="s">
        <v>92</v>
      </c>
      <c r="Q18" s="81" t="s">
        <v>43</v>
      </c>
      <c r="R18" s="81" t="s">
        <v>81</v>
      </c>
      <c r="S18" s="9"/>
      <c r="T18" s="105" t="s">
        <v>208</v>
      </c>
      <c r="U18" s="43" t="s">
        <v>209</v>
      </c>
      <c r="V18" s="42" t="s">
        <v>93</v>
      </c>
    </row>
    <row r="19" spans="1:22" s="44" customFormat="1" ht="12.75">
      <c r="A19" s="38" t="s">
        <v>1076</v>
      </c>
      <c r="B19" s="51" t="s">
        <v>94</v>
      </c>
      <c r="C19" s="98" t="s">
        <v>95</v>
      </c>
      <c r="D19" s="51" t="s">
        <v>96</v>
      </c>
      <c r="E19" s="50" t="s">
        <v>1063</v>
      </c>
      <c r="F19" s="51" t="s">
        <v>27</v>
      </c>
      <c r="G19" s="51" t="s">
        <v>97</v>
      </c>
      <c r="H19" s="92" t="s">
        <v>98</v>
      </c>
      <c r="I19" s="91" t="s">
        <v>41</v>
      </c>
      <c r="J19" s="91" t="s">
        <v>79</v>
      </c>
      <c r="K19" s="12"/>
      <c r="L19" s="93" t="s">
        <v>34</v>
      </c>
      <c r="M19" s="91" t="s">
        <v>35</v>
      </c>
      <c r="N19" s="93" t="s">
        <v>99</v>
      </c>
      <c r="O19" s="12"/>
      <c r="P19" s="91" t="s">
        <v>98</v>
      </c>
      <c r="Q19" s="91" t="s">
        <v>41</v>
      </c>
      <c r="R19" s="91" t="s">
        <v>54</v>
      </c>
      <c r="S19" s="12"/>
      <c r="T19" s="106" t="s">
        <v>1134</v>
      </c>
      <c r="U19" s="50" t="s">
        <v>227</v>
      </c>
      <c r="V19" s="102" t="s">
        <v>111</v>
      </c>
    </row>
    <row r="20" spans="1:22" s="44" customFormat="1" ht="15.75">
      <c r="A20" s="38"/>
      <c r="B20" s="181" t="s">
        <v>100</v>
      </c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5"/>
    </row>
    <row r="21" spans="1:22" s="44" customFormat="1" ht="12.75">
      <c r="A21" s="38" t="s">
        <v>1076</v>
      </c>
      <c r="B21" s="45" t="s">
        <v>101</v>
      </c>
      <c r="C21" s="100" t="s">
        <v>1539</v>
      </c>
      <c r="D21" s="45" t="s">
        <v>102</v>
      </c>
      <c r="E21" s="46" t="s">
        <v>1064</v>
      </c>
      <c r="F21" s="45" t="s">
        <v>12</v>
      </c>
      <c r="G21" s="45" t="s">
        <v>13</v>
      </c>
      <c r="H21" s="85" t="s">
        <v>42</v>
      </c>
      <c r="I21" s="85" t="s">
        <v>92</v>
      </c>
      <c r="J21" s="89" t="s">
        <v>103</v>
      </c>
      <c r="K21" s="10"/>
      <c r="L21" s="86" t="s">
        <v>44</v>
      </c>
      <c r="M21" s="87" t="s">
        <v>45</v>
      </c>
      <c r="N21" s="86" t="s">
        <v>104</v>
      </c>
      <c r="O21" s="10"/>
      <c r="P21" s="87" t="s">
        <v>82</v>
      </c>
      <c r="Q21" s="87" t="s">
        <v>47</v>
      </c>
      <c r="R21" s="89" t="s">
        <v>48</v>
      </c>
      <c r="S21" s="10"/>
      <c r="T21" s="107" t="s">
        <v>206</v>
      </c>
      <c r="U21" s="47" t="s">
        <v>207</v>
      </c>
      <c r="V21" s="101" t="s">
        <v>111</v>
      </c>
    </row>
    <row r="22" spans="1:22" ht="12.75">
      <c r="A22" s="38" t="s">
        <v>1102</v>
      </c>
      <c r="B22" s="42" t="s">
        <v>105</v>
      </c>
      <c r="C22" s="42" t="s">
        <v>106</v>
      </c>
      <c r="D22" s="42" t="s">
        <v>107</v>
      </c>
      <c r="E22" s="43" t="s">
        <v>1065</v>
      </c>
      <c r="F22" s="42" t="s">
        <v>27</v>
      </c>
      <c r="G22" s="42" t="s">
        <v>78</v>
      </c>
      <c r="H22" s="79" t="s">
        <v>79</v>
      </c>
      <c r="I22" s="81" t="s">
        <v>54</v>
      </c>
      <c r="J22" s="81" t="s">
        <v>108</v>
      </c>
      <c r="K22" s="9"/>
      <c r="L22" s="84" t="s">
        <v>72</v>
      </c>
      <c r="M22" s="81" t="s">
        <v>109</v>
      </c>
      <c r="N22" s="84" t="s">
        <v>52</v>
      </c>
      <c r="O22" s="9"/>
      <c r="P22" s="81" t="s">
        <v>43</v>
      </c>
      <c r="Q22" s="81" t="s">
        <v>110</v>
      </c>
      <c r="R22" s="81" t="s">
        <v>82</v>
      </c>
      <c r="S22" s="9"/>
      <c r="T22" s="105" t="s">
        <v>210</v>
      </c>
      <c r="U22" s="43" t="s">
        <v>211</v>
      </c>
      <c r="V22" s="97" t="s">
        <v>111</v>
      </c>
    </row>
    <row r="23" spans="1:22" ht="12.75">
      <c r="A23" s="38" t="s">
        <v>1103</v>
      </c>
      <c r="B23" s="51" t="s">
        <v>112</v>
      </c>
      <c r="C23" s="51" t="s">
        <v>113</v>
      </c>
      <c r="D23" s="51" t="s">
        <v>114</v>
      </c>
      <c r="E23" s="50" t="s">
        <v>1066</v>
      </c>
      <c r="F23" s="51" t="s">
        <v>27</v>
      </c>
      <c r="G23" s="51" t="s">
        <v>28</v>
      </c>
      <c r="H23" s="92" t="s">
        <v>46</v>
      </c>
      <c r="I23" s="91" t="s">
        <v>63</v>
      </c>
      <c r="J23" s="91" t="s">
        <v>115</v>
      </c>
      <c r="K23" s="12"/>
      <c r="L23" s="93" t="s">
        <v>34</v>
      </c>
      <c r="M23" s="91" t="s">
        <v>30</v>
      </c>
      <c r="N23" s="93" t="s">
        <v>116</v>
      </c>
      <c r="O23" s="12"/>
      <c r="P23" s="91" t="s">
        <v>54</v>
      </c>
      <c r="Q23" s="91" t="s">
        <v>42</v>
      </c>
      <c r="R23" s="92" t="s">
        <v>92</v>
      </c>
      <c r="S23" s="12"/>
      <c r="T23" s="106" t="s">
        <v>220</v>
      </c>
      <c r="U23" s="50" t="s">
        <v>221</v>
      </c>
      <c r="V23" s="102" t="s">
        <v>111</v>
      </c>
    </row>
    <row r="24" spans="1:22" s="44" customFormat="1" ht="15.75">
      <c r="A24" s="38"/>
      <c r="B24" s="181" t="s">
        <v>117</v>
      </c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5"/>
    </row>
    <row r="25" spans="1:22" s="44" customFormat="1" ht="12.75">
      <c r="A25" s="38" t="s">
        <v>1076</v>
      </c>
      <c r="B25" s="45" t="s">
        <v>118</v>
      </c>
      <c r="C25" s="45" t="s">
        <v>119</v>
      </c>
      <c r="D25" s="45" t="s">
        <v>120</v>
      </c>
      <c r="E25" s="46" t="s">
        <v>1067</v>
      </c>
      <c r="F25" s="45" t="s">
        <v>27</v>
      </c>
      <c r="G25" s="45" t="s">
        <v>121</v>
      </c>
      <c r="H25" s="85" t="s">
        <v>81</v>
      </c>
      <c r="I25" s="85" t="s">
        <v>122</v>
      </c>
      <c r="J25" s="85" t="s">
        <v>123</v>
      </c>
      <c r="K25" s="10"/>
      <c r="L25" s="86" t="s">
        <v>46</v>
      </c>
      <c r="M25" s="89" t="s">
        <v>63</v>
      </c>
      <c r="N25" s="88" t="s">
        <v>63</v>
      </c>
      <c r="O25" s="10"/>
      <c r="P25" s="87" t="s">
        <v>124</v>
      </c>
      <c r="Q25" s="89" t="s">
        <v>48</v>
      </c>
      <c r="R25" s="89" t="s">
        <v>48</v>
      </c>
      <c r="S25" s="10"/>
      <c r="T25" s="107" t="s">
        <v>201</v>
      </c>
      <c r="U25" s="47" t="s">
        <v>202</v>
      </c>
      <c r="V25" s="101" t="s">
        <v>111</v>
      </c>
    </row>
    <row r="26" spans="1:22" s="44" customFormat="1" ht="12.75">
      <c r="A26" s="38" t="s">
        <v>1102</v>
      </c>
      <c r="B26" s="42" t="s">
        <v>125</v>
      </c>
      <c r="C26" s="42" t="s">
        <v>126</v>
      </c>
      <c r="D26" s="42" t="s">
        <v>127</v>
      </c>
      <c r="E26" s="43" t="s">
        <v>1068</v>
      </c>
      <c r="F26" s="42" t="s">
        <v>128</v>
      </c>
      <c r="G26" s="42" t="s">
        <v>129</v>
      </c>
      <c r="H26" s="81" t="s">
        <v>54</v>
      </c>
      <c r="I26" s="81" t="s">
        <v>130</v>
      </c>
      <c r="J26" s="79" t="s">
        <v>43</v>
      </c>
      <c r="K26" s="9"/>
      <c r="L26" s="80" t="s">
        <v>20</v>
      </c>
      <c r="M26" s="81" t="s">
        <v>21</v>
      </c>
      <c r="N26" s="84" t="s">
        <v>45</v>
      </c>
      <c r="O26" s="9"/>
      <c r="P26" s="81" t="s">
        <v>98</v>
      </c>
      <c r="Q26" s="79" t="s">
        <v>131</v>
      </c>
      <c r="R26" s="81" t="s">
        <v>110</v>
      </c>
      <c r="S26" s="9"/>
      <c r="T26" s="105" t="s">
        <v>215</v>
      </c>
      <c r="U26" s="43" t="s">
        <v>216</v>
      </c>
      <c r="V26" s="42" t="s">
        <v>132</v>
      </c>
    </row>
    <row r="27" spans="1:22" ht="12.75">
      <c r="A27" s="38" t="s">
        <v>1103</v>
      </c>
      <c r="B27" s="51" t="s">
        <v>133</v>
      </c>
      <c r="C27" s="51" t="s">
        <v>134</v>
      </c>
      <c r="D27" s="51" t="s">
        <v>135</v>
      </c>
      <c r="E27" s="50" t="s">
        <v>1069</v>
      </c>
      <c r="F27" s="24" t="s">
        <v>1119</v>
      </c>
      <c r="G27" s="51" t="s">
        <v>136</v>
      </c>
      <c r="H27" s="91" t="s">
        <v>108</v>
      </c>
      <c r="I27" s="91" t="s">
        <v>130</v>
      </c>
      <c r="J27" s="92" t="s">
        <v>43</v>
      </c>
      <c r="K27" s="12"/>
      <c r="L27" s="93" t="s">
        <v>30</v>
      </c>
      <c r="M27" s="91" t="s">
        <v>137</v>
      </c>
      <c r="N27" s="94" t="s">
        <v>91</v>
      </c>
      <c r="O27" s="12"/>
      <c r="P27" s="91" t="s">
        <v>83</v>
      </c>
      <c r="Q27" s="92" t="s">
        <v>70</v>
      </c>
      <c r="R27" s="92" t="s">
        <v>70</v>
      </c>
      <c r="S27" s="12"/>
      <c r="T27" s="105" t="s">
        <v>215</v>
      </c>
      <c r="U27" s="50" t="s">
        <v>217</v>
      </c>
      <c r="V27" s="98" t="s">
        <v>1111</v>
      </c>
    </row>
    <row r="28" spans="2:22" ht="15.75">
      <c r="B28" s="181" t="s">
        <v>138</v>
      </c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5"/>
    </row>
    <row r="29" spans="1:22" s="44" customFormat="1" ht="12.75">
      <c r="A29" s="38" t="s">
        <v>1076</v>
      </c>
      <c r="B29" s="45" t="s">
        <v>139</v>
      </c>
      <c r="C29" s="45" t="s">
        <v>140</v>
      </c>
      <c r="D29" s="45" t="s">
        <v>141</v>
      </c>
      <c r="E29" s="46" t="s">
        <v>1070</v>
      </c>
      <c r="F29" s="45" t="s">
        <v>27</v>
      </c>
      <c r="G29" s="45" t="s">
        <v>142</v>
      </c>
      <c r="H29" s="89" t="s">
        <v>54</v>
      </c>
      <c r="I29" s="87" t="s">
        <v>54</v>
      </c>
      <c r="J29" s="89" t="s">
        <v>92</v>
      </c>
      <c r="K29" s="10"/>
      <c r="L29" s="86" t="s">
        <v>20</v>
      </c>
      <c r="M29" s="87" t="s">
        <v>143</v>
      </c>
      <c r="N29" s="86" t="s">
        <v>52</v>
      </c>
      <c r="O29" s="10"/>
      <c r="P29" s="87" t="s">
        <v>81</v>
      </c>
      <c r="Q29" s="87" t="s">
        <v>83</v>
      </c>
      <c r="R29" s="89" t="s">
        <v>70</v>
      </c>
      <c r="S29" s="10"/>
      <c r="T29" s="105" t="s">
        <v>1135</v>
      </c>
      <c r="U29" s="47" t="s">
        <v>191</v>
      </c>
      <c r="V29" s="99" t="s">
        <v>144</v>
      </c>
    </row>
    <row r="30" spans="1:22" s="44" customFormat="1" ht="12.75">
      <c r="A30" s="38" t="s">
        <v>1102</v>
      </c>
      <c r="B30" s="42" t="s">
        <v>145</v>
      </c>
      <c r="C30" s="42" t="s">
        <v>146</v>
      </c>
      <c r="D30" s="42" t="s">
        <v>147</v>
      </c>
      <c r="E30" s="43" t="s">
        <v>1071</v>
      </c>
      <c r="F30" s="103" t="s">
        <v>853</v>
      </c>
      <c r="G30" s="42" t="s">
        <v>148</v>
      </c>
      <c r="H30" s="81" t="s">
        <v>89</v>
      </c>
      <c r="I30" s="81" t="s">
        <v>98</v>
      </c>
      <c r="J30" s="79" t="s">
        <v>41</v>
      </c>
      <c r="K30" s="9"/>
      <c r="L30" s="84" t="s">
        <v>16</v>
      </c>
      <c r="M30" s="81" t="s">
        <v>16</v>
      </c>
      <c r="N30" s="104"/>
      <c r="O30" s="9"/>
      <c r="P30" s="81" t="s">
        <v>98</v>
      </c>
      <c r="Q30" s="81" t="s">
        <v>41</v>
      </c>
      <c r="R30" s="81" t="s">
        <v>54</v>
      </c>
      <c r="S30" s="9"/>
      <c r="T30" s="105" t="s">
        <v>1136</v>
      </c>
      <c r="U30" s="43" t="s">
        <v>192</v>
      </c>
      <c r="V30" s="103" t="s">
        <v>509</v>
      </c>
    </row>
    <row r="31" spans="1:22" s="44" customFormat="1" ht="12.75">
      <c r="A31" s="38" t="s">
        <v>1076</v>
      </c>
      <c r="B31" s="48" t="s">
        <v>156</v>
      </c>
      <c r="C31" s="159" t="s">
        <v>157</v>
      </c>
      <c r="D31" s="48" t="s">
        <v>158</v>
      </c>
      <c r="E31" s="49" t="s">
        <v>1073</v>
      </c>
      <c r="F31" s="48" t="s">
        <v>128</v>
      </c>
      <c r="G31" s="48" t="s">
        <v>129</v>
      </c>
      <c r="H31" s="82" t="s">
        <v>124</v>
      </c>
      <c r="I31" s="82" t="s">
        <v>155</v>
      </c>
      <c r="J31" s="158" t="s">
        <v>153</v>
      </c>
      <c r="K31" s="11"/>
      <c r="L31" s="90" t="s">
        <v>89</v>
      </c>
      <c r="M31" s="82" t="s">
        <v>41</v>
      </c>
      <c r="N31" s="83" t="s">
        <v>159</v>
      </c>
      <c r="O31" s="11"/>
      <c r="P31" s="82" t="s">
        <v>124</v>
      </c>
      <c r="Q31" s="82" t="s">
        <v>155</v>
      </c>
      <c r="R31" s="82" t="s">
        <v>160</v>
      </c>
      <c r="S31" s="11"/>
      <c r="T31" s="105" t="s">
        <v>1104</v>
      </c>
      <c r="U31" s="49" t="s">
        <v>1105</v>
      </c>
      <c r="V31" s="48" t="s">
        <v>161</v>
      </c>
    </row>
    <row r="32" spans="1:22" ht="12.75">
      <c r="A32" s="38" t="s">
        <v>1102</v>
      </c>
      <c r="B32" s="42" t="s">
        <v>149</v>
      </c>
      <c r="C32" s="42" t="s">
        <v>150</v>
      </c>
      <c r="D32" s="42" t="s">
        <v>151</v>
      </c>
      <c r="E32" s="43" t="s">
        <v>1072</v>
      </c>
      <c r="F32" s="42" t="s">
        <v>27</v>
      </c>
      <c r="G32" s="42" t="s">
        <v>152</v>
      </c>
      <c r="H32" s="81" t="s">
        <v>73</v>
      </c>
      <c r="I32" s="81" t="s">
        <v>74</v>
      </c>
      <c r="J32" s="79" t="s">
        <v>153</v>
      </c>
      <c r="K32" s="9"/>
      <c r="L32" s="80" t="s">
        <v>41</v>
      </c>
      <c r="M32" s="81" t="s">
        <v>54</v>
      </c>
      <c r="N32" s="80" t="s">
        <v>42</v>
      </c>
      <c r="O32" s="9"/>
      <c r="P32" s="81" t="s">
        <v>154</v>
      </c>
      <c r="Q32" s="81" t="s">
        <v>155</v>
      </c>
      <c r="R32" s="79" t="s">
        <v>74</v>
      </c>
      <c r="S32" s="9"/>
      <c r="T32" s="105" t="s">
        <v>198</v>
      </c>
      <c r="U32" s="43" t="s">
        <v>199</v>
      </c>
      <c r="V32" s="97" t="s">
        <v>111</v>
      </c>
    </row>
    <row r="33" spans="1:22" ht="12.75">
      <c r="A33" s="38" t="s">
        <v>1103</v>
      </c>
      <c r="B33" s="51" t="s">
        <v>162</v>
      </c>
      <c r="C33" s="51" t="s">
        <v>163</v>
      </c>
      <c r="D33" s="51" t="s">
        <v>151</v>
      </c>
      <c r="E33" s="50" t="s">
        <v>1072</v>
      </c>
      <c r="F33" s="51" t="s">
        <v>164</v>
      </c>
      <c r="G33" s="98" t="s">
        <v>1186</v>
      </c>
      <c r="H33" s="91" t="s">
        <v>41</v>
      </c>
      <c r="I33" s="91" t="s">
        <v>42</v>
      </c>
      <c r="J33" s="92" t="s">
        <v>130</v>
      </c>
      <c r="K33" s="12"/>
      <c r="L33" s="93" t="s">
        <v>34</v>
      </c>
      <c r="M33" s="91" t="s">
        <v>137</v>
      </c>
      <c r="N33" s="94" t="s">
        <v>20</v>
      </c>
      <c r="O33" s="12"/>
      <c r="P33" s="91" t="s">
        <v>82</v>
      </c>
      <c r="Q33" s="92" t="s">
        <v>124</v>
      </c>
      <c r="R33" s="12"/>
      <c r="S33" s="12"/>
      <c r="T33" s="105" t="s">
        <v>222</v>
      </c>
      <c r="U33" s="50" t="s">
        <v>223</v>
      </c>
      <c r="V33" s="51" t="s">
        <v>165</v>
      </c>
    </row>
    <row r="34" spans="1:22" s="44" customFormat="1" ht="15.75">
      <c r="A34" s="38"/>
      <c r="B34" s="181" t="s">
        <v>166</v>
      </c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5"/>
    </row>
    <row r="35" spans="1:22" s="44" customFormat="1" ht="12.75">
      <c r="A35" s="38" t="s">
        <v>1076</v>
      </c>
      <c r="B35" s="40" t="s">
        <v>167</v>
      </c>
      <c r="C35" s="40" t="s">
        <v>168</v>
      </c>
      <c r="D35" s="40" t="s">
        <v>169</v>
      </c>
      <c r="E35" s="41" t="s">
        <v>1074</v>
      </c>
      <c r="F35" s="40" t="s">
        <v>27</v>
      </c>
      <c r="G35" s="40" t="s">
        <v>170</v>
      </c>
      <c r="H35" s="78" t="s">
        <v>92</v>
      </c>
      <c r="I35" s="78" t="s">
        <v>171</v>
      </c>
      <c r="J35" s="79" t="s">
        <v>83</v>
      </c>
      <c r="K35" s="9"/>
      <c r="L35" s="80" t="s">
        <v>91</v>
      </c>
      <c r="M35" s="81" t="s">
        <v>172</v>
      </c>
      <c r="N35" s="80" t="s">
        <v>72</v>
      </c>
      <c r="O35" s="9"/>
      <c r="P35" s="81" t="s">
        <v>173</v>
      </c>
      <c r="Q35" s="81" t="s">
        <v>174</v>
      </c>
      <c r="R35" s="9"/>
      <c r="S35" s="9"/>
      <c r="T35" s="105" t="s">
        <v>213</v>
      </c>
      <c r="U35" s="43" t="s">
        <v>214</v>
      </c>
      <c r="V35" s="97" t="s">
        <v>111</v>
      </c>
    </row>
    <row r="36" spans="1:22" s="44" customFormat="1" ht="12.75">
      <c r="A36" s="38"/>
      <c r="B36" s="4"/>
      <c r="C36" s="1"/>
      <c r="D36" s="1"/>
      <c r="E36" s="1"/>
      <c r="F36" s="5"/>
      <c r="G36" s="5"/>
      <c r="H36" s="1"/>
      <c r="I36" s="1"/>
      <c r="J36" s="1"/>
      <c r="K36" s="1"/>
      <c r="L36" s="4"/>
      <c r="M36" s="1"/>
      <c r="N36" s="5"/>
      <c r="O36" s="1"/>
      <c r="P36" s="1"/>
      <c r="Q36" s="1"/>
      <c r="R36" s="1"/>
      <c r="S36" s="1"/>
      <c r="T36" s="38"/>
      <c r="U36" s="1"/>
      <c r="V36" s="1"/>
    </row>
    <row r="37" spans="1:22" s="44" customFormat="1" ht="18">
      <c r="A37" s="38"/>
      <c r="B37" s="6" t="s">
        <v>7</v>
      </c>
      <c r="C37" s="7"/>
      <c r="D37" s="1"/>
      <c r="E37" s="1"/>
      <c r="F37" s="5"/>
      <c r="G37" s="5"/>
      <c r="H37" s="1"/>
      <c r="I37" s="1"/>
      <c r="J37" s="1"/>
      <c r="K37" s="1"/>
      <c r="L37" s="4"/>
      <c r="M37" s="1"/>
      <c r="N37" s="5"/>
      <c r="O37" s="1"/>
      <c r="P37" s="1"/>
      <c r="Q37" s="1"/>
      <c r="R37" s="1"/>
      <c r="S37" s="1"/>
      <c r="T37" s="38"/>
      <c r="U37" s="1"/>
      <c r="V37" s="1"/>
    </row>
    <row r="38" spans="1:22" s="44" customFormat="1" ht="15.75">
      <c r="A38" s="38"/>
      <c r="B38" s="52" t="s">
        <v>189</v>
      </c>
      <c r="C38" s="8"/>
      <c r="D38" s="1"/>
      <c r="E38" s="1"/>
      <c r="F38" s="5"/>
      <c r="G38" s="5"/>
      <c r="H38" s="1"/>
      <c r="I38" s="1"/>
      <c r="J38" s="1"/>
      <c r="K38" s="1"/>
      <c r="L38" s="4"/>
      <c r="M38" s="1"/>
      <c r="N38" s="5"/>
      <c r="O38" s="1"/>
      <c r="P38" s="1"/>
      <c r="Q38" s="1"/>
      <c r="R38" s="1"/>
      <c r="S38" s="1"/>
      <c r="T38" s="38"/>
      <c r="U38" s="1"/>
      <c r="V38" s="1"/>
    </row>
    <row r="39" spans="2:3" ht="13.5">
      <c r="B39" s="53" t="s">
        <v>184</v>
      </c>
      <c r="C39" s="13"/>
    </row>
    <row r="40" spans="2:6" ht="13.5">
      <c r="B40" s="14" t="s">
        <v>176</v>
      </c>
      <c r="C40" s="14" t="s">
        <v>177</v>
      </c>
      <c r="D40" s="14" t="s">
        <v>178</v>
      </c>
      <c r="E40" s="14" t="s">
        <v>179</v>
      </c>
      <c r="F40" s="14" t="s">
        <v>180</v>
      </c>
    </row>
    <row r="41" spans="1:22" s="44" customFormat="1" ht="12.75">
      <c r="A41" s="38" t="s">
        <v>1076</v>
      </c>
      <c r="B41" s="54" t="s">
        <v>67</v>
      </c>
      <c r="C41" s="1" t="s">
        <v>185</v>
      </c>
      <c r="D41" s="1" t="s">
        <v>193</v>
      </c>
      <c r="E41" s="1" t="s">
        <v>194</v>
      </c>
      <c r="F41" s="38" t="s">
        <v>195</v>
      </c>
      <c r="G41" s="5"/>
      <c r="H41" s="1"/>
      <c r="I41" s="1"/>
      <c r="J41" s="1"/>
      <c r="K41" s="1"/>
      <c r="L41" s="4"/>
      <c r="M41" s="1"/>
      <c r="N41" s="5"/>
      <c r="O41" s="1"/>
      <c r="P41" s="1"/>
      <c r="Q41" s="1"/>
      <c r="R41" s="1"/>
      <c r="S41" s="1"/>
      <c r="T41" s="38"/>
      <c r="U41" s="1"/>
      <c r="V41" s="1"/>
    </row>
    <row r="42" spans="1:6" ht="12.75">
      <c r="A42" s="38" t="s">
        <v>1102</v>
      </c>
      <c r="B42" s="54" t="s">
        <v>156</v>
      </c>
      <c r="C42" s="1" t="s">
        <v>185</v>
      </c>
      <c r="D42" s="1" t="s">
        <v>190</v>
      </c>
      <c r="E42" s="1" t="s">
        <v>1104</v>
      </c>
      <c r="F42" s="38" t="s">
        <v>1105</v>
      </c>
    </row>
    <row r="43" spans="1:6" ht="12.75">
      <c r="A43" s="38" t="s">
        <v>1103</v>
      </c>
      <c r="B43" s="54" t="s">
        <v>37</v>
      </c>
      <c r="C43" s="1" t="s">
        <v>185</v>
      </c>
      <c r="D43" s="1" t="s">
        <v>181</v>
      </c>
      <c r="E43" s="1" t="s">
        <v>196</v>
      </c>
      <c r="F43" s="38" t="s">
        <v>197</v>
      </c>
    </row>
    <row r="44" spans="2:6" ht="12.75">
      <c r="B44" s="54" t="s">
        <v>149</v>
      </c>
      <c r="C44" s="1" t="s">
        <v>185</v>
      </c>
      <c r="D44" s="1" t="s">
        <v>190</v>
      </c>
      <c r="E44" s="1" t="s">
        <v>198</v>
      </c>
      <c r="F44" s="38" t="s">
        <v>199</v>
      </c>
    </row>
    <row r="45" spans="2:6" ht="12.75">
      <c r="B45" s="54" t="s">
        <v>118</v>
      </c>
      <c r="C45" s="1" t="s">
        <v>185</v>
      </c>
      <c r="D45" s="1" t="s">
        <v>200</v>
      </c>
      <c r="E45" s="1" t="s">
        <v>201</v>
      </c>
      <c r="F45" s="38" t="s">
        <v>202</v>
      </c>
    </row>
    <row r="46" spans="2:6" ht="12.75">
      <c r="B46" s="54" t="s">
        <v>75</v>
      </c>
      <c r="C46" s="1" t="s">
        <v>185</v>
      </c>
      <c r="D46" s="1" t="s">
        <v>193</v>
      </c>
      <c r="E46" s="1" t="s">
        <v>203</v>
      </c>
      <c r="F46" s="38" t="s">
        <v>204</v>
      </c>
    </row>
    <row r="47" spans="2:6" ht="12.75">
      <c r="B47" s="54" t="s">
        <v>101</v>
      </c>
      <c r="C47" s="1" t="s">
        <v>185</v>
      </c>
      <c r="D47" s="1" t="s">
        <v>205</v>
      </c>
      <c r="E47" s="1" t="s">
        <v>206</v>
      </c>
      <c r="F47" s="38" t="s">
        <v>207</v>
      </c>
    </row>
    <row r="48" spans="2:6" ht="12.75">
      <c r="B48" s="54" t="s">
        <v>84</v>
      </c>
      <c r="C48" s="1" t="s">
        <v>185</v>
      </c>
      <c r="D48" s="1" t="s">
        <v>193</v>
      </c>
      <c r="E48" s="1" t="s">
        <v>208</v>
      </c>
      <c r="F48" s="38" t="s">
        <v>209</v>
      </c>
    </row>
    <row r="49" spans="2:6" ht="12.75">
      <c r="B49" s="54" t="s">
        <v>105</v>
      </c>
      <c r="C49" s="1" t="s">
        <v>185</v>
      </c>
      <c r="D49" s="1" t="s">
        <v>205</v>
      </c>
      <c r="E49" s="1" t="s">
        <v>210</v>
      </c>
      <c r="F49" s="38" t="s">
        <v>211</v>
      </c>
    </row>
    <row r="50" spans="2:6" ht="12.75">
      <c r="B50" s="54" t="s">
        <v>167</v>
      </c>
      <c r="C50" s="1" t="s">
        <v>185</v>
      </c>
      <c r="D50" s="1" t="s">
        <v>212</v>
      </c>
      <c r="E50" s="1" t="s">
        <v>213</v>
      </c>
      <c r="F50" s="38" t="s">
        <v>214</v>
      </c>
    </row>
    <row r="51" spans="2:6" ht="12.75">
      <c r="B51" s="54" t="s">
        <v>125</v>
      </c>
      <c r="C51" s="1" t="s">
        <v>185</v>
      </c>
      <c r="D51" s="1" t="s">
        <v>200</v>
      </c>
      <c r="E51" s="1" t="s">
        <v>215</v>
      </c>
      <c r="F51" s="38" t="s">
        <v>216</v>
      </c>
    </row>
    <row r="52" spans="2:6" ht="12.75">
      <c r="B52" s="54" t="s">
        <v>133</v>
      </c>
      <c r="C52" s="1" t="s">
        <v>185</v>
      </c>
      <c r="D52" s="1" t="s">
        <v>200</v>
      </c>
      <c r="E52" s="1" t="s">
        <v>215</v>
      </c>
      <c r="F52" s="38" t="s">
        <v>217</v>
      </c>
    </row>
    <row r="53" spans="2:6" ht="12.75">
      <c r="B53" s="54" t="s">
        <v>50</v>
      </c>
      <c r="C53" s="1" t="s">
        <v>185</v>
      </c>
      <c r="D53" s="1" t="s">
        <v>181</v>
      </c>
      <c r="E53" s="1" t="s">
        <v>218</v>
      </c>
      <c r="F53" s="38" t="s">
        <v>219</v>
      </c>
    </row>
    <row r="54" spans="2:6" ht="12.75">
      <c r="B54" s="54" t="s">
        <v>112</v>
      </c>
      <c r="C54" s="1" t="s">
        <v>185</v>
      </c>
      <c r="D54" s="1" t="s">
        <v>205</v>
      </c>
      <c r="E54" s="1" t="s">
        <v>220</v>
      </c>
      <c r="F54" s="38" t="s">
        <v>221</v>
      </c>
    </row>
    <row r="55" spans="2:6" ht="12.75">
      <c r="B55" s="54" t="s">
        <v>162</v>
      </c>
      <c r="C55" s="1" t="s">
        <v>185</v>
      </c>
      <c r="D55" s="1" t="s">
        <v>190</v>
      </c>
      <c r="E55" s="1" t="s">
        <v>222</v>
      </c>
      <c r="F55" s="38" t="s">
        <v>223</v>
      </c>
    </row>
    <row r="56" spans="2:6" ht="12.75">
      <c r="B56" s="54" t="s">
        <v>56</v>
      </c>
      <c r="C56" s="1" t="s">
        <v>185</v>
      </c>
      <c r="D56" s="1" t="s">
        <v>181</v>
      </c>
      <c r="E56" s="1" t="s">
        <v>224</v>
      </c>
      <c r="F56" s="38" t="s">
        <v>225</v>
      </c>
    </row>
    <row r="57" ht="12.75">
      <c r="B57" s="54"/>
    </row>
  </sheetData>
  <sheetProtection/>
  <mergeCells count="23">
    <mergeCell ref="B34:U34"/>
    <mergeCell ref="L3:O3"/>
    <mergeCell ref="P3:S3"/>
    <mergeCell ref="T3:T4"/>
    <mergeCell ref="U3:U4"/>
    <mergeCell ref="B28:U28"/>
    <mergeCell ref="B11:U11"/>
    <mergeCell ref="B8:U8"/>
    <mergeCell ref="B6:U6"/>
    <mergeCell ref="V3:V4"/>
    <mergeCell ref="B5:U5"/>
    <mergeCell ref="B10:U10"/>
    <mergeCell ref="B15:U15"/>
    <mergeCell ref="B20:U20"/>
    <mergeCell ref="B24:U24"/>
    <mergeCell ref="B1:N2"/>
    <mergeCell ref="H3:K3"/>
    <mergeCell ref="B3:B4"/>
    <mergeCell ref="C3:C4"/>
    <mergeCell ref="D3:D4"/>
    <mergeCell ref="G3:G4"/>
    <mergeCell ref="F3:F4"/>
    <mergeCell ref="E3:E4"/>
  </mergeCells>
  <printOptions/>
  <pageMargins left="0.19" right="0.47" top="0.45" bottom="0.49" header="0.5" footer="0.5"/>
  <pageSetup fitToHeight="100" fitToWidth="1" horizontalDpi="300" verticalDpi="300" orientation="landscape" scale="5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36"/>
  <sheetViews>
    <sheetView workbookViewId="0" topLeftCell="A3">
      <selection activeCell="F30" sqref="F30"/>
    </sheetView>
  </sheetViews>
  <sheetFormatPr defaultColWidth="8.75390625" defaultRowHeight="12.75"/>
  <cols>
    <col min="1" max="1" width="3.125" style="0" customWidth="1"/>
    <col min="2" max="2" width="20.75390625" style="0" customWidth="1"/>
    <col min="3" max="3" width="27.25390625" style="0" customWidth="1"/>
    <col min="4" max="4" width="10.75390625" style="0" customWidth="1"/>
    <col min="5" max="5" width="8.75390625" style="0" customWidth="1"/>
    <col min="6" max="6" width="18.875" style="0" customWidth="1"/>
    <col min="7" max="7" width="34.875" style="0" customWidth="1"/>
    <col min="8" max="8" width="17.00390625" style="0" customWidth="1"/>
    <col min="9" max="9" width="9.125" style="0" hidden="1" customWidth="1"/>
    <col min="10" max="10" width="15.875" style="0" customWidth="1"/>
    <col min="11" max="11" width="9.125" style="0" hidden="1" customWidth="1"/>
    <col min="12" max="13" width="8.75390625" style="0" customWidth="1"/>
    <col min="14" max="14" width="18.375" style="0" customWidth="1"/>
    <col min="15" max="21" width="9.125" style="0" hidden="1" customWidth="1"/>
  </cols>
  <sheetData>
    <row r="1" spans="1:14" ht="12.75">
      <c r="A1" s="38"/>
      <c r="B1" s="162" t="s">
        <v>1250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79"/>
    </row>
    <row r="2" spans="1:14" ht="59.25" customHeight="1" thickBot="1">
      <c r="A2" s="38"/>
      <c r="B2" s="164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80"/>
    </row>
    <row r="3" spans="1:14" ht="13.5">
      <c r="A3" s="2"/>
      <c r="B3" s="166" t="s">
        <v>0</v>
      </c>
      <c r="C3" s="168" t="s">
        <v>1108</v>
      </c>
      <c r="D3" s="170" t="s">
        <v>1109</v>
      </c>
      <c r="E3" s="170" t="s">
        <v>1110</v>
      </c>
      <c r="F3" s="170" t="s">
        <v>4</v>
      </c>
      <c r="G3" s="170" t="s">
        <v>6</v>
      </c>
      <c r="H3" s="182" t="s">
        <v>1189</v>
      </c>
      <c r="I3" s="183"/>
      <c r="J3" s="183"/>
      <c r="K3" s="184"/>
      <c r="L3" s="170" t="s">
        <v>1191</v>
      </c>
      <c r="M3" s="170" t="s">
        <v>1110</v>
      </c>
      <c r="N3" s="160" t="s">
        <v>3</v>
      </c>
    </row>
    <row r="4" spans="1:14" ht="15" thickBot="1">
      <c r="A4" s="2"/>
      <c r="B4" s="167"/>
      <c r="C4" s="169"/>
      <c r="D4" s="169"/>
      <c r="E4" s="169"/>
      <c r="F4" s="169"/>
      <c r="G4" s="169"/>
      <c r="H4" s="185" t="s">
        <v>1109</v>
      </c>
      <c r="I4" s="186"/>
      <c r="J4" s="185" t="s">
        <v>1190</v>
      </c>
      <c r="K4" s="186"/>
      <c r="L4" s="169"/>
      <c r="M4" s="169"/>
      <c r="N4" s="161"/>
    </row>
    <row r="5" spans="1:21" ht="15.75">
      <c r="A5" s="61"/>
      <c r="B5" s="171" t="s">
        <v>1053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</row>
    <row r="6" spans="1:21" ht="15.75">
      <c r="A6" s="38"/>
      <c r="B6" s="171" t="s">
        <v>23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</row>
    <row r="7" spans="1:14" ht="12.75">
      <c r="A7" s="123" t="s">
        <v>1076</v>
      </c>
      <c r="B7" s="103" t="s">
        <v>1251</v>
      </c>
      <c r="C7" s="103" t="s">
        <v>1252</v>
      </c>
      <c r="D7" s="103" t="s">
        <v>26</v>
      </c>
      <c r="E7" s="119" t="s">
        <v>1436</v>
      </c>
      <c r="F7" s="103" t="s">
        <v>1121</v>
      </c>
      <c r="G7" s="24" t="s">
        <v>148</v>
      </c>
      <c r="H7" s="144">
        <v>75</v>
      </c>
      <c r="I7" s="122"/>
      <c r="J7" s="121">
        <v>27</v>
      </c>
      <c r="K7" s="122"/>
      <c r="L7" s="145">
        <v>2025</v>
      </c>
      <c r="M7" s="128">
        <v>1402.5</v>
      </c>
      <c r="N7" s="122" t="s">
        <v>1193</v>
      </c>
    </row>
    <row r="8" spans="1:14" ht="12.75">
      <c r="A8" s="61">
        <v>1</v>
      </c>
      <c r="B8" s="24" t="s">
        <v>484</v>
      </c>
      <c r="C8" s="24" t="s">
        <v>485</v>
      </c>
      <c r="D8" s="126" t="s">
        <v>486</v>
      </c>
      <c r="E8" s="120" t="s">
        <v>1437</v>
      </c>
      <c r="F8" s="24" t="s">
        <v>1119</v>
      </c>
      <c r="G8" s="24" t="s">
        <v>136</v>
      </c>
      <c r="H8" s="144">
        <v>75</v>
      </c>
      <c r="I8" s="122"/>
      <c r="J8" s="121">
        <v>27</v>
      </c>
      <c r="K8" s="122"/>
      <c r="L8" s="145">
        <v>2025</v>
      </c>
      <c r="M8" s="128">
        <v>1406.7</v>
      </c>
      <c r="N8" s="122" t="s">
        <v>1193</v>
      </c>
    </row>
    <row r="9" spans="1:14" ht="12.75">
      <c r="A9" s="61">
        <v>1</v>
      </c>
      <c r="B9" s="24" t="s">
        <v>1253</v>
      </c>
      <c r="C9" s="24" t="s">
        <v>1254</v>
      </c>
      <c r="D9" s="126" t="s">
        <v>995</v>
      </c>
      <c r="E9" s="141" t="s">
        <v>1439</v>
      </c>
      <c r="F9" s="24" t="s">
        <v>1121</v>
      </c>
      <c r="G9" s="24" t="s">
        <v>1255</v>
      </c>
      <c r="H9" s="144">
        <v>70</v>
      </c>
      <c r="I9" s="122"/>
      <c r="J9" s="121">
        <v>24</v>
      </c>
      <c r="K9" s="122"/>
      <c r="L9" s="145">
        <v>1680</v>
      </c>
      <c r="M9" s="128">
        <v>1231.6</v>
      </c>
      <c r="N9" s="122" t="s">
        <v>1193</v>
      </c>
    </row>
    <row r="10" spans="2:21" ht="15.75">
      <c r="B10" s="171" t="s">
        <v>100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</row>
    <row r="11" spans="1:14" ht="12.75">
      <c r="A11" s="123" t="s">
        <v>1076</v>
      </c>
      <c r="B11" s="103" t="s">
        <v>1256</v>
      </c>
      <c r="C11" s="24" t="s">
        <v>1261</v>
      </c>
      <c r="D11" s="103" t="s">
        <v>1258</v>
      </c>
      <c r="E11" s="141" t="s">
        <v>1438</v>
      </c>
      <c r="F11" s="103" t="s">
        <v>1170</v>
      </c>
      <c r="G11" s="24" t="s">
        <v>148</v>
      </c>
      <c r="H11" s="144">
        <v>85</v>
      </c>
      <c r="I11" s="122"/>
      <c r="J11" s="121">
        <v>35</v>
      </c>
      <c r="K11" s="122"/>
      <c r="L11" s="145">
        <v>2975</v>
      </c>
      <c r="M11" s="128">
        <v>1891.5</v>
      </c>
      <c r="N11" s="122" t="s">
        <v>1193</v>
      </c>
    </row>
    <row r="12" spans="1:14" ht="12.75">
      <c r="A12" s="61">
        <v>2</v>
      </c>
      <c r="B12" s="24" t="s">
        <v>1257</v>
      </c>
      <c r="C12" s="24" t="s">
        <v>1262</v>
      </c>
      <c r="D12" s="126" t="s">
        <v>1259</v>
      </c>
      <c r="E12" s="142" t="s">
        <v>1440</v>
      </c>
      <c r="F12" s="24" t="s">
        <v>1260</v>
      </c>
      <c r="G12" s="24" t="s">
        <v>88</v>
      </c>
      <c r="H12" s="144">
        <v>90</v>
      </c>
      <c r="I12" s="122"/>
      <c r="J12" s="121">
        <v>34</v>
      </c>
      <c r="K12" s="122"/>
      <c r="L12" s="145">
        <v>3060</v>
      </c>
      <c r="M12" s="128">
        <v>1876.69</v>
      </c>
      <c r="N12" s="122" t="s">
        <v>518</v>
      </c>
    </row>
    <row r="13" spans="1:14" ht="12.75">
      <c r="A13" s="61">
        <v>1</v>
      </c>
      <c r="B13" s="24" t="s">
        <v>505</v>
      </c>
      <c r="C13" s="24" t="s">
        <v>1263</v>
      </c>
      <c r="D13" s="126" t="s">
        <v>107</v>
      </c>
      <c r="E13" s="141" t="s">
        <v>1441</v>
      </c>
      <c r="F13" s="24" t="s">
        <v>1119</v>
      </c>
      <c r="G13" s="24" t="s">
        <v>136</v>
      </c>
      <c r="H13" s="144">
        <v>90</v>
      </c>
      <c r="I13" s="122"/>
      <c r="J13" s="121">
        <v>22</v>
      </c>
      <c r="K13" s="122"/>
      <c r="L13" s="145">
        <v>1980</v>
      </c>
      <c r="M13" s="128">
        <v>1222.25</v>
      </c>
      <c r="N13" s="122" t="s">
        <v>1193</v>
      </c>
    </row>
    <row r="14" spans="2:21" ht="15.75">
      <c r="B14" s="171" t="s">
        <v>117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</row>
    <row r="15" spans="1:14" ht="12.75">
      <c r="A15" s="123" t="s">
        <v>1076</v>
      </c>
      <c r="B15" s="103" t="s">
        <v>1264</v>
      </c>
      <c r="C15" s="24" t="s">
        <v>1265</v>
      </c>
      <c r="D15" s="103" t="s">
        <v>514</v>
      </c>
      <c r="E15" s="141" t="s">
        <v>1442</v>
      </c>
      <c r="F15" s="103" t="s">
        <v>1215</v>
      </c>
      <c r="G15" s="24" t="s">
        <v>529</v>
      </c>
      <c r="H15" s="144">
        <v>95</v>
      </c>
      <c r="I15" s="122"/>
      <c r="J15" s="121">
        <v>22</v>
      </c>
      <c r="K15" s="122"/>
      <c r="L15" s="145">
        <v>2090</v>
      </c>
      <c r="M15" s="128">
        <v>1243.96</v>
      </c>
      <c r="N15" s="122" t="s">
        <v>526</v>
      </c>
    </row>
    <row r="16" spans="2:21" ht="15.75">
      <c r="B16" s="171" t="s">
        <v>138</v>
      </c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</row>
    <row r="17" spans="1:14" ht="12.75">
      <c r="A17" s="123" t="s">
        <v>1076</v>
      </c>
      <c r="B17" s="24" t="s">
        <v>530</v>
      </c>
      <c r="C17" s="24" t="s">
        <v>531</v>
      </c>
      <c r="D17" s="126" t="s">
        <v>151</v>
      </c>
      <c r="E17" s="141" t="s">
        <v>1443</v>
      </c>
      <c r="F17" s="24" t="s">
        <v>12</v>
      </c>
      <c r="G17" s="24" t="s">
        <v>348</v>
      </c>
      <c r="H17" s="144">
        <v>110</v>
      </c>
      <c r="I17" s="122"/>
      <c r="J17" s="121">
        <v>28</v>
      </c>
      <c r="K17" s="122"/>
      <c r="L17" s="145">
        <v>3080</v>
      </c>
      <c r="M17" s="128">
        <v>1732.5</v>
      </c>
      <c r="N17" s="122" t="s">
        <v>1193</v>
      </c>
    </row>
    <row r="18" spans="1:14" ht="12.75">
      <c r="A18" s="61">
        <v>2</v>
      </c>
      <c r="B18" s="24" t="s">
        <v>1266</v>
      </c>
      <c r="C18" s="24" t="s">
        <v>1267</v>
      </c>
      <c r="D18" s="126" t="s">
        <v>1268</v>
      </c>
      <c r="E18" s="141" t="s">
        <v>1444</v>
      </c>
      <c r="F18" s="24" t="s">
        <v>1170</v>
      </c>
      <c r="G18" s="24" t="s">
        <v>1269</v>
      </c>
      <c r="H18" s="144">
        <v>107.5</v>
      </c>
      <c r="I18" s="122"/>
      <c r="J18" s="121">
        <v>25</v>
      </c>
      <c r="K18" s="122"/>
      <c r="L18" s="145">
        <v>2687.5</v>
      </c>
      <c r="M18" s="128">
        <v>1521.93</v>
      </c>
      <c r="N18" s="122" t="s">
        <v>863</v>
      </c>
    </row>
    <row r="19" spans="2:21" ht="15.75">
      <c r="B19" s="171" t="s">
        <v>166</v>
      </c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</row>
    <row r="20" spans="1:14" ht="12.75">
      <c r="A20" s="123" t="s">
        <v>1076</v>
      </c>
      <c r="B20" s="24" t="s">
        <v>1270</v>
      </c>
      <c r="C20" s="24" t="s">
        <v>1271</v>
      </c>
      <c r="D20" s="126" t="s">
        <v>1272</v>
      </c>
      <c r="E20" s="141" t="s">
        <v>1445</v>
      </c>
      <c r="F20" s="24" t="s">
        <v>1170</v>
      </c>
      <c r="G20" s="24" t="s">
        <v>1269</v>
      </c>
      <c r="H20" s="144">
        <v>115</v>
      </c>
      <c r="I20" s="122"/>
      <c r="J20" s="121">
        <v>29</v>
      </c>
      <c r="K20" s="122"/>
      <c r="L20" s="145">
        <v>3335</v>
      </c>
      <c r="M20" s="128">
        <v>1854.92</v>
      </c>
      <c r="N20" s="122" t="s">
        <v>1193</v>
      </c>
    </row>
    <row r="22" spans="1:6" ht="18">
      <c r="A22" s="38"/>
      <c r="B22" s="6" t="s">
        <v>7</v>
      </c>
      <c r="C22" s="7"/>
      <c r="D22" s="1"/>
      <c r="E22" s="1"/>
      <c r="F22" s="5"/>
    </row>
    <row r="23" spans="1:6" ht="15.75">
      <c r="A23" s="38"/>
      <c r="B23" s="52" t="s">
        <v>189</v>
      </c>
      <c r="C23" s="8"/>
      <c r="D23" s="1"/>
      <c r="E23" s="1"/>
      <c r="F23" s="5"/>
    </row>
    <row r="24" spans="1:6" ht="13.5">
      <c r="A24" s="38"/>
      <c r="B24" s="53" t="s">
        <v>184</v>
      </c>
      <c r="C24" s="13"/>
      <c r="D24" s="1"/>
      <c r="E24" s="1"/>
      <c r="F24" s="5"/>
    </row>
    <row r="25" spans="1:6" ht="13.5">
      <c r="A25" s="38"/>
      <c r="B25" s="14" t="s">
        <v>176</v>
      </c>
      <c r="C25" s="14" t="s">
        <v>177</v>
      </c>
      <c r="D25" s="14" t="s">
        <v>178</v>
      </c>
      <c r="E25" s="14" t="s">
        <v>1191</v>
      </c>
      <c r="F25" s="14" t="s">
        <v>180</v>
      </c>
    </row>
    <row r="26" spans="1:6" ht="12.75">
      <c r="A26" s="38" t="s">
        <v>1076</v>
      </c>
      <c r="B26" s="5" t="s">
        <v>1256</v>
      </c>
      <c r="C26" s="1" t="s">
        <v>185</v>
      </c>
      <c r="D26" s="1" t="s">
        <v>1284</v>
      </c>
      <c r="E26" s="1" t="s">
        <v>1446</v>
      </c>
      <c r="F26" s="143">
        <v>1891.5</v>
      </c>
    </row>
    <row r="27" spans="1:6" ht="12.75">
      <c r="A27" s="38" t="s">
        <v>1102</v>
      </c>
      <c r="B27" s="5" t="s">
        <v>1257</v>
      </c>
      <c r="C27" s="1" t="s">
        <v>185</v>
      </c>
      <c r="D27" s="1" t="s">
        <v>1284</v>
      </c>
      <c r="E27" s="1" t="s">
        <v>1447</v>
      </c>
      <c r="F27" s="38" t="s">
        <v>1448</v>
      </c>
    </row>
    <row r="28" spans="1:6" ht="12.75">
      <c r="A28" s="38" t="s">
        <v>1103</v>
      </c>
      <c r="B28" s="5" t="s">
        <v>1270</v>
      </c>
      <c r="C28" s="1" t="s">
        <v>185</v>
      </c>
      <c r="D28" s="1" t="s">
        <v>1143</v>
      </c>
      <c r="E28" s="1" t="s">
        <v>1449</v>
      </c>
      <c r="F28" s="38" t="s">
        <v>1450</v>
      </c>
    </row>
    <row r="29" spans="1:6" ht="12.75">
      <c r="A29" s="38"/>
      <c r="B29" s="5" t="s">
        <v>530</v>
      </c>
      <c r="C29" s="1" t="s">
        <v>185</v>
      </c>
      <c r="D29" s="1" t="s">
        <v>1079</v>
      </c>
      <c r="E29" s="1" t="s">
        <v>1451</v>
      </c>
      <c r="F29" s="38" t="s">
        <v>1453</v>
      </c>
    </row>
    <row r="30" spans="1:6" ht="12.75">
      <c r="A30" s="38"/>
      <c r="B30" s="5" t="s">
        <v>1266</v>
      </c>
      <c r="C30" s="1" t="s">
        <v>185</v>
      </c>
      <c r="D30" s="1" t="s">
        <v>1079</v>
      </c>
      <c r="E30" s="1" t="s">
        <v>1452</v>
      </c>
      <c r="F30" s="38" t="s">
        <v>1454</v>
      </c>
    </row>
    <row r="31" spans="1:6" ht="12.75">
      <c r="A31" s="38"/>
      <c r="B31" s="5" t="s">
        <v>484</v>
      </c>
      <c r="C31" s="1" t="s">
        <v>185</v>
      </c>
      <c r="D31" s="1" t="s">
        <v>1088</v>
      </c>
      <c r="E31" s="1" t="s">
        <v>1455</v>
      </c>
      <c r="F31" s="38" t="s">
        <v>1456</v>
      </c>
    </row>
    <row r="32" spans="1:6" ht="12.75">
      <c r="A32" s="38"/>
      <c r="B32" s="5" t="s">
        <v>1264</v>
      </c>
      <c r="C32" s="1" t="s">
        <v>185</v>
      </c>
      <c r="D32" s="1" t="s">
        <v>1078</v>
      </c>
      <c r="E32" s="1" t="s">
        <v>1457</v>
      </c>
      <c r="F32" s="38" t="s">
        <v>1458</v>
      </c>
    </row>
    <row r="33" ht="12.75">
      <c r="A33" s="38"/>
    </row>
    <row r="34" ht="12.75">
      <c r="A34" s="38"/>
    </row>
    <row r="35" ht="12.75">
      <c r="A35" s="38"/>
    </row>
    <row r="36" ht="12.75">
      <c r="A36" s="38"/>
    </row>
  </sheetData>
  <sheetProtection/>
  <mergeCells count="19">
    <mergeCell ref="B14:U14"/>
    <mergeCell ref="B19:U19"/>
    <mergeCell ref="B16:U16"/>
    <mergeCell ref="N3:N4"/>
    <mergeCell ref="H4:I4"/>
    <mergeCell ref="J4:K4"/>
    <mergeCell ref="B5:U5"/>
    <mergeCell ref="B6:U6"/>
    <mergeCell ref="B10:U10"/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</mergeCells>
  <printOptions/>
  <pageMargins left="0.7" right="0.7" top="0.75" bottom="0.75" header="0.3" footer="0.3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32"/>
  <sheetViews>
    <sheetView tabSelected="1" workbookViewId="0" topLeftCell="A12">
      <selection activeCell="D44" sqref="D44"/>
    </sheetView>
  </sheetViews>
  <sheetFormatPr defaultColWidth="8.75390625" defaultRowHeight="12.75"/>
  <cols>
    <col min="1" max="1" width="3.25390625" style="0" customWidth="1"/>
    <col min="2" max="2" width="21.125" style="0" customWidth="1"/>
    <col min="3" max="3" width="27.75390625" style="0" customWidth="1"/>
    <col min="4" max="5" width="8.75390625" style="0" customWidth="1"/>
    <col min="6" max="6" width="20.875" style="0" customWidth="1"/>
    <col min="7" max="7" width="32.25390625" style="0" customWidth="1"/>
    <col min="8" max="8" width="21.00390625" style="0" customWidth="1"/>
    <col min="9" max="9" width="1.25" style="0" hidden="1" customWidth="1"/>
    <col min="10" max="10" width="16.25390625" style="0" customWidth="1"/>
    <col min="11" max="11" width="2.00390625" style="0" hidden="1" customWidth="1"/>
    <col min="12" max="12" width="10.625" style="0" customWidth="1"/>
    <col min="13" max="13" width="9.625" style="0" bestFit="1" customWidth="1"/>
    <col min="14" max="14" width="22.00390625" style="0" customWidth="1"/>
    <col min="15" max="15" width="0.12890625" style="0" hidden="1" customWidth="1"/>
    <col min="16" max="21" width="9.125" style="0" hidden="1" customWidth="1"/>
  </cols>
  <sheetData>
    <row r="1" spans="1:14" ht="12.75">
      <c r="A1" s="38"/>
      <c r="B1" s="162" t="s">
        <v>1194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79"/>
    </row>
    <row r="2" spans="1:14" ht="69" customHeight="1" thickBot="1">
      <c r="A2" s="38"/>
      <c r="B2" s="164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80"/>
    </row>
    <row r="3" spans="1:14" ht="13.5">
      <c r="A3" s="2"/>
      <c r="B3" s="166" t="s">
        <v>0</v>
      </c>
      <c r="C3" s="168" t="s">
        <v>1108</v>
      </c>
      <c r="D3" s="170" t="s">
        <v>1109</v>
      </c>
      <c r="E3" s="170" t="s">
        <v>1110</v>
      </c>
      <c r="F3" s="170" t="s">
        <v>4</v>
      </c>
      <c r="G3" s="170" t="s">
        <v>6</v>
      </c>
      <c r="H3" s="182" t="s">
        <v>1189</v>
      </c>
      <c r="I3" s="183"/>
      <c r="J3" s="183"/>
      <c r="K3" s="184"/>
      <c r="L3" s="170" t="s">
        <v>1191</v>
      </c>
      <c r="M3" s="170" t="s">
        <v>1110</v>
      </c>
      <c r="N3" s="160" t="s">
        <v>3</v>
      </c>
    </row>
    <row r="4" spans="1:14" ht="15" thickBot="1">
      <c r="A4" s="2"/>
      <c r="B4" s="167"/>
      <c r="C4" s="169"/>
      <c r="D4" s="169"/>
      <c r="E4" s="169"/>
      <c r="F4" s="169"/>
      <c r="G4" s="169"/>
      <c r="H4" s="185" t="s">
        <v>1109</v>
      </c>
      <c r="I4" s="186"/>
      <c r="J4" s="185" t="s">
        <v>1190</v>
      </c>
      <c r="K4" s="186"/>
      <c r="L4" s="169"/>
      <c r="M4" s="169"/>
      <c r="N4" s="161"/>
    </row>
    <row r="5" spans="1:21" ht="15.75">
      <c r="A5" s="61"/>
      <c r="B5" s="171" t="s">
        <v>1052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</row>
    <row r="6" spans="1:22" ht="15.75">
      <c r="A6" s="38"/>
      <c r="B6" s="171" t="s">
        <v>589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"/>
    </row>
    <row r="7" spans="1:14" ht="12.75">
      <c r="A7" s="123" t="s">
        <v>1076</v>
      </c>
      <c r="B7" s="103" t="s">
        <v>590</v>
      </c>
      <c r="C7" s="103" t="s">
        <v>501</v>
      </c>
      <c r="D7" s="103" t="s">
        <v>1192</v>
      </c>
      <c r="E7" s="119" t="s">
        <v>1216</v>
      </c>
      <c r="F7" s="103" t="s">
        <v>1121</v>
      </c>
      <c r="G7" s="24" t="s">
        <v>148</v>
      </c>
      <c r="H7" s="144" t="s">
        <v>1459</v>
      </c>
      <c r="I7" s="122"/>
      <c r="J7" s="121">
        <v>36</v>
      </c>
      <c r="K7" s="122"/>
      <c r="L7" s="145">
        <v>900</v>
      </c>
      <c r="M7" s="128">
        <v>1076.49</v>
      </c>
      <c r="N7" s="122" t="s">
        <v>1193</v>
      </c>
    </row>
    <row r="8" spans="1:21" ht="15.75">
      <c r="A8" s="61"/>
      <c r="B8" s="181" t="s">
        <v>248</v>
      </c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</row>
    <row r="9" spans="1:14" ht="12.75">
      <c r="A9" s="61">
        <v>1</v>
      </c>
      <c r="B9" s="24" t="s">
        <v>604</v>
      </c>
      <c r="C9" s="24" t="s">
        <v>1203</v>
      </c>
      <c r="D9" s="126" t="s">
        <v>606</v>
      </c>
      <c r="E9" s="120" t="s">
        <v>1217</v>
      </c>
      <c r="F9" s="24" t="s">
        <v>27</v>
      </c>
      <c r="G9" s="24" t="s">
        <v>148</v>
      </c>
      <c r="H9" s="127" t="s">
        <v>1231</v>
      </c>
      <c r="I9" s="122"/>
      <c r="J9" s="18">
        <v>26</v>
      </c>
      <c r="K9" s="122"/>
      <c r="L9" s="147">
        <v>715</v>
      </c>
      <c r="M9" s="18">
        <v>760.61</v>
      </c>
      <c r="N9" s="122" t="s">
        <v>590</v>
      </c>
    </row>
    <row r="10" spans="2:21" ht="15.75">
      <c r="B10" s="181" t="s">
        <v>284</v>
      </c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</row>
    <row r="11" spans="1:14" ht="12.75">
      <c r="A11" s="61">
        <v>1</v>
      </c>
      <c r="B11" s="24" t="s">
        <v>617</v>
      </c>
      <c r="C11" s="24" t="s">
        <v>119</v>
      </c>
      <c r="D11" s="126" t="s">
        <v>618</v>
      </c>
      <c r="E11" s="120" t="s">
        <v>1219</v>
      </c>
      <c r="F11" s="24" t="s">
        <v>27</v>
      </c>
      <c r="G11" s="24" t="s">
        <v>1187</v>
      </c>
      <c r="H11" s="121">
        <v>62.5</v>
      </c>
      <c r="I11" s="122"/>
      <c r="J11" s="121">
        <v>13</v>
      </c>
      <c r="K11" s="122"/>
      <c r="L11" s="124" t="s">
        <v>1195</v>
      </c>
      <c r="M11" s="124" t="s">
        <v>1230</v>
      </c>
      <c r="N11" s="122" t="s">
        <v>1193</v>
      </c>
    </row>
    <row r="12" spans="2:21" ht="15.75">
      <c r="B12" s="171" t="s">
        <v>1053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</row>
    <row r="13" spans="1:21" ht="15.75">
      <c r="A13" s="61"/>
      <c r="B13" s="181" t="s">
        <v>284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</row>
    <row r="14" spans="1:14" ht="12.75">
      <c r="A14" s="61">
        <v>1</v>
      </c>
      <c r="B14" s="24" t="s">
        <v>1196</v>
      </c>
      <c r="C14" s="24" t="s">
        <v>1197</v>
      </c>
      <c r="D14" s="126" t="s">
        <v>1198</v>
      </c>
      <c r="E14" s="120" t="s">
        <v>1218</v>
      </c>
      <c r="F14" s="24" t="s">
        <v>27</v>
      </c>
      <c r="G14" s="24" t="s">
        <v>148</v>
      </c>
      <c r="H14" s="121">
        <v>67.5</v>
      </c>
      <c r="I14" s="122"/>
      <c r="J14" s="121">
        <v>36</v>
      </c>
      <c r="K14" s="122"/>
      <c r="L14" s="145">
        <v>2430</v>
      </c>
      <c r="M14" s="18">
        <v>1827.84</v>
      </c>
      <c r="N14" s="122" t="s">
        <v>1193</v>
      </c>
    </row>
    <row r="15" spans="1:14" ht="12.75">
      <c r="A15" s="61">
        <v>2</v>
      </c>
      <c r="B15" s="24" t="s">
        <v>641</v>
      </c>
      <c r="C15" s="24" t="s">
        <v>642</v>
      </c>
      <c r="D15" s="126" t="s">
        <v>643</v>
      </c>
      <c r="E15" s="120" t="s">
        <v>1434</v>
      </c>
      <c r="F15" s="24" t="s">
        <v>1119</v>
      </c>
      <c r="G15" s="24" t="s">
        <v>136</v>
      </c>
      <c r="H15" s="121">
        <v>67.5</v>
      </c>
      <c r="I15" s="122"/>
      <c r="J15" s="121">
        <v>28</v>
      </c>
      <c r="K15" s="122"/>
      <c r="L15" s="145">
        <v>1890</v>
      </c>
      <c r="M15" s="128">
        <v>1436.4</v>
      </c>
      <c r="N15" s="122" t="s">
        <v>505</v>
      </c>
    </row>
    <row r="16" spans="1:14" ht="12.75">
      <c r="A16" s="125">
        <v>1</v>
      </c>
      <c r="B16" s="24" t="s">
        <v>656</v>
      </c>
      <c r="C16" s="24" t="s">
        <v>657</v>
      </c>
      <c r="D16" s="126" t="s">
        <v>658</v>
      </c>
      <c r="E16" s="120" t="s">
        <v>1435</v>
      </c>
      <c r="F16" s="24" t="s">
        <v>1119</v>
      </c>
      <c r="G16" s="24" t="s">
        <v>136</v>
      </c>
      <c r="H16" s="121">
        <v>67.5</v>
      </c>
      <c r="I16" s="122"/>
      <c r="J16" s="121">
        <v>17</v>
      </c>
      <c r="K16" s="122"/>
      <c r="L16" s="148" t="s">
        <v>1199</v>
      </c>
      <c r="M16" s="18">
        <v>874.39</v>
      </c>
      <c r="N16" s="122" t="s">
        <v>484</v>
      </c>
    </row>
    <row r="17" spans="1:14" ht="12.75">
      <c r="A17" s="61">
        <v>1</v>
      </c>
      <c r="B17" s="24" t="s">
        <v>664</v>
      </c>
      <c r="C17" s="24" t="s">
        <v>665</v>
      </c>
      <c r="D17" s="126" t="s">
        <v>666</v>
      </c>
      <c r="E17" s="120" t="s">
        <v>1220</v>
      </c>
      <c r="F17" s="24" t="s">
        <v>853</v>
      </c>
      <c r="G17" s="24" t="s">
        <v>148</v>
      </c>
      <c r="H17" s="121">
        <v>67.5</v>
      </c>
      <c r="I17" s="122"/>
      <c r="J17" s="121">
        <v>23</v>
      </c>
      <c r="K17" s="122"/>
      <c r="L17" s="148" t="s">
        <v>1200</v>
      </c>
      <c r="M17" s="18">
        <v>1593.95</v>
      </c>
      <c r="N17" s="122" t="s">
        <v>1193</v>
      </c>
    </row>
    <row r="18" spans="1:21" ht="15.75">
      <c r="A18" s="61"/>
      <c r="B18" s="181" t="s">
        <v>1558</v>
      </c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</row>
    <row r="19" spans="1:14" ht="12.75">
      <c r="A19" s="195" t="s">
        <v>1563</v>
      </c>
      <c r="B19" s="24" t="s">
        <v>1559</v>
      </c>
      <c r="C19" s="24" t="s">
        <v>1560</v>
      </c>
      <c r="D19" s="126" t="s">
        <v>832</v>
      </c>
      <c r="E19" s="120" t="s">
        <v>1561</v>
      </c>
      <c r="F19" s="24" t="s">
        <v>1121</v>
      </c>
      <c r="G19" s="24" t="s">
        <v>1562</v>
      </c>
      <c r="H19" s="146">
        <v>82.5</v>
      </c>
      <c r="I19" s="122"/>
      <c r="J19" s="121">
        <v>33</v>
      </c>
      <c r="K19" s="122"/>
      <c r="L19" s="145">
        <v>2722.5</v>
      </c>
      <c r="M19" s="18">
        <v>1770.36</v>
      </c>
      <c r="N19" s="122" t="s">
        <v>1193</v>
      </c>
    </row>
    <row r="20" spans="2:21" ht="15.75">
      <c r="B20" s="181" t="s">
        <v>100</v>
      </c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</row>
    <row r="21" spans="1:14" ht="12.75">
      <c r="A21" s="61">
        <v>1</v>
      </c>
      <c r="B21" s="24" t="s">
        <v>850</v>
      </c>
      <c r="C21" s="24" t="s">
        <v>851</v>
      </c>
      <c r="D21" s="126" t="s">
        <v>722</v>
      </c>
      <c r="E21" s="120" t="s">
        <v>1221</v>
      </c>
      <c r="F21" s="24" t="s">
        <v>853</v>
      </c>
      <c r="G21" s="24" t="s">
        <v>148</v>
      </c>
      <c r="H21" s="146">
        <v>90</v>
      </c>
      <c r="I21" s="122"/>
      <c r="J21" s="121">
        <v>34</v>
      </c>
      <c r="K21" s="122"/>
      <c r="L21" s="145">
        <v>3060</v>
      </c>
      <c r="M21" s="18">
        <v>1872.26</v>
      </c>
      <c r="N21" s="122" t="s">
        <v>1111</v>
      </c>
    </row>
    <row r="22" spans="1:14" ht="12.75">
      <c r="A22" s="61">
        <v>1</v>
      </c>
      <c r="B22" s="24" t="s">
        <v>720</v>
      </c>
      <c r="C22" s="24" t="s">
        <v>1202</v>
      </c>
      <c r="D22" s="126" t="s">
        <v>722</v>
      </c>
      <c r="E22" s="120" t="s">
        <v>1222</v>
      </c>
      <c r="F22" s="24" t="s">
        <v>1119</v>
      </c>
      <c r="G22" s="24" t="s">
        <v>136</v>
      </c>
      <c r="H22" s="146">
        <v>90</v>
      </c>
      <c r="I22" s="122"/>
      <c r="J22" s="121">
        <v>14</v>
      </c>
      <c r="K22" s="122"/>
      <c r="L22" s="148">
        <v>1260</v>
      </c>
      <c r="M22" s="18">
        <v>778.62</v>
      </c>
      <c r="N22" s="122" t="s">
        <v>484</v>
      </c>
    </row>
    <row r="23" spans="2:21" ht="15.75">
      <c r="B23" s="181" t="s">
        <v>117</v>
      </c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</row>
    <row r="24" spans="1:14" ht="12.75">
      <c r="A24" s="125">
        <v>1</v>
      </c>
      <c r="B24" s="24" t="s">
        <v>728</v>
      </c>
      <c r="C24" s="24" t="s">
        <v>729</v>
      </c>
      <c r="D24" s="126" t="s">
        <v>730</v>
      </c>
      <c r="E24" s="120" t="s">
        <v>1223</v>
      </c>
      <c r="F24" s="24" t="s">
        <v>27</v>
      </c>
      <c r="G24" s="24" t="s">
        <v>148</v>
      </c>
      <c r="H24" s="146">
        <v>100</v>
      </c>
      <c r="I24" s="122"/>
      <c r="J24" s="121">
        <v>28</v>
      </c>
      <c r="K24" s="122"/>
      <c r="L24" s="145">
        <v>2800</v>
      </c>
      <c r="M24" s="18">
        <v>1637.44</v>
      </c>
      <c r="N24" s="122" t="s">
        <v>1193</v>
      </c>
    </row>
    <row r="25" spans="1:14" ht="12.75">
      <c r="A25" s="125">
        <v>1</v>
      </c>
      <c r="B25" s="24" t="s">
        <v>1008</v>
      </c>
      <c r="C25" s="24" t="s">
        <v>1208</v>
      </c>
      <c r="D25" s="126" t="s">
        <v>1205</v>
      </c>
      <c r="E25" s="120" t="s">
        <v>1224</v>
      </c>
      <c r="F25" s="24" t="s">
        <v>27</v>
      </c>
      <c r="G25" s="24" t="s">
        <v>1206</v>
      </c>
      <c r="H25" s="146">
        <v>92.5</v>
      </c>
      <c r="I25" s="122"/>
      <c r="J25" s="121">
        <v>19</v>
      </c>
      <c r="K25" s="122"/>
      <c r="L25" s="148" t="s">
        <v>1207</v>
      </c>
      <c r="M25" s="18">
        <v>1110.21</v>
      </c>
      <c r="N25" s="122" t="s">
        <v>1193</v>
      </c>
    </row>
    <row r="26" spans="1:14" ht="12.75">
      <c r="A26" s="125">
        <v>2</v>
      </c>
      <c r="B26" s="24" t="s">
        <v>1204</v>
      </c>
      <c r="C26" s="24" t="s">
        <v>1201</v>
      </c>
      <c r="D26" s="126" t="s">
        <v>517</v>
      </c>
      <c r="E26" s="120" t="s">
        <v>1225</v>
      </c>
      <c r="F26" s="24" t="s">
        <v>27</v>
      </c>
      <c r="G26" s="24" t="s">
        <v>148</v>
      </c>
      <c r="H26" s="146">
        <v>100</v>
      </c>
      <c r="I26" s="122"/>
      <c r="J26" s="121">
        <v>16</v>
      </c>
      <c r="K26" s="122"/>
      <c r="L26" s="145">
        <v>1600</v>
      </c>
      <c r="M26" s="18">
        <v>947.04</v>
      </c>
      <c r="N26" s="122" t="s">
        <v>1193</v>
      </c>
    </row>
    <row r="27" spans="2:21" ht="15.75">
      <c r="B27" s="181" t="s">
        <v>138</v>
      </c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</row>
    <row r="28" spans="1:14" ht="12.75">
      <c r="A28" s="125">
        <v>1</v>
      </c>
      <c r="B28" s="24" t="s">
        <v>756</v>
      </c>
      <c r="C28" s="24" t="s">
        <v>1211</v>
      </c>
      <c r="D28" s="130" t="s">
        <v>1212</v>
      </c>
      <c r="E28" s="120" t="s">
        <v>1226</v>
      </c>
      <c r="F28" s="24" t="s">
        <v>1213</v>
      </c>
      <c r="G28" s="24" t="s">
        <v>348</v>
      </c>
      <c r="H28" s="146">
        <v>105</v>
      </c>
      <c r="I28" s="122"/>
      <c r="J28" s="121">
        <v>31</v>
      </c>
      <c r="K28" s="122"/>
      <c r="L28" s="145">
        <v>3255</v>
      </c>
      <c r="M28" s="18">
        <v>1863.48</v>
      </c>
      <c r="N28" s="122" t="s">
        <v>1193</v>
      </c>
    </row>
    <row r="29" spans="1:14" ht="12.75">
      <c r="A29" s="125">
        <v>1</v>
      </c>
      <c r="B29" s="24" t="s">
        <v>545</v>
      </c>
      <c r="C29" s="24" t="s">
        <v>1209</v>
      </c>
      <c r="D29" s="130" t="s">
        <v>547</v>
      </c>
      <c r="E29" s="120" t="s">
        <v>1227</v>
      </c>
      <c r="F29" s="24" t="s">
        <v>27</v>
      </c>
      <c r="G29" s="24" t="s">
        <v>1184</v>
      </c>
      <c r="H29" s="146">
        <v>110</v>
      </c>
      <c r="I29" s="122"/>
      <c r="J29" s="121">
        <v>14</v>
      </c>
      <c r="K29" s="122"/>
      <c r="L29" s="148">
        <v>1540</v>
      </c>
      <c r="M29" s="18">
        <v>896.12</v>
      </c>
      <c r="N29" s="122" t="s">
        <v>1193</v>
      </c>
    </row>
    <row r="30" spans="1:14" ht="12.75">
      <c r="A30" s="61">
        <v>1</v>
      </c>
      <c r="B30" s="24" t="s">
        <v>771</v>
      </c>
      <c r="C30" s="24" t="s">
        <v>1210</v>
      </c>
      <c r="D30" s="130" t="s">
        <v>773</v>
      </c>
      <c r="E30" s="120" t="s">
        <v>1228</v>
      </c>
      <c r="F30" s="24" t="s">
        <v>27</v>
      </c>
      <c r="G30" s="24" t="s">
        <v>1184</v>
      </c>
      <c r="H30" s="146">
        <v>105</v>
      </c>
      <c r="I30" s="122"/>
      <c r="J30" s="121">
        <v>14</v>
      </c>
      <c r="K30" s="122"/>
      <c r="L30" s="145">
        <v>1470</v>
      </c>
      <c r="M30" s="18">
        <v>981.66</v>
      </c>
      <c r="N30" s="122" t="s">
        <v>1193</v>
      </c>
    </row>
    <row r="31" spans="2:21" ht="15.75">
      <c r="B31" s="181" t="s">
        <v>166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</row>
    <row r="32" spans="1:14" ht="12.75">
      <c r="A32" s="125">
        <v>1</v>
      </c>
      <c r="B32" s="24" t="s">
        <v>781</v>
      </c>
      <c r="C32" s="24" t="s">
        <v>782</v>
      </c>
      <c r="D32" s="126" t="s">
        <v>1214</v>
      </c>
      <c r="E32" s="120" t="s">
        <v>1229</v>
      </c>
      <c r="F32" s="24" t="s">
        <v>1215</v>
      </c>
      <c r="G32" s="24" t="s">
        <v>529</v>
      </c>
      <c r="H32" s="146">
        <v>120</v>
      </c>
      <c r="I32" s="122"/>
      <c r="J32" s="121">
        <v>12</v>
      </c>
      <c r="K32" s="122"/>
      <c r="L32" s="145">
        <v>1440</v>
      </c>
      <c r="M32" s="18">
        <v>794.16</v>
      </c>
      <c r="N32" s="122" t="s">
        <v>526</v>
      </c>
    </row>
  </sheetData>
  <sheetProtection/>
  <mergeCells count="24">
    <mergeCell ref="B31:U31"/>
    <mergeCell ref="B10:U10"/>
    <mergeCell ref="B12:U12"/>
    <mergeCell ref="B13:U13"/>
    <mergeCell ref="B20:U20"/>
    <mergeCell ref="B23:U23"/>
    <mergeCell ref="B27:U27"/>
    <mergeCell ref="B18:U18"/>
    <mergeCell ref="N3:N4"/>
    <mergeCell ref="H4:I4"/>
    <mergeCell ref="J4:K4"/>
    <mergeCell ref="B5:U5"/>
    <mergeCell ref="B6:U6"/>
    <mergeCell ref="B8:U8"/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</mergeCells>
  <printOptions/>
  <pageMargins left="0.7" right="0.7" top="0.75" bottom="0.75" header="0.3" footer="0.3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O69"/>
  <sheetViews>
    <sheetView workbookViewId="0" topLeftCell="A1">
      <selection activeCell="V10" sqref="V10"/>
    </sheetView>
  </sheetViews>
  <sheetFormatPr defaultColWidth="8.75390625" defaultRowHeight="12.75"/>
  <cols>
    <col min="1" max="1" width="2.25390625" style="0" customWidth="1"/>
    <col min="2" max="2" width="23.75390625" style="0" customWidth="1"/>
    <col min="3" max="3" width="26.875" style="0" customWidth="1"/>
    <col min="4" max="5" width="10.25390625" style="0" customWidth="1"/>
    <col min="6" max="6" width="19.875" style="0" customWidth="1"/>
    <col min="7" max="7" width="38.25390625" style="0" customWidth="1"/>
    <col min="8" max="9" width="8.75390625" style="0" customWidth="1"/>
    <col min="10" max="10" width="9.125" style="0" customWidth="1"/>
    <col min="11" max="11" width="12.125" style="0" customWidth="1"/>
    <col min="12" max="12" width="8.75390625" style="0" customWidth="1"/>
    <col min="13" max="13" width="13.00390625" style="0" customWidth="1"/>
    <col min="14" max="14" width="10.625" style="0" customWidth="1"/>
    <col min="15" max="15" width="2.75390625" style="0" customWidth="1"/>
    <col min="16" max="16" width="16.00390625" style="0" customWidth="1"/>
    <col min="17" max="17" width="10.125" style="0" customWidth="1"/>
    <col min="18" max="18" width="19.375" style="0" customWidth="1"/>
    <col min="19" max="19" width="0.12890625" style="0" customWidth="1"/>
    <col min="20" max="21" width="9.125" style="0" hidden="1" customWidth="1"/>
  </cols>
  <sheetData>
    <row r="1" spans="1:18" ht="12.75" customHeight="1">
      <c r="A1" s="38"/>
      <c r="B1" s="162" t="s">
        <v>1461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79"/>
    </row>
    <row r="2" spans="1:18" ht="69.75" customHeight="1" thickBot="1">
      <c r="A2" s="38"/>
      <c r="B2" s="164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80"/>
    </row>
    <row r="3" spans="1:18" ht="15" customHeight="1">
      <c r="A3" s="2"/>
      <c r="B3" s="166" t="s">
        <v>0</v>
      </c>
      <c r="C3" s="168" t="s">
        <v>1108</v>
      </c>
      <c r="D3" s="170" t="s">
        <v>1109</v>
      </c>
      <c r="E3" s="191" t="s">
        <v>1110</v>
      </c>
      <c r="F3" s="191" t="s">
        <v>4</v>
      </c>
      <c r="G3" s="191" t="s">
        <v>6</v>
      </c>
      <c r="H3" s="182" t="s">
        <v>1462</v>
      </c>
      <c r="I3" s="183"/>
      <c r="J3" s="183"/>
      <c r="K3" s="184"/>
      <c r="L3" s="182" t="s">
        <v>1463</v>
      </c>
      <c r="M3" s="183"/>
      <c r="N3" s="183"/>
      <c r="O3" s="184"/>
      <c r="P3" s="191" t="s">
        <v>1467</v>
      </c>
      <c r="Q3" s="191" t="s">
        <v>1110</v>
      </c>
      <c r="R3" s="160" t="s">
        <v>3</v>
      </c>
    </row>
    <row r="4" spans="1:18" ht="15" thickBot="1">
      <c r="A4" s="2"/>
      <c r="B4" s="167"/>
      <c r="C4" s="169"/>
      <c r="D4" s="169"/>
      <c r="E4" s="192"/>
      <c r="F4" s="192"/>
      <c r="G4" s="192"/>
      <c r="H4" s="3">
        <v>1</v>
      </c>
      <c r="I4" s="3">
        <v>2</v>
      </c>
      <c r="J4" s="3">
        <v>3</v>
      </c>
      <c r="K4" s="3" t="s">
        <v>1464</v>
      </c>
      <c r="L4" s="3" t="s">
        <v>1109</v>
      </c>
      <c r="M4" s="3" t="s">
        <v>1464</v>
      </c>
      <c r="N4" s="185" t="s">
        <v>1191</v>
      </c>
      <c r="O4" s="186"/>
      <c r="P4" s="192"/>
      <c r="Q4" s="192"/>
      <c r="R4" s="161"/>
    </row>
    <row r="5" spans="2:21" ht="15.75">
      <c r="B5" s="171" t="s">
        <v>1465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</row>
    <row r="6" spans="2:21" ht="15.75">
      <c r="B6" s="181" t="s">
        <v>257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</row>
    <row r="7" spans="1:18" ht="12.75">
      <c r="A7" s="61">
        <v>1</v>
      </c>
      <c r="B7" s="24" t="s">
        <v>608</v>
      </c>
      <c r="C7" s="24" t="s">
        <v>1235</v>
      </c>
      <c r="D7" s="24" t="s">
        <v>279</v>
      </c>
      <c r="E7" s="24" t="s">
        <v>1466</v>
      </c>
      <c r="F7" s="24" t="s">
        <v>853</v>
      </c>
      <c r="G7" s="24" t="s">
        <v>148</v>
      </c>
      <c r="H7" s="145">
        <v>85</v>
      </c>
      <c r="I7" s="18">
        <v>87.5</v>
      </c>
      <c r="J7" s="18"/>
      <c r="K7" s="18">
        <v>87.5</v>
      </c>
      <c r="L7" s="145">
        <v>60</v>
      </c>
      <c r="M7" s="18">
        <v>16</v>
      </c>
      <c r="N7" s="188">
        <v>960</v>
      </c>
      <c r="O7" s="189"/>
      <c r="P7" s="149">
        <v>40</v>
      </c>
      <c r="Q7" s="152">
        <v>4153.4525</v>
      </c>
      <c r="R7" s="122" t="s">
        <v>1111</v>
      </c>
    </row>
    <row r="8" spans="1:18" ht="12.75">
      <c r="A8" s="61">
        <v>2</v>
      </c>
      <c r="B8" s="24" t="s">
        <v>1468</v>
      </c>
      <c r="C8" s="24" t="s">
        <v>1469</v>
      </c>
      <c r="D8" s="24" t="s">
        <v>635</v>
      </c>
      <c r="E8" s="150">
        <v>0.8662</v>
      </c>
      <c r="F8" s="24" t="s">
        <v>1121</v>
      </c>
      <c r="G8" s="24" t="s">
        <v>40</v>
      </c>
      <c r="H8" s="145">
        <v>72.5</v>
      </c>
      <c r="I8" s="18">
        <v>77.5</v>
      </c>
      <c r="J8" s="18"/>
      <c r="K8" s="18">
        <v>77.5</v>
      </c>
      <c r="L8" s="145">
        <v>60</v>
      </c>
      <c r="M8" s="18">
        <v>16</v>
      </c>
      <c r="N8" s="188">
        <v>960</v>
      </c>
      <c r="O8" s="189"/>
      <c r="P8" s="149">
        <v>38</v>
      </c>
      <c r="Q8" s="18">
        <v>3772.301</v>
      </c>
      <c r="R8" s="122" t="s">
        <v>1533</v>
      </c>
    </row>
    <row r="9" spans="2:21" ht="15.75">
      <c r="B9" s="181" t="s">
        <v>1309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</row>
    <row r="10" spans="1:18" ht="12.75">
      <c r="A10" s="61">
        <v>1</v>
      </c>
      <c r="B10" s="24" t="s">
        <v>617</v>
      </c>
      <c r="C10" s="24" t="s">
        <v>119</v>
      </c>
      <c r="D10" s="24" t="s">
        <v>618</v>
      </c>
      <c r="E10" s="151">
        <v>0.81</v>
      </c>
      <c r="F10" s="24" t="s">
        <v>27</v>
      </c>
      <c r="G10" s="24" t="s">
        <v>1187</v>
      </c>
      <c r="H10" s="145">
        <v>82.5</v>
      </c>
      <c r="I10" s="145">
        <v>85</v>
      </c>
      <c r="J10" s="145"/>
      <c r="K10" s="145">
        <v>85</v>
      </c>
      <c r="L10" s="145">
        <v>70</v>
      </c>
      <c r="M10" s="18">
        <v>9</v>
      </c>
      <c r="N10" s="188">
        <v>630</v>
      </c>
      <c r="O10" s="189"/>
      <c r="P10" s="149">
        <v>40</v>
      </c>
      <c r="Q10" s="18">
        <v>3978.3150000000005</v>
      </c>
      <c r="R10" s="122" t="s">
        <v>1193</v>
      </c>
    </row>
    <row r="11" spans="2:21" ht="15.75">
      <c r="B11" s="171" t="s">
        <v>1470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</row>
    <row r="12" spans="2:21" ht="15.75">
      <c r="B12" s="181" t="s">
        <v>257</v>
      </c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</row>
    <row r="13" spans="1:18" ht="12.75">
      <c r="A13" s="61">
        <v>1</v>
      </c>
      <c r="B13" s="24" t="s">
        <v>303</v>
      </c>
      <c r="C13" s="24" t="s">
        <v>1471</v>
      </c>
      <c r="D13" s="24" t="s">
        <v>409</v>
      </c>
      <c r="E13" s="150">
        <v>0.8568</v>
      </c>
      <c r="F13" s="24" t="s">
        <v>1119</v>
      </c>
      <c r="G13" s="24" t="s">
        <v>136</v>
      </c>
      <c r="H13" s="145">
        <v>90</v>
      </c>
      <c r="I13" s="145">
        <v>95</v>
      </c>
      <c r="J13" s="145">
        <v>97.5</v>
      </c>
      <c r="K13" s="145">
        <v>97.5</v>
      </c>
      <c r="L13" s="145">
        <v>60</v>
      </c>
      <c r="M13" s="18">
        <v>20</v>
      </c>
      <c r="N13" s="188">
        <v>1200</v>
      </c>
      <c r="O13" s="189"/>
      <c r="P13" s="149">
        <v>40</v>
      </c>
      <c r="Q13" s="152">
        <v>5205.06</v>
      </c>
      <c r="R13" s="122" t="s">
        <v>1193</v>
      </c>
    </row>
    <row r="14" spans="2:21" ht="15.75">
      <c r="B14" s="181" t="s">
        <v>1309</v>
      </c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</row>
    <row r="15" spans="1:18" ht="12.75">
      <c r="A15" s="61">
        <v>1</v>
      </c>
      <c r="B15" s="24" t="s">
        <v>656</v>
      </c>
      <c r="C15" s="24" t="s">
        <v>657</v>
      </c>
      <c r="D15" s="24" t="s">
        <v>1329</v>
      </c>
      <c r="E15" s="150">
        <v>0.7674</v>
      </c>
      <c r="F15" s="24" t="s">
        <v>1119</v>
      </c>
      <c r="G15" s="24" t="s">
        <v>136</v>
      </c>
      <c r="H15" s="145">
        <v>95</v>
      </c>
      <c r="I15" s="145">
        <v>100</v>
      </c>
      <c r="J15" s="145"/>
      <c r="K15" s="145">
        <v>100</v>
      </c>
      <c r="L15" s="145">
        <v>70</v>
      </c>
      <c r="M15" s="18">
        <v>14</v>
      </c>
      <c r="N15" s="188">
        <v>980</v>
      </c>
      <c r="O15" s="189"/>
      <c r="P15" s="149">
        <v>40</v>
      </c>
      <c r="Q15" s="152">
        <v>4626.6546</v>
      </c>
      <c r="R15" s="18" t="s">
        <v>644</v>
      </c>
    </row>
    <row r="16" spans="1:18" ht="12.75">
      <c r="A16" s="61">
        <v>1</v>
      </c>
      <c r="B16" s="24" t="s">
        <v>664</v>
      </c>
      <c r="C16" s="24" t="s">
        <v>1472</v>
      </c>
      <c r="D16" s="24" t="s">
        <v>1473</v>
      </c>
      <c r="E16" s="150">
        <v>0.7804</v>
      </c>
      <c r="F16" s="24" t="s">
        <v>853</v>
      </c>
      <c r="G16" s="24" t="s">
        <v>148</v>
      </c>
      <c r="H16" s="145">
        <v>87.5</v>
      </c>
      <c r="I16" s="145">
        <v>90</v>
      </c>
      <c r="J16" s="145"/>
      <c r="K16" s="145">
        <v>90</v>
      </c>
      <c r="L16" s="145">
        <v>70</v>
      </c>
      <c r="M16" s="18">
        <v>20</v>
      </c>
      <c r="N16" s="188">
        <v>1400</v>
      </c>
      <c r="O16" s="189"/>
      <c r="P16" s="149">
        <v>40</v>
      </c>
      <c r="Q16" s="18">
        <v>4658.988</v>
      </c>
      <c r="R16" s="122" t="s">
        <v>1193</v>
      </c>
    </row>
    <row r="17" spans="2:21" ht="15.75">
      <c r="B17" s="181" t="s">
        <v>1334</v>
      </c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</row>
    <row r="18" spans="1:18" ht="12.75">
      <c r="A18" s="61">
        <v>1</v>
      </c>
      <c r="B18" s="24" t="s">
        <v>1345</v>
      </c>
      <c r="C18" s="24" t="s">
        <v>1474</v>
      </c>
      <c r="D18" s="24" t="s">
        <v>1475</v>
      </c>
      <c r="E18" s="150">
        <v>0.6876</v>
      </c>
      <c r="F18" s="24" t="s">
        <v>1348</v>
      </c>
      <c r="G18" s="24" t="s">
        <v>136</v>
      </c>
      <c r="H18" s="145">
        <v>92.5</v>
      </c>
      <c r="I18" s="145"/>
      <c r="J18" s="145"/>
      <c r="K18" s="145">
        <v>92.5</v>
      </c>
      <c r="L18" s="145">
        <v>80</v>
      </c>
      <c r="M18" s="18">
        <v>10</v>
      </c>
      <c r="N18" s="188">
        <v>800</v>
      </c>
      <c r="O18" s="189"/>
      <c r="P18" s="149">
        <v>40</v>
      </c>
      <c r="Q18" s="18">
        <v>3785.2380000000003</v>
      </c>
      <c r="R18" s="122" t="s">
        <v>1193</v>
      </c>
    </row>
    <row r="19" spans="2:21" ht="15.75">
      <c r="B19" s="181" t="s">
        <v>100</v>
      </c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</row>
    <row r="20" spans="1:18" ht="12.75">
      <c r="A20" s="61">
        <v>1</v>
      </c>
      <c r="B20" s="24" t="s">
        <v>1476</v>
      </c>
      <c r="C20" s="24" t="s">
        <v>1477</v>
      </c>
      <c r="D20" s="24" t="s">
        <v>1478</v>
      </c>
      <c r="E20" s="150">
        <v>0.6455</v>
      </c>
      <c r="F20" s="24" t="s">
        <v>1529</v>
      </c>
      <c r="G20" s="24" t="s">
        <v>148</v>
      </c>
      <c r="H20" s="145">
        <v>110</v>
      </c>
      <c r="I20" s="145">
        <v>120</v>
      </c>
      <c r="J20" s="145"/>
      <c r="K20" s="145">
        <v>120</v>
      </c>
      <c r="L20" s="145">
        <v>90</v>
      </c>
      <c r="M20" s="18">
        <v>17</v>
      </c>
      <c r="N20" s="188">
        <v>1530</v>
      </c>
      <c r="O20" s="189"/>
      <c r="P20" s="149">
        <v>40</v>
      </c>
      <c r="Q20" s="152">
        <v>5008.75725</v>
      </c>
      <c r="R20" s="122" t="s">
        <v>1193</v>
      </c>
    </row>
    <row r="21" spans="2:18" ht="12.75">
      <c r="B21" s="24" t="s">
        <v>1479</v>
      </c>
      <c r="C21" s="24" t="s">
        <v>1480</v>
      </c>
      <c r="D21" s="24" t="s">
        <v>722</v>
      </c>
      <c r="E21" s="150"/>
      <c r="F21" s="24" t="s">
        <v>1529</v>
      </c>
      <c r="G21" s="24" t="s">
        <v>148</v>
      </c>
      <c r="H21" s="145"/>
      <c r="I21" s="145"/>
      <c r="J21" s="145"/>
      <c r="K21" s="145"/>
      <c r="L21" s="145"/>
      <c r="M21" s="18"/>
      <c r="N21" s="188"/>
      <c r="O21" s="189"/>
      <c r="P21" s="149"/>
      <c r="Q21" s="18"/>
      <c r="R21" s="122" t="s">
        <v>1193</v>
      </c>
    </row>
    <row r="22" spans="2:21" ht="15.75">
      <c r="B22" s="181" t="s">
        <v>117</v>
      </c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</row>
    <row r="23" spans="1:18" ht="12.75">
      <c r="A23" s="61">
        <v>1</v>
      </c>
      <c r="B23" s="24" t="s">
        <v>1481</v>
      </c>
      <c r="C23" s="24" t="s">
        <v>1482</v>
      </c>
      <c r="D23" s="24" t="s">
        <v>1478</v>
      </c>
      <c r="E23" s="150">
        <v>0.6116</v>
      </c>
      <c r="F23" s="24" t="s">
        <v>1529</v>
      </c>
      <c r="G23" s="24" t="s">
        <v>148</v>
      </c>
      <c r="H23" s="145">
        <v>145</v>
      </c>
      <c r="I23" s="145">
        <v>155</v>
      </c>
      <c r="J23" s="145">
        <v>162.5</v>
      </c>
      <c r="K23" s="145">
        <v>162.5</v>
      </c>
      <c r="L23" s="145">
        <v>100</v>
      </c>
      <c r="M23" s="18">
        <v>21</v>
      </c>
      <c r="N23" s="188">
        <v>2100</v>
      </c>
      <c r="O23" s="189"/>
      <c r="P23" s="149">
        <v>40</v>
      </c>
      <c r="Q23" s="18">
        <v>6510.482</v>
      </c>
      <c r="R23" s="122" t="s">
        <v>1193</v>
      </c>
    </row>
    <row r="24" spans="2:21" ht="15.75">
      <c r="B24" s="181" t="s">
        <v>138</v>
      </c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</row>
    <row r="25" spans="1:18" ht="12.75">
      <c r="A25" s="61">
        <v>1</v>
      </c>
      <c r="B25" s="24" t="s">
        <v>765</v>
      </c>
      <c r="C25" s="24" t="s">
        <v>1483</v>
      </c>
      <c r="D25" s="24" t="s">
        <v>1484</v>
      </c>
      <c r="E25" s="150">
        <v>0.6039</v>
      </c>
      <c r="F25" s="24" t="s">
        <v>1485</v>
      </c>
      <c r="G25" s="24" t="s">
        <v>152</v>
      </c>
      <c r="H25" s="145">
        <v>140</v>
      </c>
      <c r="I25" s="145">
        <v>147.5</v>
      </c>
      <c r="J25" s="145"/>
      <c r="K25" s="145">
        <v>147.5</v>
      </c>
      <c r="L25" s="145">
        <v>110</v>
      </c>
      <c r="M25" s="18">
        <v>14</v>
      </c>
      <c r="N25" s="188">
        <v>1540</v>
      </c>
      <c r="O25" s="189"/>
      <c r="P25" s="149">
        <v>40</v>
      </c>
      <c r="Q25" s="152">
        <v>5616.27</v>
      </c>
      <c r="R25" s="122" t="s">
        <v>1193</v>
      </c>
    </row>
    <row r="26" spans="1:18" ht="12.75">
      <c r="A26" s="61">
        <v>1</v>
      </c>
      <c r="B26" s="24" t="s">
        <v>748</v>
      </c>
      <c r="C26" s="24" t="s">
        <v>1486</v>
      </c>
      <c r="D26" s="24" t="s">
        <v>1487</v>
      </c>
      <c r="E26" s="150">
        <v>0.6071</v>
      </c>
      <c r="F26" s="24" t="s">
        <v>59</v>
      </c>
      <c r="G26" s="24" t="s">
        <v>319</v>
      </c>
      <c r="H26" s="145">
        <v>120</v>
      </c>
      <c r="I26" s="145">
        <v>125</v>
      </c>
      <c r="J26" s="145"/>
      <c r="K26" s="145">
        <v>125</v>
      </c>
      <c r="L26" s="145">
        <v>110</v>
      </c>
      <c r="M26" s="18">
        <v>8</v>
      </c>
      <c r="N26" s="188">
        <v>880</v>
      </c>
      <c r="O26" s="189"/>
      <c r="P26" s="149">
        <v>36</v>
      </c>
      <c r="Q26" s="18">
        <v>4462.1849999999995</v>
      </c>
      <c r="R26" s="122" t="s">
        <v>1193</v>
      </c>
    </row>
    <row r="27" spans="2:21" ht="15.75">
      <c r="B27" s="171" t="s">
        <v>1488</v>
      </c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</row>
    <row r="28" spans="1:21" ht="15.75">
      <c r="A28" s="61"/>
      <c r="B28" s="181" t="s">
        <v>257</v>
      </c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</row>
    <row r="29" spans="1:18" ht="12.75">
      <c r="A29" s="61">
        <v>1</v>
      </c>
      <c r="B29" s="24" t="s">
        <v>1489</v>
      </c>
      <c r="C29" s="24" t="s">
        <v>1414</v>
      </c>
      <c r="D29" s="24" t="s">
        <v>1490</v>
      </c>
      <c r="E29" s="151">
        <v>0.925</v>
      </c>
      <c r="F29" s="24" t="s">
        <v>1121</v>
      </c>
      <c r="G29" s="24" t="s">
        <v>1184</v>
      </c>
      <c r="H29" s="153">
        <v>52.5</v>
      </c>
      <c r="I29" s="153">
        <v>52.5</v>
      </c>
      <c r="J29" s="18">
        <v>52.5</v>
      </c>
      <c r="K29" s="18">
        <v>52.5</v>
      </c>
      <c r="L29" s="145">
        <v>30</v>
      </c>
      <c r="M29" s="18">
        <v>34</v>
      </c>
      <c r="N29" s="188">
        <v>1020</v>
      </c>
      <c r="O29" s="189"/>
      <c r="P29" s="149">
        <v>36</v>
      </c>
      <c r="Q29" s="18">
        <v>3371.625</v>
      </c>
      <c r="R29" s="157" t="s">
        <v>1530</v>
      </c>
    </row>
    <row r="30" spans="2:21" ht="15.75">
      <c r="B30" s="171" t="s">
        <v>1491</v>
      </c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</row>
    <row r="31" spans="2:21" ht="15.75">
      <c r="B31" s="181" t="s">
        <v>1334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</row>
    <row r="32" spans="1:18" ht="12.75">
      <c r="A32" s="61">
        <v>1</v>
      </c>
      <c r="B32" s="24" t="s">
        <v>1492</v>
      </c>
      <c r="C32" s="24" t="s">
        <v>1493</v>
      </c>
      <c r="D32" s="24" t="s">
        <v>670</v>
      </c>
      <c r="E32" s="150">
        <v>0.7126</v>
      </c>
      <c r="F32" s="24" t="s">
        <v>1121</v>
      </c>
      <c r="G32" s="24"/>
      <c r="H32" s="145">
        <v>115</v>
      </c>
      <c r="I32" s="145">
        <v>120</v>
      </c>
      <c r="J32" s="145">
        <v>125</v>
      </c>
      <c r="K32" s="145">
        <v>125</v>
      </c>
      <c r="L32" s="145">
        <v>80</v>
      </c>
      <c r="M32" s="18">
        <v>25</v>
      </c>
      <c r="N32" s="188">
        <v>2000</v>
      </c>
      <c r="O32" s="189"/>
      <c r="P32" s="149">
        <v>40</v>
      </c>
      <c r="Q32" s="152">
        <v>6021.47</v>
      </c>
      <c r="R32" s="122" t="s">
        <v>1193</v>
      </c>
    </row>
    <row r="33" spans="2:21" ht="15.75">
      <c r="B33" s="181" t="s">
        <v>117</v>
      </c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</row>
    <row r="34" spans="1:18" ht="12.75">
      <c r="A34" s="61">
        <v>1</v>
      </c>
      <c r="B34" s="24" t="s">
        <v>1494</v>
      </c>
      <c r="C34" s="24" t="s">
        <v>1496</v>
      </c>
      <c r="D34" s="24" t="s">
        <v>1495</v>
      </c>
      <c r="E34" s="150">
        <v>0.6103</v>
      </c>
      <c r="F34" s="24" t="s">
        <v>1121</v>
      </c>
      <c r="G34" s="24" t="s">
        <v>1497</v>
      </c>
      <c r="H34" s="145">
        <v>200</v>
      </c>
      <c r="I34" s="145">
        <v>210</v>
      </c>
      <c r="J34" s="145">
        <v>212.5</v>
      </c>
      <c r="K34" s="145">
        <v>212.5</v>
      </c>
      <c r="L34" s="145">
        <v>100</v>
      </c>
      <c r="M34" s="18">
        <v>29</v>
      </c>
      <c r="N34" s="188">
        <v>2900</v>
      </c>
      <c r="O34" s="189"/>
      <c r="P34" s="149">
        <v>40</v>
      </c>
      <c r="Q34" s="152">
        <v>8608.2815</v>
      </c>
      <c r="R34" s="122" t="s">
        <v>1193</v>
      </c>
    </row>
    <row r="35" spans="1:18" ht="12.75">
      <c r="A35" s="61">
        <v>2</v>
      </c>
      <c r="B35" s="24" t="s">
        <v>1498</v>
      </c>
      <c r="C35" s="24" t="s">
        <v>1499</v>
      </c>
      <c r="D35" s="24" t="s">
        <v>1500</v>
      </c>
      <c r="E35" s="150">
        <v>0.6197</v>
      </c>
      <c r="F35" s="24" t="s">
        <v>1121</v>
      </c>
      <c r="G35" s="24" t="s">
        <v>1501</v>
      </c>
      <c r="H35" s="145">
        <v>180</v>
      </c>
      <c r="I35" s="153">
        <v>187.5</v>
      </c>
      <c r="J35" s="145">
        <v>187.5</v>
      </c>
      <c r="K35" s="145">
        <v>187.5</v>
      </c>
      <c r="L35" s="145">
        <v>100</v>
      </c>
      <c r="M35" s="18">
        <v>23</v>
      </c>
      <c r="N35" s="188">
        <v>2300</v>
      </c>
      <c r="O35" s="189"/>
      <c r="P35" s="149">
        <v>36</v>
      </c>
      <c r="Q35" s="152">
        <v>7520.0595</v>
      </c>
      <c r="R35" s="122" t="s">
        <v>1516</v>
      </c>
    </row>
    <row r="36" spans="1:18" ht="12.75">
      <c r="A36" s="61">
        <v>3</v>
      </c>
      <c r="B36" s="24" t="s">
        <v>1264</v>
      </c>
      <c r="C36" s="24" t="s">
        <v>1265</v>
      </c>
      <c r="D36" s="24" t="s">
        <v>739</v>
      </c>
      <c r="E36" s="150">
        <v>0.6217</v>
      </c>
      <c r="F36" s="103" t="s">
        <v>1215</v>
      </c>
      <c r="G36" s="24" t="s">
        <v>529</v>
      </c>
      <c r="H36" s="145">
        <v>150</v>
      </c>
      <c r="I36" s="145">
        <v>157.5</v>
      </c>
      <c r="J36" s="145"/>
      <c r="K36" s="145">
        <v>157.5</v>
      </c>
      <c r="L36" s="145">
        <v>100</v>
      </c>
      <c r="M36" s="18">
        <v>19</v>
      </c>
      <c r="N36" s="188">
        <v>1900</v>
      </c>
      <c r="O36" s="189"/>
      <c r="P36" s="149">
        <v>30</v>
      </c>
      <c r="Q36" s="152">
        <v>6313.3634999999995</v>
      </c>
      <c r="R36" s="122" t="s">
        <v>1193</v>
      </c>
    </row>
    <row r="37" spans="1:18" ht="12.75">
      <c r="A37" s="61">
        <v>3</v>
      </c>
      <c r="B37" s="24" t="s">
        <v>1502</v>
      </c>
      <c r="C37" s="24" t="s">
        <v>1503</v>
      </c>
      <c r="D37" s="24" t="s">
        <v>127</v>
      </c>
      <c r="E37" s="150">
        <v>0.6209</v>
      </c>
      <c r="F37" s="24" t="s">
        <v>1121</v>
      </c>
      <c r="G37" s="24" t="s">
        <v>1504</v>
      </c>
      <c r="H37" s="145">
        <v>140</v>
      </c>
      <c r="I37" s="145">
        <v>150</v>
      </c>
      <c r="J37" s="145"/>
      <c r="K37" s="145">
        <v>150</v>
      </c>
      <c r="L37" s="145">
        <v>100</v>
      </c>
      <c r="M37" s="18">
        <v>20</v>
      </c>
      <c r="N37" s="188">
        <v>2000</v>
      </c>
      <c r="O37" s="189"/>
      <c r="P37" s="149">
        <v>30</v>
      </c>
      <c r="Q37" s="152">
        <v>6146.91</v>
      </c>
      <c r="R37" s="122" t="s">
        <v>1193</v>
      </c>
    </row>
    <row r="38" spans="2:21" ht="15.75">
      <c r="B38" s="181" t="s">
        <v>138</v>
      </c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</row>
    <row r="39" spans="1:18" ht="12.75">
      <c r="A39" s="61">
        <v>1</v>
      </c>
      <c r="B39" s="24" t="s">
        <v>1505</v>
      </c>
      <c r="C39" s="24" t="s">
        <v>1506</v>
      </c>
      <c r="D39" s="24" t="s">
        <v>1212</v>
      </c>
      <c r="E39" s="150">
        <v>0.5996</v>
      </c>
      <c r="F39" s="24" t="s">
        <v>1121</v>
      </c>
      <c r="G39" s="24" t="s">
        <v>1531</v>
      </c>
      <c r="H39" s="145">
        <v>180</v>
      </c>
      <c r="I39" s="154">
        <v>190</v>
      </c>
      <c r="J39" s="145">
        <v>190</v>
      </c>
      <c r="K39" s="145">
        <v>190</v>
      </c>
      <c r="L39" s="145">
        <v>110</v>
      </c>
      <c r="M39" s="18">
        <v>29</v>
      </c>
      <c r="N39" s="188">
        <v>3190</v>
      </c>
      <c r="O39" s="189"/>
      <c r="P39" s="149">
        <v>40</v>
      </c>
      <c r="Q39" s="18">
        <v>8087.105000000001</v>
      </c>
      <c r="R39" s="122" t="s">
        <v>1193</v>
      </c>
    </row>
    <row r="40" spans="1:18" ht="12.75">
      <c r="A40" s="61">
        <v>2</v>
      </c>
      <c r="B40" s="24" t="s">
        <v>1507</v>
      </c>
      <c r="C40" s="24" t="s">
        <v>1508</v>
      </c>
      <c r="D40" s="24" t="s">
        <v>1509</v>
      </c>
      <c r="E40" s="150">
        <v>0.5887</v>
      </c>
      <c r="F40" s="24" t="s">
        <v>1121</v>
      </c>
      <c r="G40" s="24" t="s">
        <v>1510</v>
      </c>
      <c r="H40" s="145">
        <v>175</v>
      </c>
      <c r="I40" s="145">
        <v>180</v>
      </c>
      <c r="J40" s="145">
        <v>185</v>
      </c>
      <c r="K40" s="145">
        <v>185</v>
      </c>
      <c r="L40" s="145">
        <v>110</v>
      </c>
      <c r="M40" s="18">
        <v>19</v>
      </c>
      <c r="N40" s="188">
        <v>2090</v>
      </c>
      <c r="O40" s="189"/>
      <c r="P40" s="149">
        <v>36</v>
      </c>
      <c r="Q40" s="152">
        <v>6983.45375</v>
      </c>
      <c r="R40" s="122" t="s">
        <v>1193</v>
      </c>
    </row>
    <row r="41" spans="1:18" ht="12.75">
      <c r="A41" s="61">
        <v>3</v>
      </c>
      <c r="B41" s="24" t="s">
        <v>1511</v>
      </c>
      <c r="C41" s="24" t="s">
        <v>1512</v>
      </c>
      <c r="D41" s="24" t="s">
        <v>151</v>
      </c>
      <c r="E41" s="150">
        <v>0.5885</v>
      </c>
      <c r="F41" s="24" t="s">
        <v>1121</v>
      </c>
      <c r="G41" s="24" t="s">
        <v>1532</v>
      </c>
      <c r="H41" s="145">
        <v>165</v>
      </c>
      <c r="I41" s="145">
        <v>170</v>
      </c>
      <c r="J41" s="145">
        <v>172.5</v>
      </c>
      <c r="K41" s="145">
        <v>172.5</v>
      </c>
      <c r="L41" s="145">
        <v>110</v>
      </c>
      <c r="M41" s="18">
        <v>17</v>
      </c>
      <c r="N41" s="188">
        <v>1870</v>
      </c>
      <c r="O41" s="189"/>
      <c r="P41" s="149">
        <v>32</v>
      </c>
      <c r="Q41" s="152">
        <v>6451.43125</v>
      </c>
      <c r="R41" s="122" t="s">
        <v>1193</v>
      </c>
    </row>
    <row r="42" spans="2:21" ht="15.75">
      <c r="B42" s="171" t="s">
        <v>1513</v>
      </c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</row>
    <row r="43" spans="2:21" ht="15.75">
      <c r="B43" s="181" t="s">
        <v>138</v>
      </c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</row>
    <row r="44" spans="1:18" ht="12.75">
      <c r="A44" s="61">
        <v>1</v>
      </c>
      <c r="B44" s="24" t="s">
        <v>1266</v>
      </c>
      <c r="C44" s="24" t="s">
        <v>1267</v>
      </c>
      <c r="D44" s="24" t="s">
        <v>1268</v>
      </c>
      <c r="E44" s="150">
        <v>0.5928</v>
      </c>
      <c r="F44" s="24" t="s">
        <v>853</v>
      </c>
      <c r="G44" s="24" t="s">
        <v>1514</v>
      </c>
      <c r="H44" s="145">
        <v>185</v>
      </c>
      <c r="I44" s="145">
        <v>195</v>
      </c>
      <c r="J44" s="145">
        <v>200</v>
      </c>
      <c r="K44" s="145">
        <v>200</v>
      </c>
      <c r="L44" s="145">
        <v>140</v>
      </c>
      <c r="M44" s="18">
        <v>15</v>
      </c>
      <c r="N44" s="188">
        <v>2100</v>
      </c>
      <c r="O44" s="189"/>
      <c r="P44" s="149">
        <v>40</v>
      </c>
      <c r="Q44" s="152">
        <v>7484.1</v>
      </c>
      <c r="R44" s="122" t="s">
        <v>863</v>
      </c>
    </row>
    <row r="45" spans="2:21" ht="15.75">
      <c r="B45" s="171" t="s">
        <v>1515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</row>
    <row r="46" spans="1:21" ht="15.75">
      <c r="A46" s="61"/>
      <c r="B46" s="181" t="s">
        <v>138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</row>
    <row r="47" spans="1:18" ht="12.75">
      <c r="A47" s="61">
        <v>1</v>
      </c>
      <c r="B47" s="24" t="s">
        <v>1516</v>
      </c>
      <c r="C47" s="24" t="s">
        <v>1517</v>
      </c>
      <c r="D47" s="24" t="s">
        <v>1518</v>
      </c>
      <c r="E47" s="150">
        <v>0.5898</v>
      </c>
      <c r="F47" s="24" t="s">
        <v>1121</v>
      </c>
      <c r="G47" s="24" t="s">
        <v>1501</v>
      </c>
      <c r="H47" s="145">
        <v>280</v>
      </c>
      <c r="I47" s="145">
        <v>290</v>
      </c>
      <c r="J47" s="145">
        <v>300</v>
      </c>
      <c r="K47" s="145">
        <v>300</v>
      </c>
      <c r="L47" s="145">
        <v>165</v>
      </c>
      <c r="M47" s="18">
        <v>30</v>
      </c>
      <c r="N47" s="188">
        <v>4950</v>
      </c>
      <c r="O47" s="189"/>
      <c r="P47" s="149">
        <v>40</v>
      </c>
      <c r="Q47" s="152">
        <v>12496.3875</v>
      </c>
      <c r="R47" s="122" t="s">
        <v>1193</v>
      </c>
    </row>
    <row r="48" spans="2:21" ht="15.75">
      <c r="B48" s="171" t="s">
        <v>1519</v>
      </c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</row>
    <row r="49" spans="2:21" ht="15.75">
      <c r="B49" s="181" t="s">
        <v>117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</row>
    <row r="50" spans="1:18" ht="12.75">
      <c r="A50" s="61">
        <v>1</v>
      </c>
      <c r="B50" s="24" t="s">
        <v>1520</v>
      </c>
      <c r="C50" s="24" t="s">
        <v>1521</v>
      </c>
      <c r="D50" s="24" t="s">
        <v>1522</v>
      </c>
      <c r="E50" s="150">
        <v>0.6118</v>
      </c>
      <c r="F50" s="24" t="s">
        <v>1121</v>
      </c>
      <c r="G50" s="24" t="s">
        <v>1531</v>
      </c>
      <c r="H50" s="145">
        <v>180</v>
      </c>
      <c r="I50" s="145">
        <v>187.5</v>
      </c>
      <c r="J50" s="145">
        <v>192.5</v>
      </c>
      <c r="K50" s="145">
        <v>192.5</v>
      </c>
      <c r="L50" s="145">
        <v>100</v>
      </c>
      <c r="M50" s="18">
        <v>26</v>
      </c>
      <c r="N50" s="188">
        <v>2600</v>
      </c>
      <c r="O50" s="189"/>
      <c r="P50" s="149">
        <v>40</v>
      </c>
      <c r="Q50" s="152">
        <v>144.11395187436676</v>
      </c>
      <c r="R50" s="122" t="s">
        <v>1193</v>
      </c>
    </row>
    <row r="51" spans="2:21" ht="15.75">
      <c r="B51" s="181" t="s">
        <v>138</v>
      </c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</row>
    <row r="52" spans="1:41" ht="13.5" customHeight="1">
      <c r="A52" s="61">
        <v>1</v>
      </c>
      <c r="B52" s="24" t="s">
        <v>1511</v>
      </c>
      <c r="C52" s="24" t="s">
        <v>1512</v>
      </c>
      <c r="D52" s="24" t="s">
        <v>151</v>
      </c>
      <c r="E52" s="150">
        <v>0.5885</v>
      </c>
      <c r="F52" s="24" t="s">
        <v>1121</v>
      </c>
      <c r="G52" s="24" t="s">
        <v>1532</v>
      </c>
      <c r="H52" s="145">
        <v>152.5</v>
      </c>
      <c r="I52" s="145">
        <v>160</v>
      </c>
      <c r="J52" s="145">
        <v>165</v>
      </c>
      <c r="K52" s="145">
        <v>165</v>
      </c>
      <c r="L52" s="145">
        <v>100</v>
      </c>
      <c r="M52" s="18">
        <v>16</v>
      </c>
      <c r="N52" s="188">
        <v>1600</v>
      </c>
      <c r="O52" s="189"/>
      <c r="P52" s="149">
        <v>40</v>
      </c>
      <c r="Q52" s="152">
        <v>118.92068181818182</v>
      </c>
      <c r="R52" s="122" t="s">
        <v>1193</v>
      </c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</row>
    <row r="53" spans="1:18" ht="12.75">
      <c r="A53" s="61">
        <v>1</v>
      </c>
      <c r="B53" s="24" t="s">
        <v>771</v>
      </c>
      <c r="C53" s="24" t="s">
        <v>1523</v>
      </c>
      <c r="D53" s="24" t="s">
        <v>773</v>
      </c>
      <c r="E53" s="150">
        <v>0.6004</v>
      </c>
      <c r="F53" s="24" t="s">
        <v>1121</v>
      </c>
      <c r="G53" s="24" t="s">
        <v>1184</v>
      </c>
      <c r="H53" s="145">
        <v>125</v>
      </c>
      <c r="I53" s="145">
        <v>135</v>
      </c>
      <c r="J53" s="145">
        <v>140</v>
      </c>
      <c r="K53" s="145">
        <v>140</v>
      </c>
      <c r="L53" s="145">
        <v>100</v>
      </c>
      <c r="M53" s="18">
        <v>17</v>
      </c>
      <c r="N53" s="188">
        <v>1700</v>
      </c>
      <c r="O53" s="189"/>
      <c r="P53" s="149">
        <v>40</v>
      </c>
      <c r="Q53" s="152">
        <v>100.46526640926642</v>
      </c>
      <c r="R53" s="122" t="s">
        <v>1193</v>
      </c>
    </row>
    <row r="54" spans="2:21" ht="15.75">
      <c r="B54" s="181" t="s">
        <v>1524</v>
      </c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</row>
    <row r="55" spans="1:18" ht="12.75">
      <c r="A55" s="61">
        <v>1</v>
      </c>
      <c r="B55" s="24" t="s">
        <v>1525</v>
      </c>
      <c r="C55" s="24" t="s">
        <v>1526</v>
      </c>
      <c r="D55" s="24" t="s">
        <v>1527</v>
      </c>
      <c r="E55" s="150">
        <v>0.5775</v>
      </c>
      <c r="F55" s="24" t="s">
        <v>1121</v>
      </c>
      <c r="G55" s="24" t="s">
        <v>1184</v>
      </c>
      <c r="H55" s="145">
        <v>135</v>
      </c>
      <c r="I55" s="145">
        <v>145</v>
      </c>
      <c r="J55" s="149"/>
      <c r="K55" s="145">
        <v>145</v>
      </c>
      <c r="L55" s="145">
        <v>100</v>
      </c>
      <c r="M55" s="18">
        <v>16</v>
      </c>
      <c r="N55" s="188">
        <v>1600</v>
      </c>
      <c r="O55" s="189"/>
      <c r="P55" s="149">
        <v>40</v>
      </c>
      <c r="Q55" s="152">
        <v>97.31984295415958</v>
      </c>
      <c r="R55" s="122" t="s">
        <v>1193</v>
      </c>
    </row>
    <row r="56" spans="14:15" ht="12.75">
      <c r="N56" s="190"/>
      <c r="O56" s="190"/>
    </row>
    <row r="57" spans="1:15" ht="18">
      <c r="A57" s="38"/>
      <c r="B57" s="6" t="s">
        <v>7</v>
      </c>
      <c r="C57" s="7"/>
      <c r="D57" s="1"/>
      <c r="E57" s="1"/>
      <c r="F57" s="5"/>
      <c r="N57" s="187"/>
      <c r="O57" s="187"/>
    </row>
    <row r="58" spans="1:15" ht="15.75">
      <c r="A58" s="38"/>
      <c r="B58" s="52" t="s">
        <v>1491</v>
      </c>
      <c r="C58" s="8"/>
      <c r="D58" s="1"/>
      <c r="E58" s="1"/>
      <c r="F58" s="5"/>
      <c r="N58" s="187"/>
      <c r="O58" s="187"/>
    </row>
    <row r="59" spans="1:15" ht="13.5">
      <c r="A59" s="38"/>
      <c r="B59" s="53" t="s">
        <v>184</v>
      </c>
      <c r="C59" s="13"/>
      <c r="D59" s="1"/>
      <c r="E59" s="1"/>
      <c r="F59" s="5"/>
      <c r="N59" s="187"/>
      <c r="O59" s="187"/>
    </row>
    <row r="60" spans="1:15" ht="13.5">
      <c r="A60" s="38"/>
      <c r="B60" s="14" t="s">
        <v>176</v>
      </c>
      <c r="C60" s="14" t="s">
        <v>177</v>
      </c>
      <c r="D60" s="14" t="s">
        <v>178</v>
      </c>
      <c r="E60" s="14" t="s">
        <v>180</v>
      </c>
      <c r="N60" s="187"/>
      <c r="O60" s="187"/>
    </row>
    <row r="61" spans="1:15" ht="12.75">
      <c r="A61" s="38" t="s">
        <v>1076</v>
      </c>
      <c r="B61" s="34" t="s">
        <v>1494</v>
      </c>
      <c r="C61" s="1" t="s">
        <v>185</v>
      </c>
      <c r="D61" s="1" t="s">
        <v>1078</v>
      </c>
      <c r="E61" s="155">
        <v>8608.2815</v>
      </c>
      <c r="N61" s="187"/>
      <c r="O61" s="187"/>
    </row>
    <row r="62" spans="1:15" ht="12.75">
      <c r="A62" s="38" t="s">
        <v>1102</v>
      </c>
      <c r="B62" s="34" t="s">
        <v>1505</v>
      </c>
      <c r="C62" s="1" t="s">
        <v>185</v>
      </c>
      <c r="D62" s="1" t="s">
        <v>1079</v>
      </c>
      <c r="E62" s="156">
        <v>8087.105000000001</v>
      </c>
      <c r="N62" s="187"/>
      <c r="O62" s="187"/>
    </row>
    <row r="63" spans="1:15" ht="12.75">
      <c r="A63" s="38" t="s">
        <v>1103</v>
      </c>
      <c r="B63" s="34" t="s">
        <v>1498</v>
      </c>
      <c r="C63" s="1" t="s">
        <v>185</v>
      </c>
      <c r="D63" s="1" t="s">
        <v>1078</v>
      </c>
      <c r="E63" s="155">
        <v>7520.0595</v>
      </c>
      <c r="N63" s="187"/>
      <c r="O63" s="187"/>
    </row>
    <row r="64" spans="1:15" ht="12.75">
      <c r="A64" s="38"/>
      <c r="B64" s="5" t="s">
        <v>1528</v>
      </c>
      <c r="C64" s="1" t="s">
        <v>185</v>
      </c>
      <c r="D64" s="1" t="s">
        <v>1079</v>
      </c>
      <c r="E64" s="155">
        <v>6983.45375</v>
      </c>
      <c r="N64" s="187"/>
      <c r="O64" s="187"/>
    </row>
    <row r="65" spans="1:15" ht="12.75">
      <c r="A65" s="38"/>
      <c r="B65" s="34" t="s">
        <v>1511</v>
      </c>
      <c r="C65" s="1" t="s">
        <v>185</v>
      </c>
      <c r="D65" s="1" t="s">
        <v>1079</v>
      </c>
      <c r="E65" s="155">
        <v>6451.43125</v>
      </c>
      <c r="N65" s="187"/>
      <c r="O65" s="187"/>
    </row>
    <row r="66" spans="1:15" ht="12.75">
      <c r="A66" s="38"/>
      <c r="B66" s="34" t="s">
        <v>1264</v>
      </c>
      <c r="C66" s="1" t="s">
        <v>185</v>
      </c>
      <c r="D66" s="1" t="s">
        <v>1078</v>
      </c>
      <c r="E66" s="155">
        <v>6313.3634999999995</v>
      </c>
      <c r="N66" s="187"/>
      <c r="O66" s="187"/>
    </row>
    <row r="67" spans="1:15" ht="12.75">
      <c r="A67" s="38"/>
      <c r="B67" s="34" t="s">
        <v>1502</v>
      </c>
      <c r="C67" s="1" t="s">
        <v>185</v>
      </c>
      <c r="D67" s="1" t="s">
        <v>1078</v>
      </c>
      <c r="E67" s="155">
        <v>6146.91</v>
      </c>
      <c r="N67" s="187"/>
      <c r="O67" s="187"/>
    </row>
    <row r="68" spans="2:15" ht="12.75">
      <c r="B68" s="34" t="s">
        <v>1492</v>
      </c>
      <c r="C68" s="1" t="s">
        <v>185</v>
      </c>
      <c r="D68" s="132">
        <v>80</v>
      </c>
      <c r="E68" s="155">
        <v>6021.47</v>
      </c>
      <c r="N68" s="187"/>
      <c r="O68" s="187"/>
    </row>
    <row r="69" spans="14:15" ht="12.75">
      <c r="N69" s="187"/>
      <c r="O69" s="187"/>
    </row>
  </sheetData>
  <sheetProtection/>
  <mergeCells count="79">
    <mergeCell ref="N23:O23"/>
    <mergeCell ref="N25:O25"/>
    <mergeCell ref="B3:B4"/>
    <mergeCell ref="F3:F4"/>
    <mergeCell ref="N15:O15"/>
    <mergeCell ref="N16:O16"/>
    <mergeCell ref="G3:G4"/>
    <mergeCell ref="H3:K3"/>
    <mergeCell ref="B9:U9"/>
    <mergeCell ref="B11:U11"/>
    <mergeCell ref="Q3:Q4"/>
    <mergeCell ref="N8:O8"/>
    <mergeCell ref="N10:O10"/>
    <mergeCell ref="R3:R4"/>
    <mergeCell ref="N20:O20"/>
    <mergeCell ref="N21:O21"/>
    <mergeCell ref="B12:U12"/>
    <mergeCell ref="B14:U14"/>
    <mergeCell ref="B17:U17"/>
    <mergeCell ref="B19:U19"/>
    <mergeCell ref="B1:R2"/>
    <mergeCell ref="N4:O4"/>
    <mergeCell ref="B5:U5"/>
    <mergeCell ref="B6:U6"/>
    <mergeCell ref="N7:O7"/>
    <mergeCell ref="L3:O3"/>
    <mergeCell ref="C3:C4"/>
    <mergeCell ref="D3:D4"/>
    <mergeCell ref="E3:E4"/>
    <mergeCell ref="P3:P4"/>
    <mergeCell ref="B48:U48"/>
    <mergeCell ref="N34:O34"/>
    <mergeCell ref="N35:O35"/>
    <mergeCell ref="N36:O36"/>
    <mergeCell ref="N47:O47"/>
    <mergeCell ref="B38:U38"/>
    <mergeCell ref="B42:U42"/>
    <mergeCell ref="B43:U43"/>
    <mergeCell ref="B46:U46"/>
    <mergeCell ref="N37:O37"/>
    <mergeCell ref="N39:O39"/>
    <mergeCell ref="N40:O40"/>
    <mergeCell ref="N41:O41"/>
    <mergeCell ref="B30:U30"/>
    <mergeCell ref="B45:U45"/>
    <mergeCell ref="N44:O44"/>
    <mergeCell ref="B31:U31"/>
    <mergeCell ref="N18:O18"/>
    <mergeCell ref="N13:O13"/>
    <mergeCell ref="B33:U33"/>
    <mergeCell ref="N32:O32"/>
    <mergeCell ref="B22:U22"/>
    <mergeCell ref="B24:U24"/>
    <mergeCell ref="B27:U27"/>
    <mergeCell ref="N26:O26"/>
    <mergeCell ref="N29:O29"/>
    <mergeCell ref="B28:U28"/>
    <mergeCell ref="N50:O50"/>
    <mergeCell ref="B49:U49"/>
    <mergeCell ref="N52:O52"/>
    <mergeCell ref="B51:U51"/>
    <mergeCell ref="V52:AO52"/>
    <mergeCell ref="N53:O53"/>
    <mergeCell ref="B54:U54"/>
    <mergeCell ref="N55:O55"/>
    <mergeCell ref="N56:O56"/>
    <mergeCell ref="N57:O57"/>
    <mergeCell ref="N68:O68"/>
    <mergeCell ref="N69:O69"/>
    <mergeCell ref="N60:O60"/>
    <mergeCell ref="N61:O61"/>
    <mergeCell ref="N62:O62"/>
    <mergeCell ref="N63:O63"/>
    <mergeCell ref="N64:O64"/>
    <mergeCell ref="N65:O65"/>
    <mergeCell ref="N58:O58"/>
    <mergeCell ref="N59:O59"/>
    <mergeCell ref="N66:O66"/>
    <mergeCell ref="N67:O67"/>
  </mergeCells>
  <printOptions/>
  <pageMargins left="0.7" right="0.7" top="0.75" bottom="0.75" header="0.3" footer="0.3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U80"/>
  <sheetViews>
    <sheetView workbookViewId="0" topLeftCell="A32">
      <selection activeCell="E23" sqref="E23:F23"/>
    </sheetView>
  </sheetViews>
  <sheetFormatPr defaultColWidth="8.75390625" defaultRowHeight="12.75"/>
  <cols>
    <col min="1" max="1" width="2.375" style="0" customWidth="1"/>
    <col min="2" max="2" width="23.625" style="0" customWidth="1"/>
    <col min="3" max="3" width="27.25390625" style="0" customWidth="1"/>
    <col min="4" max="4" width="12.125" style="0" customWidth="1"/>
    <col min="5" max="5" width="24.125" style="0" customWidth="1"/>
    <col min="6" max="6" width="38.625" style="0" customWidth="1"/>
    <col min="7" max="7" width="6.25390625" style="0" customWidth="1"/>
    <col min="8" max="8" width="6.375" style="0" customWidth="1"/>
    <col min="9" max="9" width="6.625" style="0" customWidth="1"/>
    <col min="10" max="10" width="6.75390625" style="0" customWidth="1"/>
    <col min="11" max="11" width="0.12890625" style="0" hidden="1" customWidth="1"/>
    <col min="12" max="12" width="9.125" style="0" customWidth="1"/>
    <col min="13" max="13" width="19.875" style="0" customWidth="1"/>
    <col min="14" max="14" width="16.875" style="0" hidden="1" customWidth="1"/>
    <col min="15" max="21" width="9.125" style="0" hidden="1" customWidth="1"/>
  </cols>
  <sheetData>
    <row r="1" spans="1:21" ht="12.75">
      <c r="A1" s="38"/>
      <c r="B1" s="162" t="s">
        <v>1288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79"/>
      <c r="O1" s="1"/>
      <c r="P1" s="1"/>
      <c r="Q1" s="1"/>
      <c r="R1" s="1"/>
      <c r="S1" s="1"/>
      <c r="T1" s="1"/>
      <c r="U1" s="1"/>
    </row>
    <row r="2" spans="1:21" ht="55.5" customHeight="1" thickBot="1">
      <c r="A2" s="38"/>
      <c r="B2" s="164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80"/>
      <c r="O2" s="1"/>
      <c r="P2" s="1"/>
      <c r="Q2" s="1"/>
      <c r="R2" s="1"/>
      <c r="S2" s="1"/>
      <c r="T2" s="1"/>
      <c r="U2" s="1"/>
    </row>
    <row r="3" spans="1:21" ht="13.5">
      <c r="A3" s="2"/>
      <c r="B3" s="166" t="s">
        <v>0</v>
      </c>
      <c r="C3" s="168" t="s">
        <v>1108</v>
      </c>
      <c r="D3" s="170" t="s">
        <v>1109</v>
      </c>
      <c r="E3" s="191" t="s">
        <v>4</v>
      </c>
      <c r="F3" s="191" t="s">
        <v>6</v>
      </c>
      <c r="G3" s="182" t="s">
        <v>1287</v>
      </c>
      <c r="H3" s="183"/>
      <c r="I3" s="183"/>
      <c r="J3" s="183"/>
      <c r="K3" s="184"/>
      <c r="L3" s="191" t="s">
        <v>2</v>
      </c>
      <c r="M3" s="193" t="s">
        <v>3</v>
      </c>
      <c r="N3" s="160" t="s">
        <v>3</v>
      </c>
      <c r="O3" s="2"/>
      <c r="P3" s="2"/>
      <c r="Q3" s="2"/>
      <c r="R3" s="2"/>
      <c r="S3" s="2"/>
      <c r="T3" s="2"/>
      <c r="U3" s="2"/>
    </row>
    <row r="4" spans="1:21" ht="15" thickBot="1">
      <c r="A4" s="2"/>
      <c r="B4" s="167"/>
      <c r="C4" s="169"/>
      <c r="D4" s="169"/>
      <c r="E4" s="192"/>
      <c r="F4" s="192"/>
      <c r="G4" s="3">
        <v>1</v>
      </c>
      <c r="H4" s="3">
        <v>2</v>
      </c>
      <c r="I4" s="3">
        <v>3</v>
      </c>
      <c r="J4" s="185" t="s">
        <v>1286</v>
      </c>
      <c r="K4" s="186"/>
      <c r="L4" s="192"/>
      <c r="M4" s="194"/>
      <c r="N4" s="161"/>
      <c r="O4" s="2"/>
      <c r="P4" s="2"/>
      <c r="Q4" s="2"/>
      <c r="R4" s="2"/>
      <c r="S4" s="2"/>
      <c r="T4" s="2"/>
      <c r="U4" s="2"/>
    </row>
    <row r="5" spans="1:21" ht="15.75">
      <c r="A5" s="61"/>
      <c r="B5" s="171" t="s">
        <v>1052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</row>
    <row r="6" spans="1:21" ht="15.75">
      <c r="A6" s="61"/>
      <c r="B6" s="171" t="s">
        <v>257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</row>
    <row r="7" spans="1:21" ht="12.75">
      <c r="A7" s="61">
        <v>1</v>
      </c>
      <c r="B7" s="24" t="s">
        <v>249</v>
      </c>
      <c r="C7" s="24" t="s">
        <v>1289</v>
      </c>
      <c r="D7" s="24" t="s">
        <v>1290</v>
      </c>
      <c r="E7" s="24" t="s">
        <v>1291</v>
      </c>
      <c r="F7" s="24" t="s">
        <v>60</v>
      </c>
      <c r="G7" s="56" t="s">
        <v>1292</v>
      </c>
      <c r="H7" s="56" t="s">
        <v>1293</v>
      </c>
      <c r="I7" s="58" t="s">
        <v>1294</v>
      </c>
      <c r="J7" s="58"/>
      <c r="K7" s="25"/>
      <c r="L7" s="56" t="s">
        <v>1293</v>
      </c>
      <c r="M7" s="18" t="s">
        <v>374</v>
      </c>
      <c r="N7" s="18" t="s">
        <v>247</v>
      </c>
      <c r="O7" s="28"/>
      <c r="P7" s="28"/>
      <c r="Q7" s="28"/>
      <c r="R7" s="28"/>
      <c r="S7" s="28"/>
      <c r="T7" s="28"/>
      <c r="U7" s="28"/>
    </row>
    <row r="8" spans="1:13" ht="12.75">
      <c r="A8" s="61">
        <v>1</v>
      </c>
      <c r="B8" s="24" t="s">
        <v>281</v>
      </c>
      <c r="C8" s="24" t="s">
        <v>282</v>
      </c>
      <c r="D8" s="24" t="s">
        <v>1298</v>
      </c>
      <c r="E8" s="24" t="s">
        <v>1291</v>
      </c>
      <c r="F8" s="24" t="s">
        <v>60</v>
      </c>
      <c r="G8" s="56" t="s">
        <v>1299</v>
      </c>
      <c r="H8" s="56" t="s">
        <v>1300</v>
      </c>
      <c r="I8" s="58" t="s">
        <v>1301</v>
      </c>
      <c r="J8" s="58"/>
      <c r="K8" s="25"/>
      <c r="L8" s="56" t="s">
        <v>1300</v>
      </c>
      <c r="M8" s="18" t="s">
        <v>374</v>
      </c>
    </row>
    <row r="9" spans="2:21" ht="15.75">
      <c r="B9" s="171" t="s">
        <v>1302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</row>
    <row r="10" spans="1:13" ht="12.75">
      <c r="A10" s="61">
        <v>1</v>
      </c>
      <c r="B10" s="24" t="s">
        <v>481</v>
      </c>
      <c r="C10" s="24" t="s">
        <v>882</v>
      </c>
      <c r="D10" s="24" t="s">
        <v>1303</v>
      </c>
      <c r="E10" s="24" t="s">
        <v>1121</v>
      </c>
      <c r="F10" s="24" t="s">
        <v>1188</v>
      </c>
      <c r="G10" s="56" t="s">
        <v>1308</v>
      </c>
      <c r="H10" s="56" t="s">
        <v>1307</v>
      </c>
      <c r="I10" s="56" t="s">
        <v>1306</v>
      </c>
      <c r="J10" s="58" t="s">
        <v>1305</v>
      </c>
      <c r="K10" s="25"/>
      <c r="L10" s="56" t="s">
        <v>1293</v>
      </c>
      <c r="M10" s="18" t="s">
        <v>1304</v>
      </c>
    </row>
    <row r="11" spans="1:20" ht="15.75">
      <c r="A11" s="171" t="s">
        <v>1053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</row>
    <row r="12" spans="2:21" ht="15.75">
      <c r="B12" s="171" t="s">
        <v>1309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</row>
    <row r="13" spans="1:13" ht="12.75">
      <c r="A13" s="61">
        <v>1</v>
      </c>
      <c r="B13" s="24" t="s">
        <v>1310</v>
      </c>
      <c r="C13" s="24" t="s">
        <v>1311</v>
      </c>
      <c r="D13" s="24" t="s">
        <v>1312</v>
      </c>
      <c r="E13" s="24" t="s">
        <v>1313</v>
      </c>
      <c r="F13" s="24" t="s">
        <v>662</v>
      </c>
      <c r="G13" s="56" t="s">
        <v>1308</v>
      </c>
      <c r="H13" s="56" t="s">
        <v>1307</v>
      </c>
      <c r="I13" s="56" t="s">
        <v>1315</v>
      </c>
      <c r="J13" s="58" t="s">
        <v>1314</v>
      </c>
      <c r="K13" s="25"/>
      <c r="L13" s="56" t="s">
        <v>1315</v>
      </c>
      <c r="M13" s="18" t="s">
        <v>1011</v>
      </c>
    </row>
    <row r="14" spans="1:13" ht="12.75">
      <c r="A14" s="61">
        <v>2</v>
      </c>
      <c r="B14" s="24" t="s">
        <v>983</v>
      </c>
      <c r="C14" s="24" t="s">
        <v>1317</v>
      </c>
      <c r="D14" s="24" t="s">
        <v>1316</v>
      </c>
      <c r="E14" s="24" t="s">
        <v>1313</v>
      </c>
      <c r="F14" s="24" t="s">
        <v>662</v>
      </c>
      <c r="G14" s="56" t="s">
        <v>1308</v>
      </c>
      <c r="H14" s="56" t="s">
        <v>1318</v>
      </c>
      <c r="I14" s="58" t="s">
        <v>1315</v>
      </c>
      <c r="J14" s="58"/>
      <c r="K14" s="25"/>
      <c r="L14" s="56" t="s">
        <v>1318</v>
      </c>
      <c r="M14" s="18" t="s">
        <v>1011</v>
      </c>
    </row>
    <row r="15" spans="1:13" ht="12.75">
      <c r="A15" s="61">
        <v>3</v>
      </c>
      <c r="B15" s="24" t="s">
        <v>1319</v>
      </c>
      <c r="C15" s="24" t="s">
        <v>1320</v>
      </c>
      <c r="D15" s="24" t="s">
        <v>1321</v>
      </c>
      <c r="E15" s="24" t="s">
        <v>1121</v>
      </c>
      <c r="F15" s="24" t="s">
        <v>1322</v>
      </c>
      <c r="G15" s="56" t="s">
        <v>1294</v>
      </c>
      <c r="H15" s="56" t="s">
        <v>1323</v>
      </c>
      <c r="I15" s="58" t="s">
        <v>1306</v>
      </c>
      <c r="J15" s="58"/>
      <c r="K15" s="25"/>
      <c r="L15" s="56" t="s">
        <v>1323</v>
      </c>
      <c r="M15" s="18" t="s">
        <v>1324</v>
      </c>
    </row>
    <row r="16" spans="1:13" ht="12.75">
      <c r="A16" s="61">
        <v>4</v>
      </c>
      <c r="B16" s="24" t="s">
        <v>1325</v>
      </c>
      <c r="C16" s="24" t="s">
        <v>1326</v>
      </c>
      <c r="D16" s="24" t="s">
        <v>1327</v>
      </c>
      <c r="E16" s="24" t="s">
        <v>1121</v>
      </c>
      <c r="F16" s="24" t="s">
        <v>28</v>
      </c>
      <c r="G16" s="56" t="s">
        <v>1300</v>
      </c>
      <c r="H16" s="58" t="s">
        <v>1308</v>
      </c>
      <c r="I16" s="58"/>
      <c r="J16" s="58"/>
      <c r="K16" s="25"/>
      <c r="L16" s="56" t="s">
        <v>1300</v>
      </c>
      <c r="M16" s="18" t="s">
        <v>1328</v>
      </c>
    </row>
    <row r="17" spans="1:13" ht="12.75">
      <c r="A17" s="61">
        <v>1</v>
      </c>
      <c r="B17" s="24" t="s">
        <v>659</v>
      </c>
      <c r="C17" s="24" t="s">
        <v>660</v>
      </c>
      <c r="D17" s="24" t="s">
        <v>1329</v>
      </c>
      <c r="E17" s="24" t="s">
        <v>1313</v>
      </c>
      <c r="F17" s="24" t="s">
        <v>662</v>
      </c>
      <c r="G17" s="56" t="s">
        <v>1308</v>
      </c>
      <c r="H17" s="56" t="s">
        <v>1318</v>
      </c>
      <c r="I17" s="56" t="s">
        <v>1306</v>
      </c>
      <c r="J17" s="56" t="s">
        <v>1305</v>
      </c>
      <c r="K17" s="25"/>
      <c r="L17" s="56" t="s">
        <v>1305</v>
      </c>
      <c r="M17" s="18" t="s">
        <v>1011</v>
      </c>
    </row>
    <row r="18" spans="1:13" ht="12.75">
      <c r="A18" s="61">
        <v>2</v>
      </c>
      <c r="B18" s="24" t="s">
        <v>1330</v>
      </c>
      <c r="C18" s="24" t="s">
        <v>1331</v>
      </c>
      <c r="D18" s="24" t="s">
        <v>1332</v>
      </c>
      <c r="E18" s="24" t="s">
        <v>1333</v>
      </c>
      <c r="F18" s="24" t="s">
        <v>152</v>
      </c>
      <c r="G18" s="56" t="s">
        <v>1307</v>
      </c>
      <c r="H18" s="56" t="s">
        <v>1318</v>
      </c>
      <c r="I18" s="58" t="s">
        <v>1306</v>
      </c>
      <c r="J18" s="58"/>
      <c r="K18" s="25"/>
      <c r="L18" s="56" t="s">
        <v>1318</v>
      </c>
      <c r="M18" s="18" t="s">
        <v>1193</v>
      </c>
    </row>
    <row r="19" spans="2:21" ht="15.75">
      <c r="B19" s="171" t="s">
        <v>1334</v>
      </c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</row>
    <row r="20" spans="1:13" ht="12.75">
      <c r="A20" s="61">
        <v>1</v>
      </c>
      <c r="B20" s="24" t="s">
        <v>998</v>
      </c>
      <c r="C20" s="24" t="s">
        <v>1335</v>
      </c>
      <c r="D20" s="24" t="s">
        <v>1336</v>
      </c>
      <c r="E20" s="24" t="s">
        <v>1313</v>
      </c>
      <c r="F20" s="24" t="s">
        <v>662</v>
      </c>
      <c r="G20" s="56" t="s">
        <v>1308</v>
      </c>
      <c r="H20" s="56" t="s">
        <v>1306</v>
      </c>
      <c r="I20" s="56" t="s">
        <v>1315</v>
      </c>
      <c r="J20" s="58" t="s">
        <v>1314</v>
      </c>
      <c r="K20" s="25"/>
      <c r="L20" s="56" t="s">
        <v>1315</v>
      </c>
      <c r="M20" s="18" t="s">
        <v>1011</v>
      </c>
    </row>
    <row r="21" spans="1:13" ht="12.75">
      <c r="A21" s="61">
        <v>2</v>
      </c>
      <c r="B21" s="24" t="s">
        <v>1337</v>
      </c>
      <c r="C21" s="24" t="s">
        <v>1338</v>
      </c>
      <c r="D21" s="24" t="s">
        <v>688</v>
      </c>
      <c r="E21" s="24" t="s">
        <v>1339</v>
      </c>
      <c r="F21" s="24" t="s">
        <v>1340</v>
      </c>
      <c r="G21" s="56" t="s">
        <v>1318</v>
      </c>
      <c r="H21" s="56" t="s">
        <v>1306</v>
      </c>
      <c r="I21" s="58" t="s">
        <v>1315</v>
      </c>
      <c r="J21" s="58"/>
      <c r="K21" s="25"/>
      <c r="L21" s="56" t="s">
        <v>1306</v>
      </c>
      <c r="M21" s="18" t="s">
        <v>1341</v>
      </c>
    </row>
    <row r="22" spans="1:13" ht="12.75">
      <c r="A22" s="61">
        <v>1</v>
      </c>
      <c r="B22" s="24" t="s">
        <v>1341</v>
      </c>
      <c r="C22" s="24" t="s">
        <v>1342</v>
      </c>
      <c r="D22" s="24" t="s">
        <v>1343</v>
      </c>
      <c r="E22" s="24" t="s">
        <v>1339</v>
      </c>
      <c r="F22" s="24" t="s">
        <v>1340</v>
      </c>
      <c r="G22" s="56" t="s">
        <v>1306</v>
      </c>
      <c r="H22" s="56" t="s">
        <v>1305</v>
      </c>
      <c r="I22" s="58" t="s">
        <v>1344</v>
      </c>
      <c r="J22" s="58" t="s">
        <v>1344</v>
      </c>
      <c r="K22" s="25"/>
      <c r="L22" s="56" t="s">
        <v>1305</v>
      </c>
      <c r="M22" s="18" t="s">
        <v>1193</v>
      </c>
    </row>
    <row r="23" spans="1:13" ht="12.75">
      <c r="A23" s="125">
        <v>1</v>
      </c>
      <c r="B23" s="24" t="s">
        <v>1345</v>
      </c>
      <c r="C23" s="24" t="s">
        <v>1346</v>
      </c>
      <c r="D23" s="24" t="s">
        <v>1347</v>
      </c>
      <c r="E23" s="24" t="s">
        <v>1348</v>
      </c>
      <c r="F23" s="24" t="s">
        <v>136</v>
      </c>
      <c r="G23" s="56" t="s">
        <v>1307</v>
      </c>
      <c r="H23" s="56" t="s">
        <v>1306</v>
      </c>
      <c r="I23" s="56" t="s">
        <v>1315</v>
      </c>
      <c r="J23" s="56" t="s">
        <v>1314</v>
      </c>
      <c r="K23" s="25"/>
      <c r="L23" s="56" t="s">
        <v>1314</v>
      </c>
      <c r="M23" s="18" t="s">
        <v>1193</v>
      </c>
    </row>
    <row r="24" spans="2:21" ht="15.75">
      <c r="B24" s="171" t="s">
        <v>100</v>
      </c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</row>
    <row r="25" spans="1:13" ht="12.75">
      <c r="A25" s="61">
        <v>1</v>
      </c>
      <c r="B25" s="24" t="s">
        <v>1349</v>
      </c>
      <c r="C25" s="24" t="s">
        <v>1350</v>
      </c>
      <c r="D25" s="24" t="s">
        <v>352</v>
      </c>
      <c r="E25" s="24" t="s">
        <v>1339</v>
      </c>
      <c r="F25" s="24" t="s">
        <v>1340</v>
      </c>
      <c r="G25" s="56" t="s">
        <v>1305</v>
      </c>
      <c r="H25" s="56" t="s">
        <v>1344</v>
      </c>
      <c r="I25" s="58" t="s">
        <v>1351</v>
      </c>
      <c r="J25" s="58"/>
      <c r="K25" s="25"/>
      <c r="L25" s="56" t="s">
        <v>1344</v>
      </c>
      <c r="M25" s="18" t="s">
        <v>1341</v>
      </c>
    </row>
    <row r="26" spans="1:13" ht="12.75">
      <c r="A26" s="61">
        <v>2</v>
      </c>
      <c r="B26" s="24" t="s">
        <v>1328</v>
      </c>
      <c r="C26" s="24" t="s">
        <v>1352</v>
      </c>
      <c r="D26" s="24" t="s">
        <v>1353</v>
      </c>
      <c r="E26" s="24" t="s">
        <v>1121</v>
      </c>
      <c r="F26" s="24" t="s">
        <v>28</v>
      </c>
      <c r="G26" s="56" t="s">
        <v>1308</v>
      </c>
      <c r="H26" s="58" t="s">
        <v>1307</v>
      </c>
      <c r="I26" s="58"/>
      <c r="J26" s="58"/>
      <c r="K26" s="25"/>
      <c r="L26" s="56" t="s">
        <v>1308</v>
      </c>
      <c r="M26" s="18" t="s">
        <v>1193</v>
      </c>
    </row>
    <row r="27" spans="1:13" ht="12.75">
      <c r="A27" s="61">
        <v>1</v>
      </c>
      <c r="B27" s="24" t="s">
        <v>1354</v>
      </c>
      <c r="C27" s="24" t="s">
        <v>1355</v>
      </c>
      <c r="D27" s="24" t="s">
        <v>1356</v>
      </c>
      <c r="E27" s="24" t="s">
        <v>1333</v>
      </c>
      <c r="F27" s="24" t="s">
        <v>152</v>
      </c>
      <c r="G27" s="56" t="s">
        <v>1357</v>
      </c>
      <c r="H27" s="56" t="s">
        <v>1358</v>
      </c>
      <c r="I27" s="56" t="s">
        <v>1359</v>
      </c>
      <c r="J27" s="58" t="s">
        <v>1360</v>
      </c>
      <c r="K27" s="25"/>
      <c r="L27" s="56" t="s">
        <v>1359</v>
      </c>
      <c r="M27" s="18" t="s">
        <v>1193</v>
      </c>
    </row>
    <row r="28" spans="1:13" ht="12.75">
      <c r="A28" s="61">
        <v>2</v>
      </c>
      <c r="B28" s="24" t="s">
        <v>1361</v>
      </c>
      <c r="C28" s="24" t="s">
        <v>1362</v>
      </c>
      <c r="D28" s="24" t="s">
        <v>1363</v>
      </c>
      <c r="E28" s="24" t="s">
        <v>1339</v>
      </c>
      <c r="F28" s="24" t="s">
        <v>1340</v>
      </c>
      <c r="G28" s="56" t="s">
        <v>1344</v>
      </c>
      <c r="H28" s="56" t="s">
        <v>1364</v>
      </c>
      <c r="I28" s="58" t="s">
        <v>1365</v>
      </c>
      <c r="J28" s="58" t="s">
        <v>1365</v>
      </c>
      <c r="K28" s="25"/>
      <c r="L28" s="56" t="s">
        <v>1364</v>
      </c>
      <c r="M28" s="18" t="s">
        <v>1341</v>
      </c>
    </row>
    <row r="29" spans="1:13" ht="12.75">
      <c r="A29" s="61">
        <v>3</v>
      </c>
      <c r="B29" s="24" t="s">
        <v>1366</v>
      </c>
      <c r="C29" s="24" t="s">
        <v>1368</v>
      </c>
      <c r="D29" s="24" t="s">
        <v>1367</v>
      </c>
      <c r="E29" s="24" t="s">
        <v>1333</v>
      </c>
      <c r="F29" s="24" t="s">
        <v>152</v>
      </c>
      <c r="G29" s="56" t="s">
        <v>1314</v>
      </c>
      <c r="H29" s="58" t="s">
        <v>1365</v>
      </c>
      <c r="I29" s="58" t="s">
        <v>1365</v>
      </c>
      <c r="J29" s="58"/>
      <c r="K29" s="25"/>
      <c r="L29" s="56" t="s">
        <v>1314</v>
      </c>
      <c r="M29" s="18" t="s">
        <v>1354</v>
      </c>
    </row>
    <row r="30" spans="1:13" ht="12.75">
      <c r="A30" s="61">
        <v>4</v>
      </c>
      <c r="B30" s="24" t="s">
        <v>1369</v>
      </c>
      <c r="C30" s="24" t="s">
        <v>1370</v>
      </c>
      <c r="D30" s="24" t="s">
        <v>1353</v>
      </c>
      <c r="E30" s="24" t="s">
        <v>1339</v>
      </c>
      <c r="F30" s="24" t="s">
        <v>1340</v>
      </c>
      <c r="G30" s="56" t="s">
        <v>1306</v>
      </c>
      <c r="H30" s="56" t="s">
        <v>1305</v>
      </c>
      <c r="I30" s="58" t="s">
        <v>1344</v>
      </c>
      <c r="J30" s="58" t="s">
        <v>1344</v>
      </c>
      <c r="K30" s="25"/>
      <c r="L30" s="56" t="s">
        <v>1305</v>
      </c>
      <c r="M30" s="18" t="s">
        <v>1341</v>
      </c>
    </row>
    <row r="31" spans="2:21" ht="15.75">
      <c r="B31" s="171" t="s">
        <v>117</v>
      </c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</row>
    <row r="32" spans="1:13" ht="12.75">
      <c r="A32" s="61">
        <v>1</v>
      </c>
      <c r="B32" s="24" t="s">
        <v>1324</v>
      </c>
      <c r="C32" s="24" t="s">
        <v>1371</v>
      </c>
      <c r="D32" s="24" t="s">
        <v>1372</v>
      </c>
      <c r="E32" s="24" t="s">
        <v>1121</v>
      </c>
      <c r="F32" s="24" t="s">
        <v>1322</v>
      </c>
      <c r="G32" s="56" t="s">
        <v>1359</v>
      </c>
      <c r="H32" s="58" t="s">
        <v>1373</v>
      </c>
      <c r="I32" s="58"/>
      <c r="J32" s="58"/>
      <c r="K32" s="25"/>
      <c r="L32" s="56" t="s">
        <v>1359</v>
      </c>
      <c r="M32" s="18" t="s">
        <v>1193</v>
      </c>
    </row>
    <row r="33" spans="1:13" ht="12.75">
      <c r="A33" s="61">
        <v>2</v>
      </c>
      <c r="B33" s="24" t="s">
        <v>1374</v>
      </c>
      <c r="C33" s="24" t="s">
        <v>1375</v>
      </c>
      <c r="D33" s="24" t="s">
        <v>1376</v>
      </c>
      <c r="E33" s="24" t="s">
        <v>1121</v>
      </c>
      <c r="F33" s="24" t="s">
        <v>170</v>
      </c>
      <c r="G33" s="56" t="s">
        <v>1357</v>
      </c>
      <c r="H33" s="56" t="s">
        <v>1377</v>
      </c>
      <c r="I33" s="56" t="s">
        <v>1358</v>
      </c>
      <c r="J33" s="58" t="s">
        <v>1373</v>
      </c>
      <c r="K33" s="25"/>
      <c r="L33" s="56" t="s">
        <v>1358</v>
      </c>
      <c r="M33" s="18" t="s">
        <v>1378</v>
      </c>
    </row>
    <row r="34" spans="1:13" ht="12.75">
      <c r="A34" s="61">
        <v>3</v>
      </c>
      <c r="B34" s="24" t="s">
        <v>1379</v>
      </c>
      <c r="C34" s="24" t="s">
        <v>1380</v>
      </c>
      <c r="D34" s="24" t="s">
        <v>1381</v>
      </c>
      <c r="E34" s="24" t="s">
        <v>1121</v>
      </c>
      <c r="F34" s="24" t="s">
        <v>1382</v>
      </c>
      <c r="G34" s="56" t="s">
        <v>1365</v>
      </c>
      <c r="H34" s="56" t="s">
        <v>1377</v>
      </c>
      <c r="I34" s="56" t="s">
        <v>1358</v>
      </c>
      <c r="J34" s="58" t="s">
        <v>1359</v>
      </c>
      <c r="K34" s="25"/>
      <c r="L34" s="56" t="s">
        <v>1358</v>
      </c>
      <c r="M34" s="18" t="s">
        <v>1193</v>
      </c>
    </row>
    <row r="35" spans="1:13" ht="12.75">
      <c r="A35" s="61">
        <v>4</v>
      </c>
      <c r="B35" s="24" t="s">
        <v>1383</v>
      </c>
      <c r="C35" s="24" t="s">
        <v>1384</v>
      </c>
      <c r="D35" s="24" t="s">
        <v>905</v>
      </c>
      <c r="E35" s="24" t="s">
        <v>1333</v>
      </c>
      <c r="F35" s="24" t="s">
        <v>152</v>
      </c>
      <c r="G35" s="56" t="s">
        <v>1314</v>
      </c>
      <c r="H35" s="56" t="s">
        <v>1351</v>
      </c>
      <c r="I35" s="56" t="s">
        <v>1365</v>
      </c>
      <c r="J35" s="56" t="s">
        <v>1377</v>
      </c>
      <c r="K35" s="25"/>
      <c r="L35" s="56" t="s">
        <v>1377</v>
      </c>
      <c r="M35" s="18" t="s">
        <v>1354</v>
      </c>
    </row>
    <row r="36" spans="1:13" ht="12.75">
      <c r="A36" s="61">
        <v>5</v>
      </c>
      <c r="B36" s="24" t="s">
        <v>1385</v>
      </c>
      <c r="C36" s="24" t="s">
        <v>1386</v>
      </c>
      <c r="D36" s="24" t="s">
        <v>750</v>
      </c>
      <c r="E36" s="24" t="s">
        <v>1121</v>
      </c>
      <c r="F36" s="24" t="s">
        <v>148</v>
      </c>
      <c r="G36" s="56" t="s">
        <v>1314</v>
      </c>
      <c r="H36" s="56" t="s">
        <v>1351</v>
      </c>
      <c r="I36" s="58" t="s">
        <v>1365</v>
      </c>
      <c r="J36" s="58"/>
      <c r="K36" s="25"/>
      <c r="L36" s="56" t="s">
        <v>1351</v>
      </c>
      <c r="M36" s="18" t="s">
        <v>1193</v>
      </c>
    </row>
    <row r="37" spans="1:13" ht="12.75">
      <c r="A37" s="61">
        <v>1</v>
      </c>
      <c r="B37" s="24" t="s">
        <v>1324</v>
      </c>
      <c r="C37" s="24" t="s">
        <v>1387</v>
      </c>
      <c r="D37" s="24" t="s">
        <v>1372</v>
      </c>
      <c r="E37" s="24" t="s">
        <v>1121</v>
      </c>
      <c r="F37" s="24" t="s">
        <v>1322</v>
      </c>
      <c r="G37" s="56" t="s">
        <v>1364</v>
      </c>
      <c r="H37" s="56" t="s">
        <v>1357</v>
      </c>
      <c r="I37" s="56" t="s">
        <v>1377</v>
      </c>
      <c r="J37" s="56" t="s">
        <v>1358</v>
      </c>
      <c r="K37" s="25"/>
      <c r="L37" s="56" t="s">
        <v>1358</v>
      </c>
      <c r="M37" s="18" t="s">
        <v>1193</v>
      </c>
    </row>
    <row r="38" spans="1:13" ht="12.75">
      <c r="A38" s="61">
        <v>2</v>
      </c>
      <c r="B38" s="24" t="s">
        <v>374</v>
      </c>
      <c r="C38" s="24" t="s">
        <v>1388</v>
      </c>
      <c r="D38" s="24" t="s">
        <v>1389</v>
      </c>
      <c r="E38" s="24" t="s">
        <v>1291</v>
      </c>
      <c r="F38" s="24" t="s">
        <v>60</v>
      </c>
      <c r="G38" s="56" t="s">
        <v>1315</v>
      </c>
      <c r="H38" s="58" t="s">
        <v>1351</v>
      </c>
      <c r="I38" s="58"/>
      <c r="J38" s="58"/>
      <c r="K38" s="25"/>
      <c r="L38" s="56" t="s">
        <v>1315</v>
      </c>
      <c r="M38" s="18" t="s">
        <v>1193</v>
      </c>
    </row>
    <row r="39" spans="2:21" ht="15.75">
      <c r="B39" s="171" t="s">
        <v>138</v>
      </c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</row>
    <row r="40" spans="1:13" ht="12.75">
      <c r="A40" s="61">
        <v>1</v>
      </c>
      <c r="B40" s="24" t="s">
        <v>1390</v>
      </c>
      <c r="C40" s="24" t="s">
        <v>1391</v>
      </c>
      <c r="D40" s="24" t="s">
        <v>1392</v>
      </c>
      <c r="E40" s="24" t="s">
        <v>1121</v>
      </c>
      <c r="F40" s="24" t="s">
        <v>1184</v>
      </c>
      <c r="G40" s="56" t="s">
        <v>1360</v>
      </c>
      <c r="H40" s="56" t="s">
        <v>1393</v>
      </c>
      <c r="I40" s="58" t="s">
        <v>1394</v>
      </c>
      <c r="J40" s="58" t="s">
        <v>1394</v>
      </c>
      <c r="K40" s="25"/>
      <c r="L40" s="56" t="s">
        <v>1393</v>
      </c>
      <c r="M40" s="18" t="s">
        <v>1395</v>
      </c>
    </row>
    <row r="41" spans="1:13" ht="12.75">
      <c r="A41" s="61">
        <v>1</v>
      </c>
      <c r="B41" s="24" t="s">
        <v>1390</v>
      </c>
      <c r="C41" s="24" t="s">
        <v>1396</v>
      </c>
      <c r="D41" s="24" t="s">
        <v>1392</v>
      </c>
      <c r="E41" s="24" t="s">
        <v>1121</v>
      </c>
      <c r="F41" s="24" t="s">
        <v>1184</v>
      </c>
      <c r="G41" s="56" t="s">
        <v>1397</v>
      </c>
      <c r="H41" s="58" t="s">
        <v>1394</v>
      </c>
      <c r="I41" s="58"/>
      <c r="J41" s="58"/>
      <c r="K41" s="25"/>
      <c r="L41" s="56" t="s">
        <v>1397</v>
      </c>
      <c r="M41" s="18" t="s">
        <v>1395</v>
      </c>
    </row>
    <row r="42" spans="1:13" ht="12.75">
      <c r="A42" s="61">
        <v>2</v>
      </c>
      <c r="B42" s="24" t="s">
        <v>1398</v>
      </c>
      <c r="C42" s="24" t="s">
        <v>1399</v>
      </c>
      <c r="D42" s="24" t="s">
        <v>1400</v>
      </c>
      <c r="E42" s="24" t="s">
        <v>1313</v>
      </c>
      <c r="F42" s="24" t="s">
        <v>1401</v>
      </c>
      <c r="G42" s="56" t="s">
        <v>1357</v>
      </c>
      <c r="H42" s="56" t="s">
        <v>1359</v>
      </c>
      <c r="I42" s="56" t="s">
        <v>1360</v>
      </c>
      <c r="J42" s="58"/>
      <c r="K42" s="25"/>
      <c r="L42" s="56" t="s">
        <v>1360</v>
      </c>
      <c r="M42" s="18" t="s">
        <v>1193</v>
      </c>
    </row>
    <row r="43" spans="1:13" ht="12.75">
      <c r="A43" s="61">
        <v>3</v>
      </c>
      <c r="B43" s="24" t="s">
        <v>1402</v>
      </c>
      <c r="C43" s="24" t="s">
        <v>1403</v>
      </c>
      <c r="D43" s="24" t="s">
        <v>1404</v>
      </c>
      <c r="E43" s="24" t="s">
        <v>1313</v>
      </c>
      <c r="F43" s="24" t="s">
        <v>1405</v>
      </c>
      <c r="G43" s="56" t="s">
        <v>1357</v>
      </c>
      <c r="H43" s="58" t="s">
        <v>1377</v>
      </c>
      <c r="I43" s="58"/>
      <c r="J43" s="58"/>
      <c r="K43" s="25"/>
      <c r="L43" s="56" t="s">
        <v>1357</v>
      </c>
      <c r="M43" s="18" t="s">
        <v>1193</v>
      </c>
    </row>
    <row r="44" spans="1:13" ht="12.75">
      <c r="A44" s="61">
        <v>1</v>
      </c>
      <c r="B44" s="24" t="s">
        <v>1402</v>
      </c>
      <c r="C44" s="24" t="s">
        <v>1406</v>
      </c>
      <c r="D44" s="24" t="s">
        <v>1404</v>
      </c>
      <c r="E44" s="24" t="s">
        <v>1313</v>
      </c>
      <c r="F44" s="24" t="s">
        <v>1405</v>
      </c>
      <c r="G44" s="56" t="s">
        <v>1314</v>
      </c>
      <c r="H44" s="56" t="s">
        <v>1351</v>
      </c>
      <c r="I44" s="56" t="s">
        <v>1357</v>
      </c>
      <c r="J44" s="58" t="s">
        <v>1358</v>
      </c>
      <c r="K44" s="25"/>
      <c r="L44" s="56" t="s">
        <v>1357</v>
      </c>
      <c r="M44" s="18" t="s">
        <v>1193</v>
      </c>
    </row>
    <row r="45" spans="2:21" ht="15.75">
      <c r="B45" s="171" t="s">
        <v>166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</row>
    <row r="46" spans="1:13" ht="12.75">
      <c r="A46" s="61">
        <v>1</v>
      </c>
      <c r="B46" s="24" t="s">
        <v>1407</v>
      </c>
      <c r="C46" s="24" t="s">
        <v>1408</v>
      </c>
      <c r="D46" s="24" t="s">
        <v>437</v>
      </c>
      <c r="E46" s="24" t="s">
        <v>1291</v>
      </c>
      <c r="F46" s="24" t="s">
        <v>60</v>
      </c>
      <c r="G46" s="56" t="s">
        <v>1358</v>
      </c>
      <c r="H46" s="56" t="s">
        <v>1360</v>
      </c>
      <c r="I46" s="56" t="s">
        <v>1409</v>
      </c>
      <c r="J46" s="58" t="s">
        <v>1393</v>
      </c>
      <c r="K46" s="25"/>
      <c r="L46" s="56" t="s">
        <v>1409</v>
      </c>
      <c r="M46" s="18" t="s">
        <v>374</v>
      </c>
    </row>
    <row r="47" spans="1:13" ht="12.75">
      <c r="A47" s="61">
        <v>2</v>
      </c>
      <c r="B47" s="24" t="s">
        <v>927</v>
      </c>
      <c r="C47" s="24" t="s">
        <v>928</v>
      </c>
      <c r="D47" s="24" t="s">
        <v>1410</v>
      </c>
      <c r="E47" s="24" t="s">
        <v>1121</v>
      </c>
      <c r="F47" s="24" t="s">
        <v>148</v>
      </c>
      <c r="G47" s="56" t="s">
        <v>1307</v>
      </c>
      <c r="H47" s="56" t="s">
        <v>1305</v>
      </c>
      <c r="I47" s="58" t="s">
        <v>1364</v>
      </c>
      <c r="J47" s="58"/>
      <c r="K47" s="25"/>
      <c r="L47" s="56" t="s">
        <v>1305</v>
      </c>
      <c r="M47" s="18" t="s">
        <v>1193</v>
      </c>
    </row>
    <row r="49" spans="1:6" ht="18">
      <c r="A49" s="38"/>
      <c r="B49" s="6" t="s">
        <v>7</v>
      </c>
      <c r="C49" s="7"/>
      <c r="D49" s="1"/>
      <c r="E49" s="1"/>
      <c r="F49" s="5"/>
    </row>
    <row r="50" spans="1:6" ht="15.75">
      <c r="A50" s="38"/>
      <c r="B50" s="52" t="s">
        <v>189</v>
      </c>
      <c r="C50" s="8"/>
      <c r="D50" s="1"/>
      <c r="E50" s="1"/>
      <c r="F50" s="5"/>
    </row>
    <row r="51" spans="1:6" ht="13.5">
      <c r="A51" s="38"/>
      <c r="B51" s="53" t="s">
        <v>1411</v>
      </c>
      <c r="C51" s="13"/>
      <c r="D51" s="1"/>
      <c r="E51" s="1"/>
      <c r="F51" s="5"/>
    </row>
    <row r="52" spans="1:6" ht="13.5">
      <c r="A52" s="38"/>
      <c r="B52" s="14" t="s">
        <v>176</v>
      </c>
      <c r="C52" s="14" t="s">
        <v>177</v>
      </c>
      <c r="D52" s="14" t="s">
        <v>178</v>
      </c>
      <c r="E52" s="14" t="s">
        <v>179</v>
      </c>
      <c r="F52" s="5"/>
    </row>
    <row r="53" spans="1:6" ht="12.75">
      <c r="A53" s="38" t="s">
        <v>1076</v>
      </c>
      <c r="B53" s="34" t="s">
        <v>1390</v>
      </c>
      <c r="C53" s="1" t="s">
        <v>1412</v>
      </c>
      <c r="D53" s="1" t="s">
        <v>1079</v>
      </c>
      <c r="E53" s="38" t="s">
        <v>1393</v>
      </c>
      <c r="F53" s="5"/>
    </row>
    <row r="54" spans="1:6" ht="12.75">
      <c r="A54" s="38" t="s">
        <v>1102</v>
      </c>
      <c r="B54" s="131" t="s">
        <v>1349</v>
      </c>
      <c r="C54" s="1" t="s">
        <v>1412</v>
      </c>
      <c r="D54" s="1" t="s">
        <v>1284</v>
      </c>
      <c r="E54" s="38" t="s">
        <v>1344</v>
      </c>
      <c r="F54" s="4"/>
    </row>
    <row r="55" spans="1:6" ht="12.75">
      <c r="A55" s="38" t="s">
        <v>1103</v>
      </c>
      <c r="B55" s="131" t="s">
        <v>1310</v>
      </c>
      <c r="C55" s="1" t="s">
        <v>1412</v>
      </c>
      <c r="D55" s="1" t="s">
        <v>1413</v>
      </c>
      <c r="E55" s="38" t="s">
        <v>1315</v>
      </c>
      <c r="F55" s="4"/>
    </row>
    <row r="56" spans="2:5" ht="12.75">
      <c r="B56" s="131" t="s">
        <v>1337</v>
      </c>
      <c r="C56" s="1" t="s">
        <v>1412</v>
      </c>
      <c r="D56" s="132">
        <v>80</v>
      </c>
      <c r="E56" s="139">
        <v>65.5</v>
      </c>
    </row>
    <row r="57" spans="2:5" ht="12.75">
      <c r="B57" s="131" t="s">
        <v>983</v>
      </c>
      <c r="C57" s="1" t="s">
        <v>1412</v>
      </c>
      <c r="D57" s="132">
        <v>70</v>
      </c>
      <c r="E57" s="140">
        <v>63</v>
      </c>
    </row>
    <row r="58" spans="2:5" ht="12.75">
      <c r="B58" s="131" t="s">
        <v>1319</v>
      </c>
      <c r="C58" s="1" t="s">
        <v>1412</v>
      </c>
      <c r="D58" s="132">
        <v>70</v>
      </c>
      <c r="E58" s="139">
        <v>55.5</v>
      </c>
    </row>
    <row r="59" spans="2:5" ht="12.75">
      <c r="B59" s="131" t="s">
        <v>1328</v>
      </c>
      <c r="C59" s="1" t="s">
        <v>1412</v>
      </c>
      <c r="D59" s="132">
        <v>90</v>
      </c>
      <c r="E59" s="139">
        <v>50.5</v>
      </c>
    </row>
    <row r="61" spans="1:5" ht="15.75">
      <c r="A61" s="38"/>
      <c r="B61" s="52" t="s">
        <v>189</v>
      </c>
      <c r="C61" s="8"/>
      <c r="D61" s="1"/>
      <c r="E61" s="1"/>
    </row>
    <row r="62" spans="1:5" ht="13.5">
      <c r="A62" s="38"/>
      <c r="B62" s="53" t="s">
        <v>1414</v>
      </c>
      <c r="C62" s="13"/>
      <c r="D62" s="1"/>
      <c r="E62" s="1"/>
    </row>
    <row r="63" spans="1:5" ht="13.5">
      <c r="A63" s="38"/>
      <c r="B63" s="14" t="s">
        <v>176</v>
      </c>
      <c r="C63" s="14" t="s">
        <v>177</v>
      </c>
      <c r="D63" s="14" t="s">
        <v>178</v>
      </c>
      <c r="E63" s="14" t="s">
        <v>179</v>
      </c>
    </row>
    <row r="64" spans="1:5" ht="12.75">
      <c r="A64" s="38" t="s">
        <v>1076</v>
      </c>
      <c r="B64" s="34" t="s">
        <v>1390</v>
      </c>
      <c r="C64" s="1" t="s">
        <v>1415</v>
      </c>
      <c r="D64" s="1" t="s">
        <v>1079</v>
      </c>
      <c r="E64" s="38" t="s">
        <v>1397</v>
      </c>
    </row>
    <row r="65" spans="1:5" ht="12.75">
      <c r="A65" s="61">
        <v>2</v>
      </c>
      <c r="B65" t="s">
        <v>1407</v>
      </c>
      <c r="C65" s="132" t="s">
        <v>1415</v>
      </c>
      <c r="D65" s="132">
        <v>125</v>
      </c>
      <c r="E65" s="140">
        <v>103</v>
      </c>
    </row>
    <row r="66" spans="1:5" ht="12.75">
      <c r="A66" s="61">
        <v>3</v>
      </c>
      <c r="B66" t="s">
        <v>1398</v>
      </c>
      <c r="C66" s="132" t="s">
        <v>1415</v>
      </c>
      <c r="D66" s="132">
        <v>110</v>
      </c>
      <c r="E66" s="140">
        <v>98</v>
      </c>
    </row>
    <row r="67" spans="2:5" ht="12.75">
      <c r="B67" t="s">
        <v>1354</v>
      </c>
      <c r="C67" s="1" t="s">
        <v>1415</v>
      </c>
      <c r="D67" s="132">
        <v>90</v>
      </c>
      <c r="E67" s="140">
        <v>93</v>
      </c>
    </row>
    <row r="68" spans="2:5" ht="12.75">
      <c r="B68" t="s">
        <v>1324</v>
      </c>
      <c r="C68" s="132" t="s">
        <v>1415</v>
      </c>
      <c r="D68" s="132">
        <v>100</v>
      </c>
      <c r="E68" s="140">
        <v>93</v>
      </c>
    </row>
    <row r="69" spans="2:5" ht="12.75">
      <c r="B69" t="s">
        <v>1374</v>
      </c>
      <c r="C69" s="132" t="s">
        <v>1415</v>
      </c>
      <c r="D69" s="132">
        <v>100</v>
      </c>
      <c r="E69" s="140">
        <v>90.5</v>
      </c>
    </row>
    <row r="70" spans="2:5" ht="12.75">
      <c r="B70" t="s">
        <v>1379</v>
      </c>
      <c r="C70" s="132" t="s">
        <v>1415</v>
      </c>
      <c r="D70" s="132">
        <v>100</v>
      </c>
      <c r="E70" s="140">
        <v>90.5</v>
      </c>
    </row>
    <row r="71" spans="2:5" ht="12.75">
      <c r="B71" t="s">
        <v>1383</v>
      </c>
      <c r="C71" s="132" t="s">
        <v>1415</v>
      </c>
      <c r="D71" s="132">
        <v>100</v>
      </c>
      <c r="E71" s="140">
        <v>88</v>
      </c>
    </row>
    <row r="72" spans="2:5" ht="12.75">
      <c r="B72" t="s">
        <v>1402</v>
      </c>
      <c r="C72" s="132" t="s">
        <v>1415</v>
      </c>
      <c r="D72" s="132">
        <v>110</v>
      </c>
      <c r="E72" s="140">
        <v>85.5</v>
      </c>
    </row>
    <row r="73" spans="2:5" ht="12.75">
      <c r="B73" t="s">
        <v>1361</v>
      </c>
      <c r="C73" s="132" t="s">
        <v>1415</v>
      </c>
      <c r="D73" s="132">
        <v>90</v>
      </c>
      <c r="E73" s="140">
        <v>80.5</v>
      </c>
    </row>
    <row r="74" spans="2:5" ht="12.75">
      <c r="B74" t="s">
        <v>1385</v>
      </c>
      <c r="C74" s="132" t="s">
        <v>1415</v>
      </c>
      <c r="D74" s="132">
        <v>110</v>
      </c>
      <c r="E74" s="140">
        <v>78</v>
      </c>
    </row>
    <row r="75" spans="2:5" ht="12.75">
      <c r="B75" t="s">
        <v>1366</v>
      </c>
      <c r="C75" s="132" t="s">
        <v>1415</v>
      </c>
      <c r="D75" s="132">
        <v>90</v>
      </c>
      <c r="E75" s="140">
        <v>73</v>
      </c>
    </row>
    <row r="76" spans="2:5" ht="12.75">
      <c r="B76" t="s">
        <v>659</v>
      </c>
      <c r="C76" s="132" t="s">
        <v>1415</v>
      </c>
      <c r="D76" s="132">
        <v>70</v>
      </c>
      <c r="E76" s="140">
        <v>70.5</v>
      </c>
    </row>
    <row r="77" spans="2:5" ht="12.75">
      <c r="B77" t="s">
        <v>1341</v>
      </c>
      <c r="C77" s="132" t="s">
        <v>1415</v>
      </c>
      <c r="D77" s="132">
        <v>80</v>
      </c>
      <c r="E77" s="140">
        <v>70.5</v>
      </c>
    </row>
    <row r="78" spans="2:5" ht="12.75">
      <c r="B78" t="s">
        <v>1369</v>
      </c>
      <c r="C78" s="132" t="s">
        <v>1415</v>
      </c>
      <c r="D78" s="132">
        <v>90</v>
      </c>
      <c r="E78" s="140">
        <v>70.5</v>
      </c>
    </row>
    <row r="79" spans="2:5" ht="12.75">
      <c r="B79" t="s">
        <v>927</v>
      </c>
      <c r="C79" s="132" t="s">
        <v>1415</v>
      </c>
      <c r="D79" s="132">
        <v>125</v>
      </c>
      <c r="E79" s="140">
        <v>70.5</v>
      </c>
    </row>
    <row r="80" spans="2:5" ht="12.75">
      <c r="B80" t="s">
        <v>1330</v>
      </c>
      <c r="C80" s="132" t="s">
        <v>1415</v>
      </c>
      <c r="D80" s="132">
        <v>70</v>
      </c>
      <c r="E80" s="140">
        <v>63</v>
      </c>
    </row>
  </sheetData>
  <sheetProtection/>
  <mergeCells count="21">
    <mergeCell ref="B45:U45"/>
    <mergeCell ref="B24:U24"/>
    <mergeCell ref="B6:U6"/>
    <mergeCell ref="B19:U19"/>
    <mergeCell ref="B12:U12"/>
    <mergeCell ref="N3:N4"/>
    <mergeCell ref="B39:U39"/>
    <mergeCell ref="A11:T11"/>
    <mergeCell ref="B9:U9"/>
    <mergeCell ref="B5:U5"/>
    <mergeCell ref="L3:L4"/>
    <mergeCell ref="B31:U31"/>
    <mergeCell ref="G3:K3"/>
    <mergeCell ref="B1:N2"/>
    <mergeCell ref="B3:B4"/>
    <mergeCell ref="C3:C4"/>
    <mergeCell ref="D3:D4"/>
    <mergeCell ref="E3:E4"/>
    <mergeCell ref="M3:M4"/>
    <mergeCell ref="F3:F4"/>
    <mergeCell ref="J4:K4"/>
  </mergeCells>
  <printOptions/>
  <pageMargins left="0.7" right="0.7" top="0.75" bottom="0.75" header="0.3" footer="0.3"/>
  <pageSetup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74"/>
  <sheetViews>
    <sheetView workbookViewId="0" topLeftCell="A24">
      <selection activeCell="B9" sqref="B9"/>
    </sheetView>
  </sheetViews>
  <sheetFormatPr defaultColWidth="8.75390625" defaultRowHeight="12.75"/>
  <cols>
    <col min="1" max="1" width="2.875" style="0" customWidth="1"/>
    <col min="2" max="2" width="23.625" style="0" customWidth="1"/>
    <col min="3" max="3" width="27.625" style="0" customWidth="1"/>
    <col min="4" max="4" width="11.00390625" style="0" customWidth="1"/>
    <col min="5" max="5" width="24.25390625" style="0" customWidth="1"/>
    <col min="6" max="6" width="37.875" style="0" customWidth="1"/>
    <col min="7" max="8" width="8.75390625" style="0" customWidth="1"/>
    <col min="9" max="9" width="7.875" style="0" customWidth="1"/>
    <col min="10" max="10" width="8.25390625" style="0" customWidth="1"/>
    <col min="11" max="11" width="9.125" style="0" hidden="1" customWidth="1"/>
    <col min="12" max="12" width="8.75390625" style="0" customWidth="1"/>
    <col min="13" max="13" width="21.25390625" style="0" customWidth="1"/>
    <col min="14" max="14" width="0.12890625" style="0" hidden="1" customWidth="1"/>
    <col min="15" max="21" width="9.125" style="0" hidden="1" customWidth="1"/>
  </cols>
  <sheetData>
    <row r="1" spans="1:21" ht="12.75">
      <c r="A1" s="38"/>
      <c r="B1" s="162" t="s">
        <v>1416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79"/>
      <c r="O1" s="1"/>
      <c r="P1" s="1"/>
      <c r="Q1" s="1"/>
      <c r="R1" s="1"/>
      <c r="S1" s="1"/>
      <c r="T1" s="1"/>
      <c r="U1" s="1"/>
    </row>
    <row r="2" spans="1:21" ht="75" customHeight="1" thickBot="1">
      <c r="A2" s="38"/>
      <c r="B2" s="164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80"/>
      <c r="O2" s="1"/>
      <c r="P2" s="1"/>
      <c r="Q2" s="1"/>
      <c r="R2" s="1"/>
      <c r="S2" s="1"/>
      <c r="T2" s="1"/>
      <c r="U2" s="1"/>
    </row>
    <row r="3" spans="1:21" ht="13.5">
      <c r="A3" s="2"/>
      <c r="B3" s="166" t="s">
        <v>0</v>
      </c>
      <c r="C3" s="168" t="s">
        <v>1108</v>
      </c>
      <c r="D3" s="170" t="s">
        <v>1109</v>
      </c>
      <c r="E3" s="191" t="s">
        <v>4</v>
      </c>
      <c r="F3" s="191" t="s">
        <v>6</v>
      </c>
      <c r="G3" s="182" t="s">
        <v>1417</v>
      </c>
      <c r="H3" s="183"/>
      <c r="I3" s="183"/>
      <c r="J3" s="183"/>
      <c r="K3" s="184"/>
      <c r="L3" s="191" t="s">
        <v>2</v>
      </c>
      <c r="M3" s="193" t="s">
        <v>3</v>
      </c>
      <c r="N3" s="160" t="s">
        <v>3</v>
      </c>
      <c r="O3" s="2"/>
      <c r="P3" s="2"/>
      <c r="Q3" s="2"/>
      <c r="R3" s="2"/>
      <c r="S3" s="2"/>
      <c r="T3" s="2"/>
      <c r="U3" s="2"/>
    </row>
    <row r="4" spans="1:21" ht="15" thickBot="1">
      <c r="A4" s="2"/>
      <c r="B4" s="167"/>
      <c r="C4" s="169"/>
      <c r="D4" s="169"/>
      <c r="E4" s="192"/>
      <c r="F4" s="192"/>
      <c r="G4" s="3">
        <v>1</v>
      </c>
      <c r="H4" s="3">
        <v>2</v>
      </c>
      <c r="I4" s="3">
        <v>3</v>
      </c>
      <c r="J4" s="185" t="s">
        <v>1286</v>
      </c>
      <c r="K4" s="186"/>
      <c r="L4" s="192"/>
      <c r="M4" s="194"/>
      <c r="N4" s="161"/>
      <c r="O4" s="2"/>
      <c r="P4" s="2"/>
      <c r="Q4" s="2"/>
      <c r="R4" s="2"/>
      <c r="S4" s="2"/>
      <c r="T4" s="2"/>
      <c r="U4" s="2"/>
    </row>
    <row r="5" spans="1:21" ht="15.75">
      <c r="A5" s="61"/>
      <c r="B5" s="171" t="s">
        <v>1052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</row>
    <row r="6" spans="1:21" ht="15.75">
      <c r="A6" s="61"/>
      <c r="B6" s="171" t="s">
        <v>257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</row>
    <row r="7" spans="1:21" ht="12.75">
      <c r="A7" s="61">
        <v>1</v>
      </c>
      <c r="B7" s="24" t="s">
        <v>249</v>
      </c>
      <c r="C7" s="24" t="s">
        <v>1289</v>
      </c>
      <c r="D7" s="24" t="s">
        <v>1290</v>
      </c>
      <c r="E7" s="24" t="s">
        <v>1291</v>
      </c>
      <c r="F7" s="24" t="s">
        <v>60</v>
      </c>
      <c r="G7" s="56" t="s">
        <v>233</v>
      </c>
      <c r="H7" s="56" t="s">
        <v>17</v>
      </c>
      <c r="I7" s="56" t="s">
        <v>31</v>
      </c>
      <c r="J7" s="56" t="s">
        <v>19</v>
      </c>
      <c r="K7" s="25"/>
      <c r="L7" s="56" t="s">
        <v>19</v>
      </c>
      <c r="M7" s="18" t="s">
        <v>374</v>
      </c>
      <c r="N7" s="18" t="s">
        <v>247</v>
      </c>
      <c r="O7" s="28"/>
      <c r="P7" s="28"/>
      <c r="Q7" s="28"/>
      <c r="R7" s="28"/>
      <c r="S7" s="28"/>
      <c r="T7" s="28"/>
      <c r="U7" s="28"/>
    </row>
    <row r="8" spans="1:13" ht="12.75">
      <c r="A8" s="61">
        <v>2</v>
      </c>
      <c r="B8" s="24" t="s">
        <v>262</v>
      </c>
      <c r="C8" s="24" t="s">
        <v>1418</v>
      </c>
      <c r="D8" s="24" t="s">
        <v>628</v>
      </c>
      <c r="E8" s="24" t="s">
        <v>1291</v>
      </c>
      <c r="F8" s="24" t="s">
        <v>60</v>
      </c>
      <c r="G8" s="56" t="s">
        <v>254</v>
      </c>
      <c r="H8" s="56" t="s">
        <v>234</v>
      </c>
      <c r="I8" s="58" t="s">
        <v>31</v>
      </c>
      <c r="J8" s="58" t="s">
        <v>31</v>
      </c>
      <c r="K8" s="25"/>
      <c r="L8" s="56" t="s">
        <v>234</v>
      </c>
      <c r="M8" s="18" t="s">
        <v>708</v>
      </c>
    </row>
    <row r="9" spans="1:13" ht="12.75">
      <c r="A9" s="61">
        <v>1</v>
      </c>
      <c r="B9" s="24" t="s">
        <v>281</v>
      </c>
      <c r="C9" s="24" t="s">
        <v>282</v>
      </c>
      <c r="D9" s="24" t="s">
        <v>1298</v>
      </c>
      <c r="E9" s="24" t="s">
        <v>1291</v>
      </c>
      <c r="F9" s="24" t="s">
        <v>60</v>
      </c>
      <c r="G9" s="56" t="s">
        <v>32</v>
      </c>
      <c r="H9" s="56" t="s">
        <v>239</v>
      </c>
      <c r="I9" s="56" t="s">
        <v>275</v>
      </c>
      <c r="J9" s="58" t="s">
        <v>61</v>
      </c>
      <c r="K9" s="25"/>
      <c r="L9" s="56" t="s">
        <v>275</v>
      </c>
      <c r="M9" s="18" t="s">
        <v>374</v>
      </c>
    </row>
    <row r="10" spans="1:13" ht="12.75">
      <c r="A10" s="125">
        <v>2</v>
      </c>
      <c r="B10" s="24" t="s">
        <v>1047</v>
      </c>
      <c r="C10" s="24" t="s">
        <v>1048</v>
      </c>
      <c r="D10" s="24" t="s">
        <v>1049</v>
      </c>
      <c r="E10" s="24" t="s">
        <v>1333</v>
      </c>
      <c r="F10" s="24" t="s">
        <v>152</v>
      </c>
      <c r="G10" s="56" t="s">
        <v>233</v>
      </c>
      <c r="H10" s="56" t="s">
        <v>31</v>
      </c>
      <c r="I10" s="56" t="s">
        <v>19</v>
      </c>
      <c r="J10" s="56" t="s">
        <v>32</v>
      </c>
      <c r="K10" s="25"/>
      <c r="L10" s="56" t="s">
        <v>32</v>
      </c>
      <c r="M10" s="18" t="s">
        <v>1354</v>
      </c>
    </row>
    <row r="11" spans="2:21" ht="15.75">
      <c r="B11" s="171" t="s">
        <v>1302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</row>
    <row r="12" spans="1:13" ht="12.75">
      <c r="A12" s="61">
        <v>1</v>
      </c>
      <c r="B12" s="24" t="s">
        <v>481</v>
      </c>
      <c r="C12" s="24" t="s">
        <v>882</v>
      </c>
      <c r="D12" s="24" t="s">
        <v>1303</v>
      </c>
      <c r="E12" s="24" t="s">
        <v>1121</v>
      </c>
      <c r="F12" s="24" t="s">
        <v>1188</v>
      </c>
      <c r="G12" s="56" t="s">
        <v>239</v>
      </c>
      <c r="H12" s="56" t="s">
        <v>61</v>
      </c>
      <c r="I12" s="58" t="s">
        <v>53</v>
      </c>
      <c r="J12" s="58" t="s">
        <v>53</v>
      </c>
      <c r="K12" s="25"/>
      <c r="L12" s="56" t="s">
        <v>61</v>
      </c>
      <c r="M12" s="18" t="s">
        <v>1304</v>
      </c>
    </row>
    <row r="13" spans="1:13" ht="12.75">
      <c r="A13" s="125">
        <v>1</v>
      </c>
      <c r="B13" s="24" t="s">
        <v>875</v>
      </c>
      <c r="C13" s="24" t="s">
        <v>876</v>
      </c>
      <c r="D13" s="24" t="s">
        <v>652</v>
      </c>
      <c r="E13" s="24" t="s">
        <v>1121</v>
      </c>
      <c r="F13" s="24" t="s">
        <v>1419</v>
      </c>
      <c r="G13" s="56" t="s">
        <v>31</v>
      </c>
      <c r="H13" s="56" t="s">
        <v>32</v>
      </c>
      <c r="I13" s="58" t="s">
        <v>238</v>
      </c>
      <c r="J13" s="58" t="s">
        <v>238</v>
      </c>
      <c r="K13" s="25"/>
      <c r="L13" s="56" t="s">
        <v>32</v>
      </c>
      <c r="M13" s="18" t="s">
        <v>935</v>
      </c>
    </row>
    <row r="14" spans="2:21" ht="15.75">
      <c r="B14" s="171" t="s">
        <v>1053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</row>
    <row r="15" spans="2:21" ht="15.75">
      <c r="B15" s="171" t="s">
        <v>1309</v>
      </c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</row>
    <row r="16" spans="1:13" ht="12.75">
      <c r="A16" s="61">
        <v>1</v>
      </c>
      <c r="B16" s="24" t="s">
        <v>1319</v>
      </c>
      <c r="C16" s="24" t="s">
        <v>1320</v>
      </c>
      <c r="D16" s="24" t="s">
        <v>1321</v>
      </c>
      <c r="E16" s="24" t="s">
        <v>1121</v>
      </c>
      <c r="F16" s="24" t="s">
        <v>1322</v>
      </c>
      <c r="G16" s="56" t="s">
        <v>61</v>
      </c>
      <c r="H16" s="56" t="s">
        <v>16</v>
      </c>
      <c r="I16" s="56" t="s">
        <v>29</v>
      </c>
      <c r="J16" s="58" t="s">
        <v>34</v>
      </c>
      <c r="K16" s="25"/>
      <c r="L16" s="56" t="s">
        <v>29</v>
      </c>
      <c r="M16" s="18" t="s">
        <v>1324</v>
      </c>
    </row>
    <row r="17" spans="1:13" ht="12.75">
      <c r="A17" s="125">
        <v>2</v>
      </c>
      <c r="B17" s="24" t="s">
        <v>983</v>
      </c>
      <c r="C17" s="24" t="s">
        <v>1317</v>
      </c>
      <c r="D17" s="24" t="s">
        <v>1316</v>
      </c>
      <c r="E17" s="24" t="s">
        <v>1313</v>
      </c>
      <c r="F17" s="24" t="s">
        <v>662</v>
      </c>
      <c r="G17" s="56" t="s">
        <v>61</v>
      </c>
      <c r="H17" s="56" t="s">
        <v>53</v>
      </c>
      <c r="I17" s="56" t="s">
        <v>16</v>
      </c>
      <c r="J17" s="58" t="s">
        <v>34</v>
      </c>
      <c r="K17" s="25"/>
      <c r="L17" s="56" t="s">
        <v>16</v>
      </c>
      <c r="M17" s="18" t="s">
        <v>1011</v>
      </c>
    </row>
    <row r="18" spans="1:13" ht="12.75">
      <c r="A18" s="125">
        <v>3</v>
      </c>
      <c r="B18" s="24" t="s">
        <v>1310</v>
      </c>
      <c r="C18" s="24" t="s">
        <v>1311</v>
      </c>
      <c r="D18" s="24" t="s">
        <v>1312</v>
      </c>
      <c r="E18" s="24" t="s">
        <v>1313</v>
      </c>
      <c r="F18" s="24" t="s">
        <v>662</v>
      </c>
      <c r="G18" s="56" t="s">
        <v>53</v>
      </c>
      <c r="H18" s="56" t="s">
        <v>16</v>
      </c>
      <c r="I18" s="58" t="s">
        <v>34</v>
      </c>
      <c r="J18" s="58" t="s">
        <v>34</v>
      </c>
      <c r="K18" s="25"/>
      <c r="L18" s="56" t="s">
        <v>16</v>
      </c>
      <c r="M18" s="18" t="s">
        <v>1011</v>
      </c>
    </row>
    <row r="19" spans="1:13" ht="12.75">
      <c r="A19" s="125">
        <v>4</v>
      </c>
      <c r="B19" s="24" t="s">
        <v>1325</v>
      </c>
      <c r="C19" s="24" t="s">
        <v>1326</v>
      </c>
      <c r="D19" s="24" t="s">
        <v>1327</v>
      </c>
      <c r="E19" s="24" t="s">
        <v>1121</v>
      </c>
      <c r="F19" s="24" t="s">
        <v>28</v>
      </c>
      <c r="G19" s="56" t="s">
        <v>31</v>
      </c>
      <c r="H19" s="58" t="s">
        <v>53</v>
      </c>
      <c r="I19" s="58"/>
      <c r="J19" s="58"/>
      <c r="K19" s="25"/>
      <c r="L19" s="56" t="s">
        <v>31</v>
      </c>
      <c r="M19" s="18" t="s">
        <v>1328</v>
      </c>
    </row>
    <row r="20" spans="1:13" ht="12.75">
      <c r="A20" s="125">
        <v>1</v>
      </c>
      <c r="B20" s="24" t="s">
        <v>659</v>
      </c>
      <c r="C20" s="24" t="s">
        <v>660</v>
      </c>
      <c r="D20" s="24" t="s">
        <v>1329</v>
      </c>
      <c r="E20" s="24" t="s">
        <v>1313</v>
      </c>
      <c r="F20" s="24" t="s">
        <v>662</v>
      </c>
      <c r="G20" s="56" t="s">
        <v>53</v>
      </c>
      <c r="H20" s="56" t="s">
        <v>16</v>
      </c>
      <c r="I20" s="56" t="s">
        <v>34</v>
      </c>
      <c r="J20" s="58"/>
      <c r="K20" s="25"/>
      <c r="L20" s="56" t="s">
        <v>34</v>
      </c>
      <c r="M20" s="18" t="s">
        <v>1011</v>
      </c>
    </row>
    <row r="21" spans="1:13" ht="12.75">
      <c r="A21" s="125">
        <v>2</v>
      </c>
      <c r="B21" s="24" t="s">
        <v>1319</v>
      </c>
      <c r="C21" s="24" t="s">
        <v>1420</v>
      </c>
      <c r="D21" s="24" t="s">
        <v>1321</v>
      </c>
      <c r="E21" s="24" t="s">
        <v>1121</v>
      </c>
      <c r="F21" s="24" t="s">
        <v>1322</v>
      </c>
      <c r="G21" s="56" t="s">
        <v>61</v>
      </c>
      <c r="H21" s="56" t="s">
        <v>16</v>
      </c>
      <c r="I21" s="56" t="s">
        <v>29</v>
      </c>
      <c r="J21" s="58" t="s">
        <v>34</v>
      </c>
      <c r="K21" s="25"/>
      <c r="L21" s="56" t="s">
        <v>29</v>
      </c>
      <c r="M21" s="18" t="s">
        <v>1324</v>
      </c>
    </row>
    <row r="22" spans="2:21" ht="15.75">
      <c r="B22" s="171" t="s">
        <v>1334</v>
      </c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</row>
    <row r="23" spans="1:13" ht="12.75">
      <c r="A23" s="125">
        <v>1</v>
      </c>
      <c r="B23" s="24" t="s">
        <v>998</v>
      </c>
      <c r="C23" s="24" t="s">
        <v>1335</v>
      </c>
      <c r="D23" s="24" t="s">
        <v>1336</v>
      </c>
      <c r="E23" s="24" t="s">
        <v>1313</v>
      </c>
      <c r="F23" s="24" t="s">
        <v>662</v>
      </c>
      <c r="G23" s="56" t="s">
        <v>16</v>
      </c>
      <c r="H23" s="56" t="s">
        <v>34</v>
      </c>
      <c r="I23" s="56" t="s">
        <v>35</v>
      </c>
      <c r="J23" s="58" t="s">
        <v>91</v>
      </c>
      <c r="K23" s="25"/>
      <c r="L23" s="56" t="s">
        <v>35</v>
      </c>
      <c r="M23" s="18" t="s">
        <v>1011</v>
      </c>
    </row>
    <row r="24" spans="1:13" ht="12.75">
      <c r="A24" s="125">
        <v>2</v>
      </c>
      <c r="B24" s="138" t="s">
        <v>1003</v>
      </c>
      <c r="C24" s="24" t="s">
        <v>1421</v>
      </c>
      <c r="D24" s="24" t="s">
        <v>1005</v>
      </c>
      <c r="E24" s="24" t="s">
        <v>1291</v>
      </c>
      <c r="F24" s="24" t="s">
        <v>60</v>
      </c>
      <c r="G24" s="56" t="s">
        <v>16</v>
      </c>
      <c r="H24" s="56" t="s">
        <v>34</v>
      </c>
      <c r="I24" s="58" t="s">
        <v>35</v>
      </c>
      <c r="J24" s="58" t="s">
        <v>35</v>
      </c>
      <c r="K24" s="25"/>
      <c r="L24" s="56" t="s">
        <v>34</v>
      </c>
      <c r="M24" s="18" t="s">
        <v>374</v>
      </c>
    </row>
    <row r="25" spans="1:13" ht="12.75">
      <c r="A25" s="125">
        <v>1</v>
      </c>
      <c r="B25" s="138" t="s">
        <v>693</v>
      </c>
      <c r="C25" s="24" t="s">
        <v>1422</v>
      </c>
      <c r="D25" s="24" t="s">
        <v>1423</v>
      </c>
      <c r="E25" s="24" t="s">
        <v>1291</v>
      </c>
      <c r="F25" s="24" t="s">
        <v>60</v>
      </c>
      <c r="G25" s="56" t="s">
        <v>34</v>
      </c>
      <c r="H25" s="56" t="s">
        <v>30</v>
      </c>
      <c r="I25" s="58" t="s">
        <v>35</v>
      </c>
      <c r="J25" s="58" t="s">
        <v>35</v>
      </c>
      <c r="K25" s="25"/>
      <c r="L25" s="56" t="s">
        <v>30</v>
      </c>
      <c r="M25" s="18" t="s">
        <v>374</v>
      </c>
    </row>
    <row r="26" spans="2:21" ht="15.75">
      <c r="B26" s="171" t="s">
        <v>100</v>
      </c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</row>
    <row r="27" spans="1:13" ht="12.75">
      <c r="A27" s="61">
        <v>1</v>
      </c>
      <c r="B27" s="24" t="s">
        <v>1424</v>
      </c>
      <c r="C27" s="24" t="s">
        <v>1425</v>
      </c>
      <c r="D27" s="24" t="s">
        <v>1426</v>
      </c>
      <c r="E27" s="24" t="s">
        <v>1121</v>
      </c>
      <c r="F27" s="24" t="s">
        <v>1427</v>
      </c>
      <c r="G27" s="56" t="s">
        <v>34</v>
      </c>
      <c r="H27" s="56" t="s">
        <v>35</v>
      </c>
      <c r="I27" s="56" t="s">
        <v>137</v>
      </c>
      <c r="J27" s="58" t="s">
        <v>302</v>
      </c>
      <c r="K27" s="25"/>
      <c r="L27" s="56" t="s">
        <v>137</v>
      </c>
      <c r="M27" s="18" t="s">
        <v>856</v>
      </c>
    </row>
    <row r="28" spans="1:13" ht="12.75">
      <c r="A28" s="61">
        <v>2</v>
      </c>
      <c r="B28" s="24" t="s">
        <v>1328</v>
      </c>
      <c r="C28" s="24" t="s">
        <v>1352</v>
      </c>
      <c r="D28" s="24" t="s">
        <v>1353</v>
      </c>
      <c r="E28" s="24" t="s">
        <v>1121</v>
      </c>
      <c r="F28" s="24" t="s">
        <v>28</v>
      </c>
      <c r="G28" s="58" t="s">
        <v>61</v>
      </c>
      <c r="H28" s="58" t="s">
        <v>61</v>
      </c>
      <c r="I28" s="58"/>
      <c r="J28" s="58"/>
      <c r="K28" s="25"/>
      <c r="L28" s="60">
        <v>0</v>
      </c>
      <c r="M28" s="18" t="s">
        <v>1193</v>
      </c>
    </row>
    <row r="29" spans="1:13" ht="12.75">
      <c r="A29" s="61">
        <v>1</v>
      </c>
      <c r="B29" s="24" t="s">
        <v>1354</v>
      </c>
      <c r="C29" s="24" t="s">
        <v>1355</v>
      </c>
      <c r="D29" s="24" t="s">
        <v>1356</v>
      </c>
      <c r="E29" s="24" t="s">
        <v>1333</v>
      </c>
      <c r="F29" s="24" t="s">
        <v>152</v>
      </c>
      <c r="G29" s="56" t="s">
        <v>16</v>
      </c>
      <c r="H29" s="56" t="s">
        <v>91</v>
      </c>
      <c r="I29" s="56" t="s">
        <v>72</v>
      </c>
      <c r="J29" s="56" t="s">
        <v>52</v>
      </c>
      <c r="K29" s="25"/>
      <c r="L29" s="56" t="s">
        <v>52</v>
      </c>
      <c r="M29" s="18" t="s">
        <v>1193</v>
      </c>
    </row>
    <row r="30" spans="1:13" ht="12.75">
      <c r="A30" s="61">
        <v>1</v>
      </c>
      <c r="B30" s="22" t="s">
        <v>1011</v>
      </c>
      <c r="C30" s="22" t="s">
        <v>1428</v>
      </c>
      <c r="D30" s="22" t="s">
        <v>899</v>
      </c>
      <c r="E30" s="24" t="s">
        <v>1313</v>
      </c>
      <c r="F30" s="24" t="s">
        <v>662</v>
      </c>
      <c r="G30" s="56" t="s">
        <v>53</v>
      </c>
      <c r="H30" s="56" t="s">
        <v>16</v>
      </c>
      <c r="I30" s="56" t="s">
        <v>34</v>
      </c>
      <c r="J30" s="58" t="s">
        <v>35</v>
      </c>
      <c r="K30" s="25"/>
      <c r="L30" s="56" t="s">
        <v>34</v>
      </c>
      <c r="M30" s="18" t="s">
        <v>1193</v>
      </c>
    </row>
    <row r="31" spans="2:21" ht="15.75">
      <c r="B31" s="171" t="s">
        <v>117</v>
      </c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</row>
    <row r="32" spans="1:13" ht="12.75">
      <c r="A32" s="61">
        <v>1</v>
      </c>
      <c r="B32" s="24" t="s">
        <v>1324</v>
      </c>
      <c r="C32" s="24" t="s">
        <v>1371</v>
      </c>
      <c r="D32" s="24" t="s">
        <v>1372</v>
      </c>
      <c r="E32" s="24" t="s">
        <v>1121</v>
      </c>
      <c r="F32" s="24" t="s">
        <v>1322</v>
      </c>
      <c r="G32" s="56" t="s">
        <v>44</v>
      </c>
      <c r="H32" s="56" t="s">
        <v>45</v>
      </c>
      <c r="I32" s="56" t="s">
        <v>104</v>
      </c>
      <c r="J32" s="58"/>
      <c r="K32" s="25"/>
      <c r="L32" s="56" t="s">
        <v>104</v>
      </c>
      <c r="M32" s="18" t="s">
        <v>1193</v>
      </c>
    </row>
    <row r="33" spans="1:13" ht="12.75">
      <c r="A33" s="61">
        <v>2</v>
      </c>
      <c r="B33" s="24" t="s">
        <v>1374</v>
      </c>
      <c r="C33" s="24" t="s">
        <v>1375</v>
      </c>
      <c r="D33" s="24" t="s">
        <v>1376</v>
      </c>
      <c r="E33" s="24" t="s">
        <v>1121</v>
      </c>
      <c r="F33" s="24" t="s">
        <v>170</v>
      </c>
      <c r="G33" s="56" t="s">
        <v>44</v>
      </c>
      <c r="H33" s="56" t="s">
        <v>45</v>
      </c>
      <c r="I33" s="56" t="s">
        <v>46</v>
      </c>
      <c r="J33" s="58" t="s">
        <v>52</v>
      </c>
      <c r="K33" s="25"/>
      <c r="L33" s="56" t="s">
        <v>46</v>
      </c>
      <c r="M33" s="18" t="s">
        <v>1378</v>
      </c>
    </row>
    <row r="34" spans="1:13" ht="12.75">
      <c r="A34" s="61">
        <v>3</v>
      </c>
      <c r="B34" s="24" t="s">
        <v>1379</v>
      </c>
      <c r="C34" s="24" t="s">
        <v>1380</v>
      </c>
      <c r="D34" s="24" t="s">
        <v>1381</v>
      </c>
      <c r="E34" s="24" t="s">
        <v>1121</v>
      </c>
      <c r="F34" s="24" t="s">
        <v>1382</v>
      </c>
      <c r="G34" s="56" t="s">
        <v>35</v>
      </c>
      <c r="H34" s="56" t="s">
        <v>91</v>
      </c>
      <c r="I34" s="56" t="s">
        <v>44</v>
      </c>
      <c r="J34" s="58" t="s">
        <v>45</v>
      </c>
      <c r="K34" s="25"/>
      <c r="L34" s="56" t="s">
        <v>44</v>
      </c>
      <c r="M34" s="18" t="s">
        <v>1193</v>
      </c>
    </row>
    <row r="35" spans="1:13" ht="12.75">
      <c r="A35" s="61">
        <v>4</v>
      </c>
      <c r="B35" s="24" t="s">
        <v>1385</v>
      </c>
      <c r="C35" s="24" t="s">
        <v>1386</v>
      </c>
      <c r="D35" s="24" t="s">
        <v>750</v>
      </c>
      <c r="E35" s="24" t="s">
        <v>1121</v>
      </c>
      <c r="F35" s="24" t="s">
        <v>148</v>
      </c>
      <c r="G35" s="56" t="s">
        <v>137</v>
      </c>
      <c r="H35" s="56" t="s">
        <v>91</v>
      </c>
      <c r="I35" s="56" t="s">
        <v>20</v>
      </c>
      <c r="J35" s="58" t="s">
        <v>21</v>
      </c>
      <c r="K35" s="25"/>
      <c r="L35" s="56" t="s">
        <v>20</v>
      </c>
      <c r="M35" s="18" t="s">
        <v>1193</v>
      </c>
    </row>
    <row r="36" spans="1:13" ht="12.75">
      <c r="A36" s="61">
        <v>1</v>
      </c>
      <c r="B36" s="24" t="s">
        <v>1324</v>
      </c>
      <c r="C36" s="24" t="s">
        <v>1387</v>
      </c>
      <c r="D36" s="24" t="s">
        <v>1372</v>
      </c>
      <c r="E36" s="24" t="s">
        <v>1121</v>
      </c>
      <c r="F36" s="24" t="s">
        <v>1322</v>
      </c>
      <c r="G36" s="56" t="s">
        <v>44</v>
      </c>
      <c r="H36" s="56" t="s">
        <v>45</v>
      </c>
      <c r="I36" s="56" t="s">
        <v>104</v>
      </c>
      <c r="J36" s="58"/>
      <c r="K36" s="25"/>
      <c r="L36" s="56" t="s">
        <v>104</v>
      </c>
      <c r="M36" s="18" t="s">
        <v>1193</v>
      </c>
    </row>
    <row r="37" spans="2:21" ht="15.75">
      <c r="B37" s="171" t="s">
        <v>138</v>
      </c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</row>
    <row r="38" spans="1:13" ht="12.75">
      <c r="A38" s="61">
        <v>1</v>
      </c>
      <c r="B38" s="24" t="s">
        <v>1390</v>
      </c>
      <c r="C38" s="24" t="s">
        <v>1391</v>
      </c>
      <c r="D38" s="24" t="s">
        <v>1392</v>
      </c>
      <c r="E38" s="24" t="s">
        <v>1121</v>
      </c>
      <c r="F38" s="24" t="s">
        <v>1184</v>
      </c>
      <c r="G38" s="56" t="s">
        <v>46</v>
      </c>
      <c r="H38" s="56" t="s">
        <v>52</v>
      </c>
      <c r="I38" s="56" t="s">
        <v>63</v>
      </c>
      <c r="J38" s="58" t="s">
        <v>115</v>
      </c>
      <c r="K38" s="25"/>
      <c r="L38" s="56" t="s">
        <v>63</v>
      </c>
      <c r="M38" s="18" t="s">
        <v>1395</v>
      </c>
    </row>
    <row r="39" spans="1:13" ht="12.75">
      <c r="A39" s="125">
        <v>1</v>
      </c>
      <c r="B39" s="24" t="s">
        <v>1398</v>
      </c>
      <c r="C39" s="24" t="s">
        <v>1399</v>
      </c>
      <c r="D39" s="24" t="s">
        <v>1400</v>
      </c>
      <c r="E39" s="24" t="s">
        <v>1313</v>
      </c>
      <c r="F39" s="24" t="s">
        <v>1401</v>
      </c>
      <c r="G39" s="56" t="s">
        <v>91</v>
      </c>
      <c r="H39" s="56" t="s">
        <v>45</v>
      </c>
      <c r="I39" s="56" t="s">
        <v>52</v>
      </c>
      <c r="J39" s="58" t="s">
        <v>63</v>
      </c>
      <c r="K39" s="25"/>
      <c r="L39" s="56" t="s">
        <v>52</v>
      </c>
      <c r="M39" s="18" t="s">
        <v>1193</v>
      </c>
    </row>
    <row r="40" spans="1:13" ht="12.75">
      <c r="A40" s="61">
        <v>1</v>
      </c>
      <c r="B40" s="24" t="s">
        <v>1402</v>
      </c>
      <c r="C40" s="24" t="s">
        <v>1406</v>
      </c>
      <c r="D40" s="24" t="s">
        <v>1404</v>
      </c>
      <c r="E40" s="24" t="s">
        <v>1313</v>
      </c>
      <c r="F40" s="24" t="s">
        <v>1405</v>
      </c>
      <c r="G40" s="56" t="s">
        <v>53</v>
      </c>
      <c r="H40" s="56" t="s">
        <v>29</v>
      </c>
      <c r="I40" s="56" t="s">
        <v>35</v>
      </c>
      <c r="J40" s="56" t="s">
        <v>91</v>
      </c>
      <c r="K40" s="25"/>
      <c r="L40" s="56" t="s">
        <v>91</v>
      </c>
      <c r="M40" s="18" t="s">
        <v>1193</v>
      </c>
    </row>
    <row r="41" spans="1:13" ht="12.75">
      <c r="A41" s="125">
        <v>2</v>
      </c>
      <c r="B41" s="24" t="s">
        <v>762</v>
      </c>
      <c r="C41" s="24" t="s">
        <v>1429</v>
      </c>
      <c r="D41" s="24" t="s">
        <v>1400</v>
      </c>
      <c r="E41" s="24" t="s">
        <v>1291</v>
      </c>
      <c r="F41" s="24" t="s">
        <v>60</v>
      </c>
      <c r="G41" s="56" t="s">
        <v>16</v>
      </c>
      <c r="H41" s="56" t="s">
        <v>34</v>
      </c>
      <c r="I41" s="58" t="s">
        <v>35</v>
      </c>
      <c r="J41" s="58" t="s">
        <v>35</v>
      </c>
      <c r="K41" s="25"/>
      <c r="L41" s="56" t="s">
        <v>34</v>
      </c>
      <c r="M41" s="18" t="s">
        <v>1193</v>
      </c>
    </row>
    <row r="42" spans="2:21" ht="15.75">
      <c r="B42" s="171" t="s">
        <v>166</v>
      </c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</row>
    <row r="43" spans="1:13" ht="12.75">
      <c r="A43" s="61">
        <v>1</v>
      </c>
      <c r="B43" s="24" t="s">
        <v>1407</v>
      </c>
      <c r="C43" s="24" t="s">
        <v>1408</v>
      </c>
      <c r="D43" s="24" t="s">
        <v>437</v>
      </c>
      <c r="E43" s="24" t="s">
        <v>1291</v>
      </c>
      <c r="F43" s="24" t="s">
        <v>60</v>
      </c>
      <c r="G43" s="56" t="s">
        <v>45</v>
      </c>
      <c r="H43" s="56" t="s">
        <v>52</v>
      </c>
      <c r="I43" s="58" t="s">
        <v>63</v>
      </c>
      <c r="J43" s="58" t="s">
        <v>63</v>
      </c>
      <c r="K43" s="25"/>
      <c r="L43" s="56" t="s">
        <v>52</v>
      </c>
      <c r="M43" s="18" t="s">
        <v>374</v>
      </c>
    </row>
    <row r="44" spans="1:13" ht="12.75">
      <c r="A44" s="61">
        <v>2</v>
      </c>
      <c r="B44" s="24" t="s">
        <v>927</v>
      </c>
      <c r="C44" s="24" t="s">
        <v>928</v>
      </c>
      <c r="D44" s="24" t="s">
        <v>1410</v>
      </c>
      <c r="E44" s="24" t="s">
        <v>1121</v>
      </c>
      <c r="F44" s="24" t="s">
        <v>148</v>
      </c>
      <c r="G44" s="56" t="s">
        <v>16</v>
      </c>
      <c r="H44" s="56" t="s">
        <v>35</v>
      </c>
      <c r="I44" s="56" t="s">
        <v>91</v>
      </c>
      <c r="J44" s="58" t="s">
        <v>44</v>
      </c>
      <c r="K44" s="25"/>
      <c r="L44" s="56" t="s">
        <v>91</v>
      </c>
      <c r="M44" s="18" t="s">
        <v>1193</v>
      </c>
    </row>
    <row r="45" spans="2:21" ht="15.75">
      <c r="B45" s="171" t="s">
        <v>1430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</row>
    <row r="46" spans="1:13" ht="12.75">
      <c r="A46" s="61">
        <v>1</v>
      </c>
      <c r="B46" s="24" t="s">
        <v>935</v>
      </c>
      <c r="C46" s="24" t="s">
        <v>1460</v>
      </c>
      <c r="D46" s="24" t="s">
        <v>936</v>
      </c>
      <c r="E46" s="24" t="s">
        <v>27</v>
      </c>
      <c r="F46" s="24" t="s">
        <v>877</v>
      </c>
      <c r="G46" s="56" t="s">
        <v>35</v>
      </c>
      <c r="H46" s="56" t="s">
        <v>44</v>
      </c>
      <c r="I46" s="56" t="s">
        <v>46</v>
      </c>
      <c r="J46" s="58" t="s">
        <v>63</v>
      </c>
      <c r="K46" s="56" t="s">
        <v>182</v>
      </c>
      <c r="L46" s="56" t="s">
        <v>46</v>
      </c>
      <c r="M46" s="18" t="s">
        <v>111</v>
      </c>
    </row>
    <row r="48" spans="1:5" ht="18">
      <c r="A48" s="38"/>
      <c r="B48" s="6" t="s">
        <v>7</v>
      </c>
      <c r="C48" s="7"/>
      <c r="D48" s="1"/>
      <c r="E48" s="1"/>
    </row>
    <row r="49" spans="1:5" ht="15.75">
      <c r="A49" s="38"/>
      <c r="B49" s="52" t="s">
        <v>189</v>
      </c>
      <c r="C49" s="8"/>
      <c r="D49" s="1"/>
      <c r="E49" s="1"/>
    </row>
    <row r="50" spans="1:5" ht="13.5">
      <c r="A50" s="38"/>
      <c r="B50" s="53" t="s">
        <v>1411</v>
      </c>
      <c r="C50" s="13"/>
      <c r="D50" s="1"/>
      <c r="E50" s="1"/>
    </row>
    <row r="51" spans="1:5" ht="13.5">
      <c r="A51" s="38"/>
      <c r="B51" s="14" t="s">
        <v>176</v>
      </c>
      <c r="C51" s="14" t="s">
        <v>177</v>
      </c>
      <c r="D51" s="14" t="s">
        <v>178</v>
      </c>
      <c r="E51" s="14" t="s">
        <v>179</v>
      </c>
    </row>
    <row r="52" spans="1:5" ht="12.75">
      <c r="A52" s="38" t="s">
        <v>1076</v>
      </c>
      <c r="B52" s="34" t="s">
        <v>1390</v>
      </c>
      <c r="C52" s="1" t="s">
        <v>1412</v>
      </c>
      <c r="D52" s="1" t="s">
        <v>1079</v>
      </c>
      <c r="E52" s="38" t="s">
        <v>63</v>
      </c>
    </row>
    <row r="53" spans="1:5" ht="12.75">
      <c r="A53" s="38" t="s">
        <v>1102</v>
      </c>
      <c r="B53" s="131" t="s">
        <v>1424</v>
      </c>
      <c r="C53" s="1" t="s">
        <v>1412</v>
      </c>
      <c r="D53" s="1" t="s">
        <v>1284</v>
      </c>
      <c r="E53" s="38" t="s">
        <v>137</v>
      </c>
    </row>
    <row r="54" spans="1:5" ht="12.75">
      <c r="A54" s="38" t="s">
        <v>1103</v>
      </c>
      <c r="B54" s="131" t="s">
        <v>998</v>
      </c>
      <c r="C54" s="1" t="s">
        <v>1412</v>
      </c>
      <c r="D54" s="1" t="s">
        <v>1431</v>
      </c>
      <c r="E54" s="38" t="s">
        <v>35</v>
      </c>
    </row>
    <row r="55" spans="2:5" ht="12.75">
      <c r="B55" s="131" t="s">
        <v>1003</v>
      </c>
      <c r="C55" s="1" t="s">
        <v>1412</v>
      </c>
      <c r="D55" s="132">
        <v>80</v>
      </c>
      <c r="E55" s="140">
        <v>130</v>
      </c>
    </row>
    <row r="56" spans="1:5" ht="12.75">
      <c r="A56" s="38"/>
      <c r="B56" s="131" t="s">
        <v>1319</v>
      </c>
      <c r="C56" s="1" t="s">
        <v>1412</v>
      </c>
      <c r="D56" s="1" t="s">
        <v>1413</v>
      </c>
      <c r="E56" s="38" t="s">
        <v>29</v>
      </c>
    </row>
    <row r="57" spans="2:5" ht="12.75">
      <c r="B57" s="131" t="s">
        <v>983</v>
      </c>
      <c r="C57" s="1" t="s">
        <v>1412</v>
      </c>
      <c r="D57" s="132">
        <v>70</v>
      </c>
      <c r="E57" s="140">
        <v>120</v>
      </c>
    </row>
    <row r="58" spans="2:5" ht="12.75">
      <c r="B58" s="131" t="s">
        <v>1310</v>
      </c>
      <c r="C58" s="1" t="s">
        <v>1412</v>
      </c>
      <c r="D58" s="132">
        <v>70</v>
      </c>
      <c r="E58" s="140">
        <v>120</v>
      </c>
    </row>
    <row r="59" spans="2:5" ht="12.75">
      <c r="B59" s="131" t="s">
        <v>1325</v>
      </c>
      <c r="C59" s="1" t="s">
        <v>1412</v>
      </c>
      <c r="D59" s="132">
        <v>70</v>
      </c>
      <c r="E59" s="140">
        <v>70</v>
      </c>
    </row>
    <row r="61" spans="1:5" ht="15.75">
      <c r="A61" s="38"/>
      <c r="B61" s="52" t="s">
        <v>189</v>
      </c>
      <c r="C61" s="8"/>
      <c r="D61" s="1"/>
      <c r="E61" s="1"/>
    </row>
    <row r="62" spans="1:5" ht="13.5">
      <c r="A62" s="38"/>
      <c r="B62" s="53" t="s">
        <v>1414</v>
      </c>
      <c r="C62" s="13"/>
      <c r="D62" s="1"/>
      <c r="E62" s="1"/>
    </row>
    <row r="63" spans="1:5" ht="13.5">
      <c r="A63" s="38"/>
      <c r="B63" s="14" t="s">
        <v>176</v>
      </c>
      <c r="C63" s="14" t="s">
        <v>177</v>
      </c>
      <c r="D63" s="14" t="s">
        <v>178</v>
      </c>
      <c r="E63" s="14" t="s">
        <v>179</v>
      </c>
    </row>
    <row r="64" spans="1:5" ht="12.75">
      <c r="A64" s="38" t="s">
        <v>1076</v>
      </c>
      <c r="B64" t="s">
        <v>1354</v>
      </c>
      <c r="C64" s="1" t="s">
        <v>1415</v>
      </c>
      <c r="D64" s="132">
        <v>90</v>
      </c>
      <c r="E64" s="140">
        <v>180</v>
      </c>
    </row>
    <row r="65" spans="1:5" ht="12.75">
      <c r="A65" s="61">
        <v>2</v>
      </c>
      <c r="B65" t="s">
        <v>1398</v>
      </c>
      <c r="C65" s="132" t="s">
        <v>1415</v>
      </c>
      <c r="D65" s="132">
        <v>110</v>
      </c>
      <c r="E65" s="140">
        <v>180</v>
      </c>
    </row>
    <row r="66" spans="1:5" ht="12.75">
      <c r="A66" s="61">
        <v>3</v>
      </c>
      <c r="B66" t="s">
        <v>1407</v>
      </c>
      <c r="C66" s="132" t="s">
        <v>1415</v>
      </c>
      <c r="D66" s="132">
        <v>125</v>
      </c>
      <c r="E66" s="140">
        <v>180</v>
      </c>
    </row>
    <row r="67" spans="2:5" ht="12.75">
      <c r="B67" t="s">
        <v>1324</v>
      </c>
      <c r="C67" s="132" t="s">
        <v>1415</v>
      </c>
      <c r="D67" s="132">
        <v>100</v>
      </c>
      <c r="E67" s="140">
        <v>177.5</v>
      </c>
    </row>
    <row r="68" spans="2:5" ht="12.75">
      <c r="B68" t="s">
        <v>1374</v>
      </c>
      <c r="C68" s="132" t="s">
        <v>1415</v>
      </c>
      <c r="D68" s="132">
        <v>100</v>
      </c>
      <c r="E68" s="140">
        <v>175</v>
      </c>
    </row>
    <row r="69" spans="2:5" ht="12.75">
      <c r="B69" t="s">
        <v>935</v>
      </c>
      <c r="C69" s="132" t="s">
        <v>1415</v>
      </c>
      <c r="D69" s="132" t="s">
        <v>1432</v>
      </c>
      <c r="E69" s="140">
        <v>175</v>
      </c>
    </row>
    <row r="70" spans="2:5" ht="12.75">
      <c r="B70" t="s">
        <v>1379</v>
      </c>
      <c r="C70" s="132" t="s">
        <v>1415</v>
      </c>
      <c r="D70" s="132">
        <v>100</v>
      </c>
      <c r="E70" s="140">
        <v>160</v>
      </c>
    </row>
    <row r="71" spans="2:5" ht="12.75">
      <c r="B71" t="s">
        <v>1385</v>
      </c>
      <c r="C71" s="132" t="s">
        <v>1415</v>
      </c>
      <c r="D71" s="132">
        <v>110</v>
      </c>
      <c r="E71" s="140">
        <v>155</v>
      </c>
    </row>
    <row r="72" spans="2:5" ht="12.75">
      <c r="B72" t="s">
        <v>927</v>
      </c>
      <c r="C72" s="132" t="s">
        <v>1415</v>
      </c>
      <c r="D72" s="132">
        <v>125</v>
      </c>
      <c r="E72" s="140">
        <v>150</v>
      </c>
    </row>
    <row r="73" spans="2:5" ht="12.75">
      <c r="B73" t="s">
        <v>659</v>
      </c>
      <c r="C73" s="132" t="s">
        <v>1415</v>
      </c>
      <c r="D73" s="132">
        <v>70</v>
      </c>
      <c r="E73" s="140">
        <v>130</v>
      </c>
    </row>
    <row r="74" spans="2:5" ht="12.75">
      <c r="B74" s="131" t="s">
        <v>1319</v>
      </c>
      <c r="C74" s="132" t="s">
        <v>1415</v>
      </c>
      <c r="D74" s="132">
        <v>70</v>
      </c>
      <c r="E74" s="140">
        <v>125</v>
      </c>
    </row>
  </sheetData>
  <sheetProtection/>
  <mergeCells count="22">
    <mergeCell ref="B22:U22"/>
    <mergeCell ref="B26:U26"/>
    <mergeCell ref="J4:K4"/>
    <mergeCell ref="B5:U5"/>
    <mergeCell ref="B6:U6"/>
    <mergeCell ref="B11:U11"/>
    <mergeCell ref="G3:K3"/>
    <mergeCell ref="L3:L4"/>
    <mergeCell ref="M3:M4"/>
    <mergeCell ref="N3:N4"/>
    <mergeCell ref="B14:U14"/>
    <mergeCell ref="B15:U15"/>
    <mergeCell ref="B31:U31"/>
    <mergeCell ref="B37:U37"/>
    <mergeCell ref="B42:U42"/>
    <mergeCell ref="B45:U45"/>
    <mergeCell ref="B1:N2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L19"/>
  <sheetViews>
    <sheetView workbookViewId="0" topLeftCell="A2">
      <selection activeCell="H19" sqref="H19"/>
    </sheetView>
  </sheetViews>
  <sheetFormatPr defaultColWidth="8.75390625" defaultRowHeight="12.75"/>
  <cols>
    <col min="1" max="12" width="8.75390625" style="0" customWidth="1"/>
    <col min="13" max="13" width="50.375" style="0" customWidth="1"/>
  </cols>
  <sheetData>
    <row r="1" spans="1:13" ht="0.75" customHeight="1">
      <c r="A1" s="162" t="s">
        <v>1273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79"/>
    </row>
    <row r="2" spans="1:13" ht="94.5" customHeight="1" thickBot="1">
      <c r="A2" s="164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80"/>
    </row>
    <row r="4" spans="1:38" ht="15.75">
      <c r="A4" s="129" t="s">
        <v>1274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</row>
    <row r="5" spans="1:38" ht="15.75">
      <c r="A5" s="129" t="s">
        <v>1275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</row>
    <row r="6" spans="1:38" ht="15.75">
      <c r="A6" s="129" t="s">
        <v>1279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</row>
    <row r="7" spans="1:38" ht="15.75">
      <c r="A7" s="129" t="s">
        <v>1276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</row>
    <row r="8" spans="1:38" ht="15.75">
      <c r="A8" s="129" t="s">
        <v>1433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</row>
    <row r="9" spans="1:38" ht="15.75">
      <c r="A9" s="129" t="s">
        <v>1281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</row>
    <row r="10" spans="1:16" ht="15.75">
      <c r="A10" s="129" t="s">
        <v>1277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</row>
    <row r="11" ht="15.75">
      <c r="A11" s="129" t="s">
        <v>1278</v>
      </c>
    </row>
    <row r="12" ht="13.5" thickBot="1"/>
    <row r="13" spans="1:13" ht="12.75">
      <c r="A13" s="162" t="s">
        <v>1285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79"/>
    </row>
    <row r="14" spans="1:13" ht="66.75" customHeight="1" thickBot="1">
      <c r="A14" s="164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80"/>
    </row>
    <row r="16" spans="1:12" ht="15.75">
      <c r="A16" s="129" t="s">
        <v>1274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</row>
    <row r="17" spans="1:12" ht="15.75">
      <c r="A17" s="129" t="s">
        <v>1283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</row>
    <row r="18" spans="1:12" ht="15.75">
      <c r="A18" s="129" t="s">
        <v>1280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</row>
    <row r="19" ht="15.75">
      <c r="A19" s="129" t="s">
        <v>1282</v>
      </c>
    </row>
  </sheetData>
  <sheetProtection/>
  <mergeCells count="2">
    <mergeCell ref="A1:M2"/>
    <mergeCell ref="A13:M14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5"/>
  <sheetViews>
    <sheetView workbookViewId="0" topLeftCell="A42">
      <selection activeCell="G51" sqref="G51"/>
    </sheetView>
  </sheetViews>
  <sheetFormatPr defaultColWidth="8.75390625" defaultRowHeight="12.75"/>
  <cols>
    <col min="1" max="1" width="3.125" style="61" customWidth="1"/>
    <col min="2" max="2" width="19.75390625" style="28" customWidth="1"/>
    <col min="3" max="3" width="28.875" style="28" customWidth="1"/>
    <col min="4" max="4" width="9.25390625" style="28" customWidth="1"/>
    <col min="5" max="5" width="9.625" style="28" customWidth="1"/>
    <col min="6" max="6" width="24.00390625" style="28" customWidth="1"/>
    <col min="7" max="7" width="33.375" style="28" customWidth="1"/>
    <col min="8" max="10" width="5.625" style="28" bestFit="1" customWidth="1"/>
    <col min="11" max="11" width="4.375" style="28" customWidth="1"/>
    <col min="12" max="12" width="8.375" style="36" customWidth="1"/>
    <col min="13" max="13" width="8.625" style="28" bestFit="1" customWidth="1"/>
    <col min="14" max="14" width="22.00390625" style="0" customWidth="1"/>
  </cols>
  <sheetData>
    <row r="1" spans="1:12" s="1" customFormat="1" ht="15" customHeight="1">
      <c r="A1" s="38"/>
      <c r="B1" s="162" t="s">
        <v>1164</v>
      </c>
      <c r="C1" s="163"/>
      <c r="D1" s="163"/>
      <c r="E1" s="163"/>
      <c r="F1" s="163"/>
      <c r="G1" s="163"/>
      <c r="L1" s="38"/>
    </row>
    <row r="2" spans="1:12" s="1" customFormat="1" ht="81.75" customHeight="1" thickBot="1">
      <c r="A2" s="38"/>
      <c r="B2" s="164"/>
      <c r="C2" s="165"/>
      <c r="D2" s="165"/>
      <c r="E2" s="165"/>
      <c r="F2" s="165"/>
      <c r="G2" s="165"/>
      <c r="L2" s="38"/>
    </row>
    <row r="3" spans="2:14" s="2" customFormat="1" ht="12.75" customHeight="1">
      <c r="B3" s="166" t="s">
        <v>0</v>
      </c>
      <c r="C3" s="168" t="s">
        <v>1108</v>
      </c>
      <c r="D3" s="170" t="s">
        <v>1109</v>
      </c>
      <c r="E3" s="170" t="s">
        <v>1110</v>
      </c>
      <c r="F3" s="170" t="s">
        <v>4</v>
      </c>
      <c r="G3" s="170" t="s">
        <v>6</v>
      </c>
      <c r="H3" s="170" t="s">
        <v>1</v>
      </c>
      <c r="I3" s="170"/>
      <c r="J3" s="170"/>
      <c r="K3" s="170"/>
      <c r="L3" s="170" t="s">
        <v>2</v>
      </c>
      <c r="M3" s="170" t="s">
        <v>1110</v>
      </c>
      <c r="N3" s="160" t="s">
        <v>3</v>
      </c>
    </row>
    <row r="4" spans="2:14" s="2" customFormat="1" ht="21" customHeight="1" thickBot="1">
      <c r="B4" s="167"/>
      <c r="C4" s="169"/>
      <c r="D4" s="169"/>
      <c r="E4" s="169"/>
      <c r="F4" s="169"/>
      <c r="G4" s="169"/>
      <c r="H4" s="3">
        <v>1</v>
      </c>
      <c r="I4" s="3">
        <v>2</v>
      </c>
      <c r="J4" s="3">
        <v>3</v>
      </c>
      <c r="K4" s="3" t="s">
        <v>5</v>
      </c>
      <c r="L4" s="169"/>
      <c r="M4" s="169"/>
      <c r="N4" s="161"/>
    </row>
    <row r="5" spans="2:13" ht="15.75">
      <c r="B5" s="171" t="s">
        <v>1052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</row>
    <row r="6" spans="2:13" ht="15.75">
      <c r="B6" s="171" t="s">
        <v>228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</row>
    <row r="7" spans="1:14" ht="12.75">
      <c r="A7" s="61">
        <v>1</v>
      </c>
      <c r="B7" s="24" t="s">
        <v>229</v>
      </c>
      <c r="C7" s="24" t="s">
        <v>230</v>
      </c>
      <c r="D7" s="24" t="s">
        <v>957</v>
      </c>
      <c r="E7" s="24" t="str">
        <f>"2,6910"</f>
        <v>2,6910</v>
      </c>
      <c r="F7" s="24" t="s">
        <v>27</v>
      </c>
      <c r="G7" s="24" t="s">
        <v>148</v>
      </c>
      <c r="H7" s="56" t="s">
        <v>32</v>
      </c>
      <c r="I7" s="56" t="s">
        <v>239</v>
      </c>
      <c r="J7" s="56" t="s">
        <v>275</v>
      </c>
      <c r="K7" s="25"/>
      <c r="L7" s="56" t="s">
        <v>275</v>
      </c>
      <c r="M7" s="24" t="str">
        <f>"255,6450"</f>
        <v>255,6450</v>
      </c>
      <c r="N7" s="18" t="s">
        <v>240</v>
      </c>
    </row>
    <row r="8" spans="2:13" ht="15.75">
      <c r="B8" s="171" t="s">
        <v>8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</row>
    <row r="9" spans="1:14" ht="12.75">
      <c r="A9" s="61">
        <v>1</v>
      </c>
      <c r="B9" s="20" t="s">
        <v>958</v>
      </c>
      <c r="C9" s="20" t="s">
        <v>959</v>
      </c>
      <c r="D9" s="20" t="s">
        <v>960</v>
      </c>
      <c r="E9" s="20" t="str">
        <f>"2,2192"</f>
        <v>2,2192</v>
      </c>
      <c r="F9" s="20" t="s">
        <v>27</v>
      </c>
      <c r="G9" s="20" t="s">
        <v>148</v>
      </c>
      <c r="H9" s="62" t="s">
        <v>61</v>
      </c>
      <c r="I9" s="62" t="s">
        <v>255</v>
      </c>
      <c r="J9" s="63" t="s">
        <v>53</v>
      </c>
      <c r="K9" s="21"/>
      <c r="L9" s="62" t="s">
        <v>255</v>
      </c>
      <c r="M9" s="20" t="str">
        <f>"233,0160"</f>
        <v>233,0160</v>
      </c>
      <c r="N9" s="16" t="s">
        <v>961</v>
      </c>
    </row>
    <row r="10" spans="1:14" ht="12.75">
      <c r="A10" s="61">
        <v>1</v>
      </c>
      <c r="B10" s="24" t="s">
        <v>962</v>
      </c>
      <c r="C10" s="24" t="s">
        <v>963</v>
      </c>
      <c r="D10" s="24" t="s">
        <v>964</v>
      </c>
      <c r="E10" s="24" t="str">
        <f>"2,0972"</f>
        <v>2,0972</v>
      </c>
      <c r="F10" s="24" t="s">
        <v>27</v>
      </c>
      <c r="G10" s="24" t="s">
        <v>877</v>
      </c>
      <c r="H10" s="58" t="s">
        <v>34</v>
      </c>
      <c r="I10" s="56" t="s">
        <v>34</v>
      </c>
      <c r="J10" s="56" t="s">
        <v>30</v>
      </c>
      <c r="K10" s="25"/>
      <c r="L10" s="56" t="s">
        <v>30</v>
      </c>
      <c r="M10" s="24" t="str">
        <f>"283,1220"</f>
        <v>283,1220</v>
      </c>
      <c r="N10" s="18" t="s">
        <v>878</v>
      </c>
    </row>
    <row r="11" spans="2:13" ht="15.75">
      <c r="B11" s="171" t="s">
        <v>248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</row>
    <row r="12" spans="1:14" ht="12.75">
      <c r="A12" s="61">
        <v>1</v>
      </c>
      <c r="B12" s="24" t="s">
        <v>965</v>
      </c>
      <c r="C12" s="24" t="s">
        <v>966</v>
      </c>
      <c r="D12" s="24" t="s">
        <v>606</v>
      </c>
      <c r="E12" s="24" t="str">
        <f>"1,9550"</f>
        <v>1,9550</v>
      </c>
      <c r="F12" s="24" t="s">
        <v>1119</v>
      </c>
      <c r="G12" s="24" t="s">
        <v>136</v>
      </c>
      <c r="H12" s="56" t="s">
        <v>32</v>
      </c>
      <c r="I12" s="56" t="s">
        <v>239</v>
      </c>
      <c r="J12" s="58" t="s">
        <v>275</v>
      </c>
      <c r="K12" s="25"/>
      <c r="L12" s="56" t="s">
        <v>239</v>
      </c>
      <c r="M12" s="24" t="str">
        <f>"175,9500"</f>
        <v>175,9500</v>
      </c>
      <c r="N12" s="18" t="s">
        <v>337</v>
      </c>
    </row>
    <row r="13" spans="2:13" ht="15.75">
      <c r="B13" s="171" t="s">
        <v>257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</row>
    <row r="14" spans="1:14" ht="12.75">
      <c r="A14" s="61">
        <v>1</v>
      </c>
      <c r="B14" s="24" t="s">
        <v>258</v>
      </c>
      <c r="C14" s="24" t="s">
        <v>259</v>
      </c>
      <c r="D14" s="24" t="s">
        <v>260</v>
      </c>
      <c r="E14" s="24" t="str">
        <f>"1,8906"</f>
        <v>1,8906</v>
      </c>
      <c r="F14" s="24" t="s">
        <v>1119</v>
      </c>
      <c r="G14" s="24" t="s">
        <v>136</v>
      </c>
      <c r="H14" s="56" t="s">
        <v>239</v>
      </c>
      <c r="I14" s="56" t="s">
        <v>61</v>
      </c>
      <c r="J14" s="56" t="s">
        <v>53</v>
      </c>
      <c r="K14" s="25"/>
      <c r="L14" s="56" t="s">
        <v>53</v>
      </c>
      <c r="M14" s="24" t="str">
        <f>"207,9660"</f>
        <v>207,9660</v>
      </c>
      <c r="N14" s="18" t="s">
        <v>261</v>
      </c>
    </row>
    <row r="15" spans="1:14" ht="12.75">
      <c r="A15" s="61">
        <v>1</v>
      </c>
      <c r="B15" s="24" t="s">
        <v>976</v>
      </c>
      <c r="C15" s="24" t="s">
        <v>977</v>
      </c>
      <c r="D15" s="24" t="s">
        <v>978</v>
      </c>
      <c r="E15" s="24" t="str">
        <f>"1,4820"</f>
        <v>1,4820</v>
      </c>
      <c r="F15" s="24" t="s">
        <v>1119</v>
      </c>
      <c r="G15" s="24" t="s">
        <v>136</v>
      </c>
      <c r="H15" s="56" t="s">
        <v>31</v>
      </c>
      <c r="I15" s="56" t="s">
        <v>32</v>
      </c>
      <c r="J15" s="58" t="s">
        <v>705</v>
      </c>
      <c r="K15" s="25"/>
      <c r="L15" s="56" t="s">
        <v>32</v>
      </c>
      <c r="M15" s="24" t="str">
        <f>"118,5600"</f>
        <v>118,5600</v>
      </c>
      <c r="N15" s="18" t="s">
        <v>93</v>
      </c>
    </row>
    <row r="16" spans="2:13" ht="15.75">
      <c r="B16" s="171" t="s">
        <v>284</v>
      </c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</row>
    <row r="17" spans="1:14" ht="12.75">
      <c r="A17" s="61">
        <v>1</v>
      </c>
      <c r="B17" s="24" t="s">
        <v>967</v>
      </c>
      <c r="C17" s="24" t="s">
        <v>968</v>
      </c>
      <c r="D17" s="24" t="s">
        <v>969</v>
      </c>
      <c r="E17" s="24" t="str">
        <f>"1,6656"</f>
        <v>1,6656</v>
      </c>
      <c r="F17" s="24" t="s">
        <v>27</v>
      </c>
      <c r="G17" s="24" t="s">
        <v>148</v>
      </c>
      <c r="H17" s="56" t="s">
        <v>61</v>
      </c>
      <c r="I17" s="56" t="s">
        <v>53</v>
      </c>
      <c r="J17" s="58" t="s">
        <v>299</v>
      </c>
      <c r="K17" s="25"/>
      <c r="L17" s="56" t="s">
        <v>53</v>
      </c>
      <c r="M17" s="24" t="str">
        <f>"183,2160"</f>
        <v>183,2160</v>
      </c>
      <c r="N17" s="18" t="s">
        <v>240</v>
      </c>
    </row>
    <row r="18" spans="2:14" ht="12.75">
      <c r="B18" s="34"/>
      <c r="C18" s="34"/>
      <c r="D18" s="34"/>
      <c r="E18" s="34"/>
      <c r="F18" s="34"/>
      <c r="G18" s="34"/>
      <c r="H18" s="34"/>
      <c r="I18" s="34"/>
      <c r="J18" s="37"/>
      <c r="K18" s="37"/>
      <c r="L18" s="39"/>
      <c r="M18" s="34"/>
      <c r="N18" s="15"/>
    </row>
    <row r="19" spans="2:13" ht="15.75">
      <c r="B19" s="171" t="s">
        <v>1053</v>
      </c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</row>
    <row r="20" spans="2:13" ht="15.75">
      <c r="B20" s="173" t="s">
        <v>8</v>
      </c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</row>
    <row r="21" spans="1:14" ht="12.75">
      <c r="A21" s="61">
        <v>1</v>
      </c>
      <c r="B21" s="24" t="s">
        <v>291</v>
      </c>
      <c r="C21" s="24" t="s">
        <v>292</v>
      </c>
      <c r="D21" s="24" t="s">
        <v>293</v>
      </c>
      <c r="E21" s="24" t="str">
        <f>"1,9550"</f>
        <v>1,9550</v>
      </c>
      <c r="F21" s="24" t="s">
        <v>12</v>
      </c>
      <c r="G21" s="24" t="s">
        <v>13</v>
      </c>
      <c r="H21" s="56" t="s">
        <v>255</v>
      </c>
      <c r="I21" s="56" t="s">
        <v>53</v>
      </c>
      <c r="J21" s="58" t="s">
        <v>649</v>
      </c>
      <c r="K21" s="25"/>
      <c r="L21" s="56" t="s">
        <v>53</v>
      </c>
      <c r="M21" s="24" t="str">
        <f>"215,0500"</f>
        <v>215,0500</v>
      </c>
      <c r="N21" s="18" t="s">
        <v>295</v>
      </c>
    </row>
    <row r="22" spans="2:13" ht="15.75">
      <c r="B22" s="174" t="s">
        <v>248</v>
      </c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</row>
    <row r="23" spans="1:14" ht="12.75">
      <c r="A23" s="61">
        <v>1</v>
      </c>
      <c r="B23" s="20" t="s">
        <v>970</v>
      </c>
      <c r="C23" s="20" t="s">
        <v>971</v>
      </c>
      <c r="D23" s="20" t="s">
        <v>972</v>
      </c>
      <c r="E23" s="20" t="str">
        <f>"1,5978"</f>
        <v>1,5978</v>
      </c>
      <c r="F23" s="20" t="s">
        <v>327</v>
      </c>
      <c r="G23" s="20" t="s">
        <v>328</v>
      </c>
      <c r="H23" s="62" t="s">
        <v>53</v>
      </c>
      <c r="I23" s="62" t="s">
        <v>16</v>
      </c>
      <c r="J23" s="62" t="s">
        <v>34</v>
      </c>
      <c r="K23" s="21"/>
      <c r="L23" s="56" t="s">
        <v>34</v>
      </c>
      <c r="M23" s="20" t="str">
        <f>"207,7140"</f>
        <v>207,7140</v>
      </c>
      <c r="N23" s="16" t="s">
        <v>329</v>
      </c>
    </row>
    <row r="24" spans="1:14" ht="12.75">
      <c r="A24" s="61">
        <v>2</v>
      </c>
      <c r="B24" s="24" t="s">
        <v>973</v>
      </c>
      <c r="C24" s="24" t="s">
        <v>974</v>
      </c>
      <c r="D24" s="24" t="s">
        <v>975</v>
      </c>
      <c r="E24" s="24" t="str">
        <f>"1,7700"</f>
        <v>1,7700</v>
      </c>
      <c r="F24" s="24" t="s">
        <v>327</v>
      </c>
      <c r="G24" s="24" t="s">
        <v>328</v>
      </c>
      <c r="H24" s="56" t="s">
        <v>239</v>
      </c>
      <c r="I24" s="56" t="s">
        <v>61</v>
      </c>
      <c r="J24" s="56" t="s">
        <v>53</v>
      </c>
      <c r="K24" s="25"/>
      <c r="L24" s="56" t="s">
        <v>53</v>
      </c>
      <c r="M24" s="24" t="str">
        <f>"194,7000"</f>
        <v>194,7000</v>
      </c>
      <c r="N24" s="18" t="s">
        <v>329</v>
      </c>
    </row>
    <row r="25" spans="2:13" ht="15.75">
      <c r="B25" s="174" t="s">
        <v>257</v>
      </c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</row>
    <row r="26" spans="1:14" ht="12.75">
      <c r="A26" s="61">
        <v>1</v>
      </c>
      <c r="B26" s="20" t="s">
        <v>884</v>
      </c>
      <c r="C26" s="20" t="s">
        <v>885</v>
      </c>
      <c r="D26" s="20" t="s">
        <v>886</v>
      </c>
      <c r="E26" s="20" t="str">
        <f>"1,4780"</f>
        <v>1,4780</v>
      </c>
      <c r="F26" s="20" t="s">
        <v>27</v>
      </c>
      <c r="G26" s="20" t="s">
        <v>639</v>
      </c>
      <c r="H26" s="62" t="s">
        <v>20</v>
      </c>
      <c r="I26" s="62" t="s">
        <v>72</v>
      </c>
      <c r="J26" s="62" t="s">
        <v>46</v>
      </c>
      <c r="K26" s="21"/>
      <c r="L26" s="62" t="s">
        <v>46</v>
      </c>
      <c r="M26" s="20" t="str">
        <f>"258,6500"</f>
        <v>258,6500</v>
      </c>
      <c r="N26" s="16" t="s">
        <v>111</v>
      </c>
    </row>
    <row r="27" spans="1:14" ht="12.75">
      <c r="A27" s="61">
        <v>1</v>
      </c>
      <c r="B27" s="24" t="s">
        <v>303</v>
      </c>
      <c r="C27" s="24" t="s">
        <v>304</v>
      </c>
      <c r="D27" s="24" t="s">
        <v>305</v>
      </c>
      <c r="E27" s="24" t="str">
        <f>"1,7796"</f>
        <v>1,7796</v>
      </c>
      <c r="F27" s="24" t="s">
        <v>1119</v>
      </c>
      <c r="G27" s="24" t="s">
        <v>136</v>
      </c>
      <c r="H27" s="56" t="s">
        <v>44</v>
      </c>
      <c r="I27" s="25"/>
      <c r="J27" s="25"/>
      <c r="K27" s="25"/>
      <c r="L27" s="56" t="s">
        <v>44</v>
      </c>
      <c r="M27" s="24" t="str">
        <f>"284,7388"</f>
        <v>284,7388</v>
      </c>
      <c r="N27" s="18" t="s">
        <v>111</v>
      </c>
    </row>
    <row r="28" spans="2:13" ht="15.75">
      <c r="B28" s="174" t="s">
        <v>284</v>
      </c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</row>
    <row r="29" spans="1:14" ht="12.75">
      <c r="A29" s="61">
        <v>1</v>
      </c>
      <c r="B29" s="20" t="s">
        <v>979</v>
      </c>
      <c r="C29" s="20" t="s">
        <v>980</v>
      </c>
      <c r="D29" s="20" t="s">
        <v>981</v>
      </c>
      <c r="E29" s="20" t="str">
        <f>"1,2460"</f>
        <v>1,2460</v>
      </c>
      <c r="F29" s="20" t="s">
        <v>27</v>
      </c>
      <c r="G29" s="20" t="s">
        <v>982</v>
      </c>
      <c r="H29" s="62" t="s">
        <v>29</v>
      </c>
      <c r="I29" s="63" t="s">
        <v>30</v>
      </c>
      <c r="J29" s="63" t="s">
        <v>30</v>
      </c>
      <c r="K29" s="21"/>
      <c r="L29" s="62" t="s">
        <v>29</v>
      </c>
      <c r="M29" s="20" t="str">
        <f>"155,7500"</f>
        <v>155,7500</v>
      </c>
      <c r="N29" s="16" t="s">
        <v>689</v>
      </c>
    </row>
    <row r="30" spans="1:14" ht="12.75">
      <c r="A30" s="61">
        <v>1</v>
      </c>
      <c r="B30" s="24" t="s">
        <v>983</v>
      </c>
      <c r="C30" s="24" t="s">
        <v>984</v>
      </c>
      <c r="D30" s="24" t="s">
        <v>985</v>
      </c>
      <c r="E30" s="24" t="str">
        <f>"1,3248"</f>
        <v>1,3248</v>
      </c>
      <c r="F30" s="24" t="s">
        <v>27</v>
      </c>
      <c r="G30" s="24" t="s">
        <v>662</v>
      </c>
      <c r="H30" s="58" t="s">
        <v>44</v>
      </c>
      <c r="I30" s="56" t="s">
        <v>44</v>
      </c>
      <c r="J30" s="56" t="s">
        <v>72</v>
      </c>
      <c r="K30" s="25"/>
      <c r="L30" s="56" t="s">
        <v>72</v>
      </c>
      <c r="M30" s="24" t="str">
        <f>"218,5920"</f>
        <v>218,5920</v>
      </c>
      <c r="N30" s="18" t="s">
        <v>663</v>
      </c>
    </row>
    <row r="31" spans="1:14" ht="12.75">
      <c r="A31" s="61">
        <v>1</v>
      </c>
      <c r="B31" s="24" t="s">
        <v>986</v>
      </c>
      <c r="C31" s="24" t="s">
        <v>987</v>
      </c>
      <c r="D31" s="24" t="s">
        <v>969</v>
      </c>
      <c r="E31" s="24" t="str">
        <f>"1,2700"</f>
        <v>1,2700</v>
      </c>
      <c r="F31" s="24" t="s">
        <v>27</v>
      </c>
      <c r="G31" s="24" t="s">
        <v>88</v>
      </c>
      <c r="H31" s="56" t="s">
        <v>110</v>
      </c>
      <c r="I31" s="56" t="s">
        <v>988</v>
      </c>
      <c r="J31" s="58" t="s">
        <v>122</v>
      </c>
      <c r="K31" s="25"/>
      <c r="L31" s="56" t="s">
        <v>988</v>
      </c>
      <c r="M31" s="24" t="str">
        <f>"327,0250"</f>
        <v>327,0250</v>
      </c>
      <c r="N31" s="18" t="s">
        <v>989</v>
      </c>
    </row>
    <row r="32" spans="1:14" ht="12.75">
      <c r="A32" s="61">
        <v>2</v>
      </c>
      <c r="B32" s="22" t="s">
        <v>990</v>
      </c>
      <c r="C32" s="22" t="s">
        <v>991</v>
      </c>
      <c r="D32" s="22" t="s">
        <v>992</v>
      </c>
      <c r="E32" s="22" t="str">
        <f>"1,2980"</f>
        <v>1,2980</v>
      </c>
      <c r="F32" s="22" t="s">
        <v>27</v>
      </c>
      <c r="G32" s="22" t="s">
        <v>148</v>
      </c>
      <c r="H32" s="65" t="s">
        <v>35</v>
      </c>
      <c r="I32" s="65" t="s">
        <v>91</v>
      </c>
      <c r="J32" s="64" t="s">
        <v>44</v>
      </c>
      <c r="K32" s="23"/>
      <c r="L32" s="65" t="s">
        <v>91</v>
      </c>
      <c r="M32" s="22" t="str">
        <f>"194,7000"</f>
        <v>194,7000</v>
      </c>
      <c r="N32" s="17" t="s">
        <v>240</v>
      </c>
    </row>
    <row r="33" spans="2:13" ht="15.75">
      <c r="B33" s="175" t="s">
        <v>23</v>
      </c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</row>
    <row r="34" spans="1:14" ht="12.75">
      <c r="A34" s="61">
        <v>1</v>
      </c>
      <c r="B34" s="20" t="s">
        <v>993</v>
      </c>
      <c r="C34" s="20" t="s">
        <v>994</v>
      </c>
      <c r="D34" s="20" t="s">
        <v>995</v>
      </c>
      <c r="E34" s="20" t="str">
        <f>"1,2068"</f>
        <v>1,2068</v>
      </c>
      <c r="F34" s="20" t="s">
        <v>27</v>
      </c>
      <c r="G34" s="20" t="s">
        <v>639</v>
      </c>
      <c r="H34" s="62" t="s">
        <v>34</v>
      </c>
      <c r="I34" s="62" t="s">
        <v>35</v>
      </c>
      <c r="J34" s="62" t="s">
        <v>91</v>
      </c>
      <c r="K34" s="21"/>
      <c r="L34" s="65" t="s">
        <v>91</v>
      </c>
      <c r="M34" s="20" t="str">
        <f>"181,0200"</f>
        <v>181,0200</v>
      </c>
      <c r="N34" s="16" t="s">
        <v>640</v>
      </c>
    </row>
    <row r="35" spans="1:14" ht="12.75">
      <c r="A35" s="61">
        <v>1</v>
      </c>
      <c r="B35" s="24" t="s">
        <v>996</v>
      </c>
      <c r="C35" s="24" t="s">
        <v>997</v>
      </c>
      <c r="D35" s="24" t="s">
        <v>667</v>
      </c>
      <c r="E35" s="24" t="str">
        <f>"1,1534"</f>
        <v>1,1534</v>
      </c>
      <c r="F35" s="24" t="s">
        <v>27</v>
      </c>
      <c r="G35" s="24" t="s">
        <v>1185</v>
      </c>
      <c r="H35" s="56" t="s">
        <v>44</v>
      </c>
      <c r="I35" s="56" t="s">
        <v>45</v>
      </c>
      <c r="J35" s="58" t="s">
        <v>333</v>
      </c>
      <c r="K35" s="25"/>
      <c r="L35" s="56" t="s">
        <v>45</v>
      </c>
      <c r="M35" s="24" t="str">
        <f>"196,0780"</f>
        <v>196,0780</v>
      </c>
      <c r="N35" s="18" t="s">
        <v>629</v>
      </c>
    </row>
    <row r="36" spans="1:14" ht="12.75">
      <c r="A36" s="61">
        <v>1</v>
      </c>
      <c r="B36" s="26" t="s">
        <v>998</v>
      </c>
      <c r="C36" s="26" t="s">
        <v>999</v>
      </c>
      <c r="D36" s="26" t="s">
        <v>486</v>
      </c>
      <c r="E36" s="26" t="str">
        <f>"1,1304"</f>
        <v>1,1304</v>
      </c>
      <c r="F36" s="26" t="s">
        <v>1117</v>
      </c>
      <c r="G36" s="26" t="s">
        <v>662</v>
      </c>
      <c r="H36" s="66" t="s">
        <v>89</v>
      </c>
      <c r="I36" s="67" t="s">
        <v>54</v>
      </c>
      <c r="J36" s="67" t="s">
        <v>54</v>
      </c>
      <c r="K36" s="27"/>
      <c r="L36" s="56" t="s">
        <v>89</v>
      </c>
      <c r="M36" s="26" t="str">
        <f>"214,7760"</f>
        <v>214,7760</v>
      </c>
      <c r="N36" s="19" t="s">
        <v>663</v>
      </c>
    </row>
    <row r="37" spans="1:14" ht="12.75">
      <c r="A37" s="61">
        <v>1</v>
      </c>
      <c r="B37" s="24" t="s">
        <v>1000</v>
      </c>
      <c r="C37" s="24" t="s">
        <v>1001</v>
      </c>
      <c r="D37" s="24" t="s">
        <v>1002</v>
      </c>
      <c r="E37" s="24" t="str">
        <f>"1,1502"</f>
        <v>1,1502</v>
      </c>
      <c r="F37" s="24" t="s">
        <v>327</v>
      </c>
      <c r="G37" s="24" t="s">
        <v>328</v>
      </c>
      <c r="H37" s="56" t="s">
        <v>45</v>
      </c>
      <c r="I37" s="56" t="s">
        <v>333</v>
      </c>
      <c r="J37" s="56" t="s">
        <v>89</v>
      </c>
      <c r="K37" s="25"/>
      <c r="L37" s="56" t="s">
        <v>89</v>
      </c>
      <c r="M37" s="24" t="str">
        <f>"218,5380"</f>
        <v>218,5380</v>
      </c>
      <c r="N37" s="18" t="s">
        <v>329</v>
      </c>
    </row>
    <row r="38" spans="1:14" ht="12.75">
      <c r="A38" s="61">
        <v>1</v>
      </c>
      <c r="B38" s="26" t="s">
        <v>334</v>
      </c>
      <c r="C38" s="26" t="s">
        <v>335</v>
      </c>
      <c r="D38" s="26" t="s">
        <v>336</v>
      </c>
      <c r="E38" s="26" t="str">
        <f>"1,1422"</f>
        <v>1,1422</v>
      </c>
      <c r="F38" s="26" t="s">
        <v>1119</v>
      </c>
      <c r="G38" s="26" t="s">
        <v>136</v>
      </c>
      <c r="H38" s="66" t="s">
        <v>98</v>
      </c>
      <c r="I38" s="66" t="s">
        <v>41</v>
      </c>
      <c r="J38" s="67" t="s">
        <v>54</v>
      </c>
      <c r="K38" s="27"/>
      <c r="L38" s="66" t="s">
        <v>41</v>
      </c>
      <c r="M38" s="26" t="str">
        <f>"239,8620"</f>
        <v>239,8620</v>
      </c>
      <c r="N38" s="19" t="s">
        <v>337</v>
      </c>
    </row>
    <row r="39" spans="1:14" ht="12.75">
      <c r="A39" s="61">
        <v>1</v>
      </c>
      <c r="B39" s="24" t="s">
        <v>693</v>
      </c>
      <c r="C39" s="24" t="s">
        <v>694</v>
      </c>
      <c r="D39" s="24" t="s">
        <v>39</v>
      </c>
      <c r="E39" s="24" t="str">
        <f>"1,1194"</f>
        <v>1,1194</v>
      </c>
      <c r="F39" s="24" t="s">
        <v>59</v>
      </c>
      <c r="G39" s="24" t="s">
        <v>60</v>
      </c>
      <c r="H39" s="56" t="s">
        <v>44</v>
      </c>
      <c r="I39" s="56" t="s">
        <v>45</v>
      </c>
      <c r="J39" s="56" t="s">
        <v>333</v>
      </c>
      <c r="K39" s="25"/>
      <c r="L39" s="56" t="s">
        <v>333</v>
      </c>
      <c r="M39" s="24" t="str">
        <f>"204,2905"</f>
        <v>204,2905</v>
      </c>
      <c r="N39" s="18" t="s">
        <v>493</v>
      </c>
    </row>
    <row r="40" spans="2:13" ht="15.75">
      <c r="B40" s="174" t="s">
        <v>66</v>
      </c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</row>
    <row r="41" spans="1:14" ht="12.75">
      <c r="A41" s="61">
        <v>1</v>
      </c>
      <c r="B41" s="20" t="s">
        <v>1003</v>
      </c>
      <c r="C41" s="20" t="s">
        <v>1004</v>
      </c>
      <c r="D41" s="20" t="s">
        <v>1005</v>
      </c>
      <c r="E41" s="20" t="str">
        <f>"1,0636"</f>
        <v>1,0636</v>
      </c>
      <c r="F41" s="20" t="s">
        <v>59</v>
      </c>
      <c r="G41" s="20" t="s">
        <v>60</v>
      </c>
      <c r="H41" s="62" t="s">
        <v>98</v>
      </c>
      <c r="I41" s="62" t="s">
        <v>41</v>
      </c>
      <c r="J41" s="63" t="s">
        <v>54</v>
      </c>
      <c r="K41" s="21"/>
      <c r="L41" s="62" t="s">
        <v>41</v>
      </c>
      <c r="M41" s="20" t="str">
        <f>"223,3560"</f>
        <v>223,3560</v>
      </c>
      <c r="N41" s="16" t="s">
        <v>493</v>
      </c>
    </row>
    <row r="42" spans="1:14" ht="12.75">
      <c r="A42" s="61">
        <v>1</v>
      </c>
      <c r="B42" s="24" t="s">
        <v>1006</v>
      </c>
      <c r="C42" s="24" t="s">
        <v>1007</v>
      </c>
      <c r="D42" s="24" t="s">
        <v>699</v>
      </c>
      <c r="E42" s="24" t="str">
        <f>"1,0456"</f>
        <v>1,0456</v>
      </c>
      <c r="F42" s="24" t="s">
        <v>27</v>
      </c>
      <c r="G42" s="24" t="s">
        <v>557</v>
      </c>
      <c r="H42" s="58" t="s">
        <v>81</v>
      </c>
      <c r="I42" s="56" t="s">
        <v>81</v>
      </c>
      <c r="J42" s="56" t="s">
        <v>83</v>
      </c>
      <c r="K42" s="25"/>
      <c r="L42" s="56" t="s">
        <v>83</v>
      </c>
      <c r="M42" s="24" t="str">
        <f>"282,3120"</f>
        <v>282,3120</v>
      </c>
      <c r="N42" s="18" t="s">
        <v>111</v>
      </c>
    </row>
    <row r="43" spans="2:13" ht="15.75">
      <c r="B43" s="174" t="s">
        <v>100</v>
      </c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</row>
    <row r="44" spans="1:14" ht="12.75">
      <c r="A44" s="61">
        <v>1</v>
      </c>
      <c r="B44" s="20" t="s">
        <v>1008</v>
      </c>
      <c r="C44" s="20" t="s">
        <v>1009</v>
      </c>
      <c r="D44" s="20" t="s">
        <v>1010</v>
      </c>
      <c r="E44" s="20" t="str">
        <f>"0,9996"</f>
        <v>0,9996</v>
      </c>
      <c r="F44" s="20" t="s">
        <v>27</v>
      </c>
      <c r="G44" s="20" t="s">
        <v>1557</v>
      </c>
      <c r="H44" s="62" t="s">
        <v>32</v>
      </c>
      <c r="I44" s="62" t="s">
        <v>239</v>
      </c>
      <c r="J44" s="62" t="s">
        <v>275</v>
      </c>
      <c r="K44" s="21"/>
      <c r="L44" s="62" t="s">
        <v>275</v>
      </c>
      <c r="M44" s="20" t="str">
        <f>"94,9620"</f>
        <v>94,9620</v>
      </c>
      <c r="N44" s="16" t="s">
        <v>111</v>
      </c>
    </row>
    <row r="45" spans="1:14" ht="12.75">
      <c r="A45" s="61">
        <v>1</v>
      </c>
      <c r="B45" s="24" t="s">
        <v>850</v>
      </c>
      <c r="C45" s="24" t="s">
        <v>851</v>
      </c>
      <c r="D45" s="24" t="s">
        <v>722</v>
      </c>
      <c r="E45" s="24" t="str">
        <f>"0,9690"</f>
        <v>0,9690</v>
      </c>
      <c r="F45" s="24" t="s">
        <v>853</v>
      </c>
      <c r="G45" s="24" t="s">
        <v>148</v>
      </c>
      <c r="H45" s="56" t="s">
        <v>361</v>
      </c>
      <c r="I45" s="56" t="s">
        <v>567</v>
      </c>
      <c r="J45" s="56" t="s">
        <v>70</v>
      </c>
      <c r="K45" s="25"/>
      <c r="L45" s="56" t="s">
        <v>70</v>
      </c>
      <c r="M45" s="24" t="str">
        <f>"276,1650"</f>
        <v>276,1650</v>
      </c>
      <c r="N45" s="18" t="s">
        <v>1111</v>
      </c>
    </row>
    <row r="46" spans="1:14" ht="12.75">
      <c r="A46" s="61">
        <v>1</v>
      </c>
      <c r="B46" s="26" t="s">
        <v>850</v>
      </c>
      <c r="C46" s="26" t="s">
        <v>852</v>
      </c>
      <c r="D46" s="26" t="s">
        <v>722</v>
      </c>
      <c r="E46" s="26" t="str">
        <f>"0,9690"</f>
        <v>0,9690</v>
      </c>
      <c r="F46" s="26" t="s">
        <v>853</v>
      </c>
      <c r="G46" s="26" t="s">
        <v>148</v>
      </c>
      <c r="H46" s="66" t="s">
        <v>361</v>
      </c>
      <c r="I46" s="66" t="s">
        <v>567</v>
      </c>
      <c r="J46" s="66" t="s">
        <v>70</v>
      </c>
      <c r="K46" s="27"/>
      <c r="L46" s="66" t="s">
        <v>70</v>
      </c>
      <c r="M46" s="26" t="str">
        <f>"276,1650"</f>
        <v>276,1650</v>
      </c>
      <c r="N46" s="19" t="s">
        <v>1111</v>
      </c>
    </row>
    <row r="47" spans="1:14" ht="12.75">
      <c r="A47" s="61">
        <v>2</v>
      </c>
      <c r="B47" s="24" t="s">
        <v>717</v>
      </c>
      <c r="C47" s="24" t="s">
        <v>718</v>
      </c>
      <c r="D47" s="24" t="s">
        <v>899</v>
      </c>
      <c r="E47" s="24" t="str">
        <f>"0,9776"</f>
        <v>0,9776</v>
      </c>
      <c r="F47" s="24" t="s">
        <v>1119</v>
      </c>
      <c r="G47" s="24" t="s">
        <v>136</v>
      </c>
      <c r="H47" s="58" t="s">
        <v>98</v>
      </c>
      <c r="I47" s="56" t="s">
        <v>98</v>
      </c>
      <c r="J47" s="58" t="s">
        <v>41</v>
      </c>
      <c r="K47" s="25"/>
      <c r="L47" s="56" t="s">
        <v>98</v>
      </c>
      <c r="M47" s="24" t="str">
        <f>"195,5200"</f>
        <v>195,5200</v>
      </c>
      <c r="N47" s="18" t="s">
        <v>337</v>
      </c>
    </row>
    <row r="48" spans="1:14" ht="12.75">
      <c r="A48" s="61">
        <v>1</v>
      </c>
      <c r="B48" s="22" t="s">
        <v>1011</v>
      </c>
      <c r="C48" s="22" t="s">
        <v>1012</v>
      </c>
      <c r="D48" s="22" t="s">
        <v>1013</v>
      </c>
      <c r="E48" s="22" t="str">
        <f>"0,9790"</f>
        <v>0,9790</v>
      </c>
      <c r="F48" s="22" t="s">
        <v>1117</v>
      </c>
      <c r="G48" s="22" t="s">
        <v>662</v>
      </c>
      <c r="H48" s="65" t="s">
        <v>89</v>
      </c>
      <c r="I48" s="64" t="s">
        <v>98</v>
      </c>
      <c r="J48" s="64" t="s">
        <v>41</v>
      </c>
      <c r="K48" s="23"/>
      <c r="L48" s="65" t="s">
        <v>89</v>
      </c>
      <c r="M48" s="22" t="str">
        <f>"186,0100"</f>
        <v>186,0100</v>
      </c>
      <c r="N48" s="17" t="s">
        <v>111</v>
      </c>
    </row>
    <row r="49" spans="2:13" ht="15.75">
      <c r="B49" s="174" t="s">
        <v>117</v>
      </c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</row>
    <row r="50" spans="1:14" ht="12.75">
      <c r="A50" s="61">
        <v>1</v>
      </c>
      <c r="B50" s="20" t="s">
        <v>1014</v>
      </c>
      <c r="C50" s="20" t="s">
        <v>1015</v>
      </c>
      <c r="D50" s="20" t="s">
        <v>520</v>
      </c>
      <c r="E50" s="20" t="str">
        <f>"0,9214"</f>
        <v>0,9214</v>
      </c>
      <c r="F50" s="20" t="s">
        <v>853</v>
      </c>
      <c r="G50" s="20" t="s">
        <v>1557</v>
      </c>
      <c r="H50" s="62" t="s">
        <v>171</v>
      </c>
      <c r="I50" s="63" t="s">
        <v>122</v>
      </c>
      <c r="J50" s="21"/>
      <c r="K50" s="21"/>
      <c r="L50" s="62" t="s">
        <v>171</v>
      </c>
      <c r="M50" s="20" t="str">
        <f>"234,9570"</f>
        <v>234,9570</v>
      </c>
      <c r="N50" s="16" t="s">
        <v>1111</v>
      </c>
    </row>
    <row r="51" spans="1:14" ht="12.75">
      <c r="A51" s="61">
        <v>1</v>
      </c>
      <c r="B51" s="24" t="s">
        <v>1014</v>
      </c>
      <c r="C51" s="24" t="s">
        <v>1016</v>
      </c>
      <c r="D51" s="24" t="s">
        <v>520</v>
      </c>
      <c r="E51" s="24" t="str">
        <f>"0,9214"</f>
        <v>0,9214</v>
      </c>
      <c r="F51" s="24" t="s">
        <v>853</v>
      </c>
      <c r="G51" s="20" t="s">
        <v>1557</v>
      </c>
      <c r="H51" s="56" t="s">
        <v>171</v>
      </c>
      <c r="I51" s="58" t="s">
        <v>122</v>
      </c>
      <c r="J51" s="25"/>
      <c r="K51" s="25"/>
      <c r="L51" s="56" t="s">
        <v>171</v>
      </c>
      <c r="M51" s="24" t="str">
        <f>"234,9570"</f>
        <v>234,9570</v>
      </c>
      <c r="N51" s="18" t="s">
        <v>1111</v>
      </c>
    </row>
    <row r="52" spans="1:14" ht="12.75">
      <c r="A52" s="61">
        <v>2</v>
      </c>
      <c r="B52" s="22" t="s">
        <v>1017</v>
      </c>
      <c r="C52" s="22" t="s">
        <v>1018</v>
      </c>
      <c r="D52" s="22" t="s">
        <v>1019</v>
      </c>
      <c r="E52" s="22" t="str">
        <f>"0,9320"</f>
        <v>0,9320</v>
      </c>
      <c r="F52" s="22" t="s">
        <v>27</v>
      </c>
      <c r="G52" s="22" t="s">
        <v>148</v>
      </c>
      <c r="H52" s="65" t="s">
        <v>515</v>
      </c>
      <c r="I52" s="65" t="s">
        <v>79</v>
      </c>
      <c r="J52" s="65" t="s">
        <v>42</v>
      </c>
      <c r="K52" s="23"/>
      <c r="L52" s="65" t="s">
        <v>42</v>
      </c>
      <c r="M52" s="22" t="str">
        <f>"214,3600"</f>
        <v>214,3600</v>
      </c>
      <c r="N52" s="17" t="s">
        <v>111</v>
      </c>
    </row>
    <row r="53" spans="2:13" ht="15.75">
      <c r="B53" s="174" t="s">
        <v>138</v>
      </c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</row>
    <row r="54" spans="1:14" ht="12.75">
      <c r="A54" s="61">
        <v>1</v>
      </c>
      <c r="B54" s="20" t="s">
        <v>762</v>
      </c>
      <c r="C54" s="20" t="s">
        <v>1020</v>
      </c>
      <c r="D54" s="20" t="s">
        <v>764</v>
      </c>
      <c r="E54" s="20" t="str">
        <f>"0,8966"</f>
        <v>0,8966</v>
      </c>
      <c r="F54" s="20" t="s">
        <v>59</v>
      </c>
      <c r="G54" s="20" t="s">
        <v>60</v>
      </c>
      <c r="H54" s="62" t="s">
        <v>108</v>
      </c>
      <c r="I54" s="62" t="s">
        <v>130</v>
      </c>
      <c r="J54" s="62" t="s">
        <v>43</v>
      </c>
      <c r="K54" s="21"/>
      <c r="L54" s="62" t="s">
        <v>43</v>
      </c>
      <c r="M54" s="20" t="str">
        <f>"219,6670"</f>
        <v>219,6670</v>
      </c>
      <c r="N54" s="16" t="s">
        <v>493</v>
      </c>
    </row>
    <row r="55" spans="1:14" ht="12.75">
      <c r="A55" s="61">
        <v>2</v>
      </c>
      <c r="B55" s="24" t="s">
        <v>1021</v>
      </c>
      <c r="C55" s="24" t="s">
        <v>1022</v>
      </c>
      <c r="D55" s="24" t="s">
        <v>1023</v>
      </c>
      <c r="E55" s="24" t="str">
        <f>"0,8988"</f>
        <v>0,8988</v>
      </c>
      <c r="F55" s="24" t="s">
        <v>27</v>
      </c>
      <c r="G55" s="24" t="s">
        <v>319</v>
      </c>
      <c r="H55" s="58" t="s">
        <v>41</v>
      </c>
      <c r="I55" s="56" t="s">
        <v>54</v>
      </c>
      <c r="J55" s="58" t="s">
        <v>42</v>
      </c>
      <c r="K55" s="25"/>
      <c r="L55" s="56" t="s">
        <v>54</v>
      </c>
      <c r="M55" s="24" t="str">
        <f>"197,7360"</f>
        <v>197,7360</v>
      </c>
      <c r="N55" s="18" t="s">
        <v>844</v>
      </c>
    </row>
    <row r="56" spans="2:13" ht="15.75">
      <c r="B56" s="174" t="s">
        <v>166</v>
      </c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</row>
    <row r="57" spans="1:14" ht="12.75">
      <c r="A57" s="61">
        <v>1</v>
      </c>
      <c r="B57" s="24" t="s">
        <v>1024</v>
      </c>
      <c r="C57" s="24" t="s">
        <v>1025</v>
      </c>
      <c r="D57" s="24" t="s">
        <v>1026</v>
      </c>
      <c r="E57" s="24" t="str">
        <f>"0,8592"</f>
        <v>0,8592</v>
      </c>
      <c r="F57" s="24" t="s">
        <v>853</v>
      </c>
      <c r="G57" s="24" t="s">
        <v>148</v>
      </c>
      <c r="H57" s="56" t="s">
        <v>70</v>
      </c>
      <c r="I57" s="56" t="s">
        <v>73</v>
      </c>
      <c r="J57" s="58" t="s">
        <v>74</v>
      </c>
      <c r="K57" s="25"/>
      <c r="L57" s="56" t="s">
        <v>73</v>
      </c>
      <c r="M57" s="24" t="str">
        <f>"262,0560"</f>
        <v>262,0560</v>
      </c>
      <c r="N57" s="18" t="s">
        <v>1112</v>
      </c>
    </row>
    <row r="59" spans="2:3" ht="18">
      <c r="B59" s="29" t="s">
        <v>7</v>
      </c>
      <c r="C59" s="29"/>
    </row>
    <row r="60" spans="2:3" ht="15.75">
      <c r="B60" s="30" t="s">
        <v>189</v>
      </c>
      <c r="C60" s="30"/>
    </row>
    <row r="61" spans="2:3" ht="13.5">
      <c r="B61" s="32" t="s">
        <v>184</v>
      </c>
      <c r="C61" s="33"/>
    </row>
    <row r="62" spans="2:6" ht="13.5">
      <c r="B62" s="35" t="s">
        <v>176</v>
      </c>
      <c r="C62" s="35" t="s">
        <v>177</v>
      </c>
      <c r="D62" s="35" t="s">
        <v>178</v>
      </c>
      <c r="E62" s="35" t="s">
        <v>179</v>
      </c>
      <c r="F62" s="35" t="s">
        <v>180</v>
      </c>
    </row>
    <row r="63" spans="1:6" ht="12.75">
      <c r="A63" s="61">
        <v>1</v>
      </c>
      <c r="B63" s="31" t="s">
        <v>986</v>
      </c>
      <c r="C63" s="133" t="s">
        <v>185</v>
      </c>
      <c r="D63" s="133" t="s">
        <v>382</v>
      </c>
      <c r="E63" s="133" t="s">
        <v>988</v>
      </c>
      <c r="F63" s="134" t="s">
        <v>1030</v>
      </c>
    </row>
    <row r="64" spans="1:6" ht="12.75">
      <c r="A64" s="61">
        <v>2</v>
      </c>
      <c r="B64" s="31" t="s">
        <v>1006</v>
      </c>
      <c r="C64" s="133" t="s">
        <v>185</v>
      </c>
      <c r="D64" s="133" t="s">
        <v>193</v>
      </c>
      <c r="E64" s="133" t="s">
        <v>83</v>
      </c>
      <c r="F64" s="134" t="s">
        <v>1031</v>
      </c>
    </row>
    <row r="65" spans="1:6" ht="12.75">
      <c r="A65" s="61">
        <v>3</v>
      </c>
      <c r="B65" s="31" t="s">
        <v>850</v>
      </c>
      <c r="C65" s="133" t="s">
        <v>185</v>
      </c>
      <c r="D65" s="133" t="s">
        <v>205</v>
      </c>
      <c r="E65" s="133" t="s">
        <v>70</v>
      </c>
      <c r="F65" s="134" t="s">
        <v>1028</v>
      </c>
    </row>
    <row r="66" spans="2:6" ht="12.75">
      <c r="B66" s="31" t="s">
        <v>1024</v>
      </c>
      <c r="C66" s="133" t="s">
        <v>185</v>
      </c>
      <c r="D66" s="133" t="s">
        <v>212</v>
      </c>
      <c r="E66" s="133" t="s">
        <v>73</v>
      </c>
      <c r="F66" s="134" t="s">
        <v>1032</v>
      </c>
    </row>
    <row r="67" spans="2:6" ht="12.75">
      <c r="B67" s="31" t="s">
        <v>884</v>
      </c>
      <c r="C67" s="133" t="s">
        <v>185</v>
      </c>
      <c r="D67" s="133" t="s">
        <v>379</v>
      </c>
      <c r="E67" s="133" t="s">
        <v>46</v>
      </c>
      <c r="F67" s="134" t="s">
        <v>949</v>
      </c>
    </row>
    <row r="68" spans="2:6" ht="12.75">
      <c r="B68" s="31" t="s">
        <v>334</v>
      </c>
      <c r="C68" s="133" t="s">
        <v>185</v>
      </c>
      <c r="D68" s="133" t="s">
        <v>181</v>
      </c>
      <c r="E68" s="133" t="s">
        <v>41</v>
      </c>
      <c r="F68" s="134" t="s">
        <v>1033</v>
      </c>
    </row>
    <row r="69" spans="2:6" ht="12.75">
      <c r="B69" s="31" t="s">
        <v>1014</v>
      </c>
      <c r="C69" s="133" t="s">
        <v>185</v>
      </c>
      <c r="D69" s="133" t="s">
        <v>200</v>
      </c>
      <c r="E69" s="133" t="s">
        <v>171</v>
      </c>
      <c r="F69" s="134" t="s">
        <v>1029</v>
      </c>
    </row>
    <row r="70" spans="2:6" ht="12.75">
      <c r="B70" s="31" t="s">
        <v>762</v>
      </c>
      <c r="C70" s="133" t="s">
        <v>185</v>
      </c>
      <c r="D70" s="133" t="s">
        <v>190</v>
      </c>
      <c r="E70" s="133" t="s">
        <v>43</v>
      </c>
      <c r="F70" s="134" t="s">
        <v>1034</v>
      </c>
    </row>
    <row r="71" spans="2:6" ht="12.75">
      <c r="B71" s="31" t="s">
        <v>1017</v>
      </c>
      <c r="C71" s="133" t="s">
        <v>185</v>
      </c>
      <c r="D71" s="133" t="s">
        <v>200</v>
      </c>
      <c r="E71" s="133" t="s">
        <v>42</v>
      </c>
      <c r="F71" s="134" t="s">
        <v>1035</v>
      </c>
    </row>
    <row r="72" spans="2:6" ht="12.75">
      <c r="B72" s="31" t="s">
        <v>1021</v>
      </c>
      <c r="C72" s="133" t="s">
        <v>185</v>
      </c>
      <c r="D72" s="133" t="s">
        <v>190</v>
      </c>
      <c r="E72" s="133" t="s">
        <v>54</v>
      </c>
      <c r="F72" s="134" t="s">
        <v>1036</v>
      </c>
    </row>
    <row r="73" spans="2:6" ht="12.75">
      <c r="B73" s="31" t="s">
        <v>717</v>
      </c>
      <c r="C73" s="133" t="s">
        <v>185</v>
      </c>
      <c r="D73" s="133" t="s">
        <v>205</v>
      </c>
      <c r="E73" s="133" t="s">
        <v>98</v>
      </c>
      <c r="F73" s="134" t="s">
        <v>1037</v>
      </c>
    </row>
    <row r="74" spans="2:6" ht="12.75">
      <c r="B74" s="31" t="s">
        <v>990</v>
      </c>
      <c r="C74" s="133" t="s">
        <v>185</v>
      </c>
      <c r="D74" s="133" t="s">
        <v>382</v>
      </c>
      <c r="E74" s="133" t="s">
        <v>91</v>
      </c>
      <c r="F74" s="134" t="s">
        <v>1027</v>
      </c>
    </row>
    <row r="75" spans="2:6" ht="12.75">
      <c r="B75" s="31" t="s">
        <v>976</v>
      </c>
      <c r="C75" s="133" t="s">
        <v>185</v>
      </c>
      <c r="D75" s="133" t="s">
        <v>379</v>
      </c>
      <c r="E75" s="133" t="s">
        <v>32</v>
      </c>
      <c r="F75" s="134" t="s">
        <v>1038</v>
      </c>
    </row>
  </sheetData>
  <sheetProtection/>
  <mergeCells count="28">
    <mergeCell ref="B56:M56"/>
    <mergeCell ref="B28:M28"/>
    <mergeCell ref="B33:M33"/>
    <mergeCell ref="B40:M40"/>
    <mergeCell ref="B43:M43"/>
    <mergeCell ref="B49:M49"/>
    <mergeCell ref="B53:M53"/>
    <mergeCell ref="B13:M13"/>
    <mergeCell ref="B16:M16"/>
    <mergeCell ref="B20:M20"/>
    <mergeCell ref="B22:M22"/>
    <mergeCell ref="B19:M19"/>
    <mergeCell ref="B25:M25"/>
    <mergeCell ref="N3:N4"/>
    <mergeCell ref="B6:M6"/>
    <mergeCell ref="B8:M8"/>
    <mergeCell ref="B11:M11"/>
    <mergeCell ref="H3:K3"/>
    <mergeCell ref="L3:L4"/>
    <mergeCell ref="M3:M4"/>
    <mergeCell ref="B5:M5"/>
    <mergeCell ref="B1:G2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1"/>
  <sheetViews>
    <sheetView workbookViewId="0" topLeftCell="A41">
      <selection activeCell="G36" sqref="G36"/>
    </sheetView>
  </sheetViews>
  <sheetFormatPr defaultColWidth="8.75390625" defaultRowHeight="12.75"/>
  <cols>
    <col min="1" max="1" width="3.375" style="61" customWidth="1"/>
    <col min="2" max="2" width="23.75390625" style="28" customWidth="1"/>
    <col min="3" max="3" width="26.125" style="28" customWidth="1"/>
    <col min="4" max="4" width="10.75390625" style="28" customWidth="1"/>
    <col min="5" max="5" width="8.25390625" style="28" customWidth="1"/>
    <col min="6" max="6" width="19.75390625" style="28" customWidth="1"/>
    <col min="7" max="7" width="37.25390625" style="28" customWidth="1"/>
    <col min="8" max="11" width="5.625" style="28" bestFit="1" customWidth="1"/>
    <col min="12" max="12" width="7.875" style="36" customWidth="1"/>
    <col min="13" max="13" width="8.625" style="28" bestFit="1" customWidth="1"/>
    <col min="14" max="14" width="23.375" style="0" customWidth="1"/>
  </cols>
  <sheetData>
    <row r="1" spans="1:12" s="1" customFormat="1" ht="15" customHeight="1">
      <c r="A1" s="38"/>
      <c r="B1" s="162" t="s">
        <v>1163</v>
      </c>
      <c r="C1" s="176"/>
      <c r="D1" s="176"/>
      <c r="E1" s="176"/>
      <c r="F1" s="176"/>
      <c r="G1" s="176"/>
      <c r="L1" s="38"/>
    </row>
    <row r="2" spans="1:12" s="1" customFormat="1" ht="81.75" customHeight="1" thickBot="1">
      <c r="A2" s="38"/>
      <c r="B2" s="177"/>
      <c r="C2" s="178"/>
      <c r="D2" s="178"/>
      <c r="E2" s="178"/>
      <c r="F2" s="178"/>
      <c r="G2" s="178"/>
      <c r="L2" s="38"/>
    </row>
    <row r="3" spans="2:14" s="2" customFormat="1" ht="12.75" customHeight="1">
      <c r="B3" s="166" t="s">
        <v>0</v>
      </c>
      <c r="C3" s="168" t="s">
        <v>1108</v>
      </c>
      <c r="D3" s="170" t="s">
        <v>1109</v>
      </c>
      <c r="E3" s="170" t="s">
        <v>1110</v>
      </c>
      <c r="F3" s="170" t="s">
        <v>4</v>
      </c>
      <c r="G3" s="170" t="s">
        <v>6</v>
      </c>
      <c r="H3" s="170" t="s">
        <v>1</v>
      </c>
      <c r="I3" s="170"/>
      <c r="J3" s="170"/>
      <c r="K3" s="170"/>
      <c r="L3" s="170" t="s">
        <v>2</v>
      </c>
      <c r="M3" s="170" t="s">
        <v>1110</v>
      </c>
      <c r="N3" s="160" t="s">
        <v>3</v>
      </c>
    </row>
    <row r="4" spans="2:14" s="2" customFormat="1" ht="21" customHeight="1" thickBot="1">
      <c r="B4" s="167"/>
      <c r="C4" s="169"/>
      <c r="D4" s="169"/>
      <c r="E4" s="169"/>
      <c r="F4" s="169"/>
      <c r="G4" s="169"/>
      <c r="H4" s="3">
        <v>1</v>
      </c>
      <c r="I4" s="3">
        <v>2</v>
      </c>
      <c r="J4" s="3">
        <v>3</v>
      </c>
      <c r="K4" s="3" t="s">
        <v>5</v>
      </c>
      <c r="L4" s="169"/>
      <c r="M4" s="169"/>
      <c r="N4" s="161"/>
    </row>
    <row r="5" spans="2:13" ht="15.75">
      <c r="B5" s="171" t="s">
        <v>1052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</row>
    <row r="6" spans="2:13" ht="15.75">
      <c r="B6" s="171" t="s">
        <v>8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</row>
    <row r="7" spans="1:14" ht="12.75">
      <c r="A7" s="61">
        <v>1</v>
      </c>
      <c r="B7" s="24" t="s">
        <v>9</v>
      </c>
      <c r="C7" s="24" t="s">
        <v>10</v>
      </c>
      <c r="D7" s="24" t="s">
        <v>600</v>
      </c>
      <c r="E7" s="24" t="str">
        <f>"2,0790"</f>
        <v>2,0790</v>
      </c>
      <c r="F7" s="24" t="s">
        <v>12</v>
      </c>
      <c r="G7" s="24" t="s">
        <v>13</v>
      </c>
      <c r="H7" s="56" t="s">
        <v>20</v>
      </c>
      <c r="I7" s="25"/>
      <c r="J7" s="25"/>
      <c r="K7" s="25"/>
      <c r="L7" s="56" t="s">
        <v>20</v>
      </c>
      <c r="M7" s="24" t="str">
        <f>"322,2450"</f>
        <v>322,2450</v>
      </c>
      <c r="N7" s="18" t="s">
        <v>1236</v>
      </c>
    </row>
    <row r="8" spans="2:13" ht="15.75">
      <c r="B8" s="171" t="s">
        <v>248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</row>
    <row r="9" spans="1:14" ht="12.75">
      <c r="A9" s="61">
        <v>1</v>
      </c>
      <c r="B9" s="24" t="s">
        <v>867</v>
      </c>
      <c r="C9" s="24" t="s">
        <v>868</v>
      </c>
      <c r="D9" s="24" t="s">
        <v>869</v>
      </c>
      <c r="E9" s="24" t="str">
        <f>"1,9122"</f>
        <v>1,9122</v>
      </c>
      <c r="F9" s="24" t="s">
        <v>870</v>
      </c>
      <c r="G9" s="24" t="s">
        <v>1188</v>
      </c>
      <c r="H9" s="56" t="s">
        <v>275</v>
      </c>
      <c r="I9" s="56" t="s">
        <v>255</v>
      </c>
      <c r="J9" s="58" t="s">
        <v>53</v>
      </c>
      <c r="K9" s="25"/>
      <c r="L9" s="56" t="s">
        <v>255</v>
      </c>
      <c r="M9" s="24" t="str">
        <f>"200,7810"</f>
        <v>200,7810</v>
      </c>
      <c r="N9" s="18" t="s">
        <v>871</v>
      </c>
    </row>
    <row r="10" spans="2:13" ht="15.75">
      <c r="B10" s="171" t="s">
        <v>257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</row>
    <row r="11" spans="1:14" ht="12.75">
      <c r="A11" s="61">
        <v>1</v>
      </c>
      <c r="B11" s="20" t="s">
        <v>408</v>
      </c>
      <c r="C11" s="20" t="s">
        <v>1540</v>
      </c>
      <c r="D11" s="20" t="s">
        <v>409</v>
      </c>
      <c r="E11" s="20" t="str">
        <f>"1,7902"</f>
        <v>1,7902</v>
      </c>
      <c r="F11" s="20" t="s">
        <v>1182</v>
      </c>
      <c r="G11" s="20" t="s">
        <v>1186</v>
      </c>
      <c r="H11" s="56" t="s">
        <v>1075</v>
      </c>
      <c r="I11" s="56" t="s">
        <v>21</v>
      </c>
      <c r="J11" s="21"/>
      <c r="K11" s="21"/>
      <c r="L11" s="56" t="s">
        <v>21</v>
      </c>
      <c r="M11" s="20" t="str">
        <f>"290,9075"</f>
        <v>290,9075</v>
      </c>
      <c r="N11" s="16" t="s">
        <v>412</v>
      </c>
    </row>
    <row r="12" spans="1:14" ht="12.75">
      <c r="A12" s="61">
        <v>2</v>
      </c>
      <c r="B12" s="24" t="s">
        <v>872</v>
      </c>
      <c r="C12" s="24" t="s">
        <v>873</v>
      </c>
      <c r="D12" s="24" t="s">
        <v>874</v>
      </c>
      <c r="E12" s="24" t="str">
        <f>"1,8316"</f>
        <v>1,8316</v>
      </c>
      <c r="F12" s="24" t="s">
        <v>870</v>
      </c>
      <c r="G12" s="24" t="s">
        <v>1188</v>
      </c>
      <c r="H12" s="56" t="s">
        <v>16</v>
      </c>
      <c r="I12" s="58" t="s">
        <v>34</v>
      </c>
      <c r="J12" s="56" t="s">
        <v>34</v>
      </c>
      <c r="K12" s="25"/>
      <c r="L12" s="56" t="s">
        <v>34</v>
      </c>
      <c r="M12" s="24" t="str">
        <f>"238,1080"</f>
        <v>238,1080</v>
      </c>
      <c r="N12" s="18" t="s">
        <v>871</v>
      </c>
    </row>
    <row r="13" spans="2:13" ht="15.75">
      <c r="B13" s="171" t="s">
        <v>284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</row>
    <row r="14" spans="1:14" ht="12.75">
      <c r="A14" s="61">
        <v>1</v>
      </c>
      <c r="B14" s="24" t="s">
        <v>875</v>
      </c>
      <c r="C14" s="24" t="s">
        <v>876</v>
      </c>
      <c r="D14" s="24" t="s">
        <v>652</v>
      </c>
      <c r="E14" s="24" t="str">
        <f>"1,6390"</f>
        <v>1,6390</v>
      </c>
      <c r="F14" s="24" t="s">
        <v>27</v>
      </c>
      <c r="G14" s="24" t="s">
        <v>877</v>
      </c>
      <c r="H14" s="56" t="s">
        <v>45</v>
      </c>
      <c r="I14" s="58" t="s">
        <v>46</v>
      </c>
      <c r="J14" s="25"/>
      <c r="K14" s="25"/>
      <c r="L14" s="56" t="s">
        <v>45</v>
      </c>
      <c r="M14" s="24" t="str">
        <f>"278,6300"</f>
        <v>278,6300</v>
      </c>
      <c r="N14" s="18" t="s">
        <v>878</v>
      </c>
    </row>
    <row r="15" spans="2:13" ht="15.75">
      <c r="B15" s="171" t="s">
        <v>23</v>
      </c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</row>
    <row r="16" spans="1:14" ht="12.75">
      <c r="A16" s="61">
        <v>1</v>
      </c>
      <c r="B16" s="24" t="s">
        <v>879</v>
      </c>
      <c r="C16" s="24" t="s">
        <v>880</v>
      </c>
      <c r="D16" s="24" t="s">
        <v>881</v>
      </c>
      <c r="E16" s="24" t="str">
        <f>"1,6050"</f>
        <v>1,6050</v>
      </c>
      <c r="F16" s="24" t="s">
        <v>870</v>
      </c>
      <c r="G16" s="24" t="s">
        <v>1188</v>
      </c>
      <c r="H16" s="58" t="s">
        <v>288</v>
      </c>
      <c r="I16" s="56" t="s">
        <v>288</v>
      </c>
      <c r="J16" s="58" t="s">
        <v>255</v>
      </c>
      <c r="K16" s="25"/>
      <c r="L16" s="56" t="s">
        <v>288</v>
      </c>
      <c r="M16" s="24" t="str">
        <f>"156,4875"</f>
        <v>156,4875</v>
      </c>
      <c r="N16" s="18" t="s">
        <v>871</v>
      </c>
    </row>
    <row r="17" spans="2:13" ht="15.75">
      <c r="B17" s="171" t="s">
        <v>66</v>
      </c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</row>
    <row r="18" spans="1:14" ht="12.75">
      <c r="A18" s="61">
        <v>1</v>
      </c>
      <c r="B18" s="20" t="s">
        <v>481</v>
      </c>
      <c r="C18" s="20" t="s">
        <v>482</v>
      </c>
      <c r="D18" s="20" t="s">
        <v>77</v>
      </c>
      <c r="E18" s="20" t="str">
        <f>"1,4912"</f>
        <v>1,4912</v>
      </c>
      <c r="F18" s="20" t="s">
        <v>27</v>
      </c>
      <c r="G18" s="20" t="s">
        <v>1188</v>
      </c>
      <c r="H18" s="63" t="s">
        <v>98</v>
      </c>
      <c r="I18" s="62" t="s">
        <v>98</v>
      </c>
      <c r="J18" s="62" t="s">
        <v>41</v>
      </c>
      <c r="K18" s="63" t="s">
        <v>54</v>
      </c>
      <c r="L18" s="62" t="s">
        <v>41</v>
      </c>
      <c r="M18" s="20" t="str">
        <f>"313,1520"</f>
        <v>313,1520</v>
      </c>
      <c r="N18" s="16" t="s">
        <v>483</v>
      </c>
    </row>
    <row r="19" spans="1:14" ht="12.75">
      <c r="A19" s="61">
        <v>1</v>
      </c>
      <c r="B19" s="24" t="s">
        <v>481</v>
      </c>
      <c r="C19" s="24" t="s">
        <v>882</v>
      </c>
      <c r="D19" s="24" t="s">
        <v>77</v>
      </c>
      <c r="E19" s="24" t="str">
        <f>"1,4912"</f>
        <v>1,4912</v>
      </c>
      <c r="F19" s="24" t="s">
        <v>27</v>
      </c>
      <c r="G19" s="24" t="s">
        <v>1188</v>
      </c>
      <c r="H19" s="58" t="s">
        <v>98</v>
      </c>
      <c r="I19" s="56" t="s">
        <v>98</v>
      </c>
      <c r="J19" s="56" t="s">
        <v>41</v>
      </c>
      <c r="K19" s="58" t="s">
        <v>54</v>
      </c>
      <c r="L19" s="56" t="s">
        <v>41</v>
      </c>
      <c r="M19" s="24" t="str">
        <f>"313,1520"</f>
        <v>313,1520</v>
      </c>
      <c r="N19" s="18" t="s">
        <v>483</v>
      </c>
    </row>
    <row r="20" spans="1:14" ht="12.75">
      <c r="A20" s="61">
        <v>2</v>
      </c>
      <c r="B20" s="22" t="s">
        <v>883</v>
      </c>
      <c r="C20" s="22" t="s">
        <v>1549</v>
      </c>
      <c r="D20" s="22" t="s">
        <v>832</v>
      </c>
      <c r="E20" s="22" t="str">
        <f>"1,4838"</f>
        <v>1,4838</v>
      </c>
      <c r="F20" s="22" t="s">
        <v>870</v>
      </c>
      <c r="G20" s="22" t="s">
        <v>1188</v>
      </c>
      <c r="H20" s="65" t="s">
        <v>62</v>
      </c>
      <c r="I20" s="65" t="s">
        <v>16</v>
      </c>
      <c r="J20" s="65" t="s">
        <v>29</v>
      </c>
      <c r="K20" s="23"/>
      <c r="L20" s="65" t="s">
        <v>29</v>
      </c>
      <c r="M20" s="22" t="str">
        <f>"185,4750"</f>
        <v>185,4750</v>
      </c>
      <c r="N20" s="17" t="s">
        <v>871</v>
      </c>
    </row>
    <row r="21" spans="2:13" ht="15.75">
      <c r="B21" s="171" t="s">
        <v>1053</v>
      </c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</row>
    <row r="22" spans="2:13" ht="15.75">
      <c r="B22" s="171" t="s">
        <v>257</v>
      </c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</row>
    <row r="23" spans="1:14" ht="12.75">
      <c r="A23" s="61">
        <v>1</v>
      </c>
      <c r="B23" s="24" t="s">
        <v>884</v>
      </c>
      <c r="C23" s="24" t="s">
        <v>885</v>
      </c>
      <c r="D23" s="24" t="s">
        <v>886</v>
      </c>
      <c r="E23" s="24" t="str">
        <f>"1,4780"</f>
        <v>1,4780</v>
      </c>
      <c r="F23" s="24" t="s">
        <v>27</v>
      </c>
      <c r="G23" s="24" t="s">
        <v>639</v>
      </c>
      <c r="H23" s="56" t="s">
        <v>20</v>
      </c>
      <c r="I23" s="56" t="s">
        <v>72</v>
      </c>
      <c r="J23" s="56" t="s">
        <v>46</v>
      </c>
      <c r="K23" s="25"/>
      <c r="L23" s="56" t="s">
        <v>46</v>
      </c>
      <c r="M23" s="24" t="str">
        <f>"258,6500"</f>
        <v>258,6500</v>
      </c>
      <c r="N23" s="18" t="s">
        <v>111</v>
      </c>
    </row>
    <row r="24" spans="2:13" ht="15.75">
      <c r="B24" s="171" t="s">
        <v>23</v>
      </c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</row>
    <row r="25" spans="1:14" ht="12.75">
      <c r="A25" s="61">
        <v>1</v>
      </c>
      <c r="B25" s="20" t="s">
        <v>887</v>
      </c>
      <c r="C25" s="20" t="s">
        <v>888</v>
      </c>
      <c r="D25" s="20" t="s">
        <v>889</v>
      </c>
      <c r="E25" s="20" t="str">
        <f>"1,1182"</f>
        <v>1,1182</v>
      </c>
      <c r="F25" s="20" t="s">
        <v>27</v>
      </c>
      <c r="G25" s="20" t="s">
        <v>148</v>
      </c>
      <c r="H25" s="62" t="s">
        <v>64</v>
      </c>
      <c r="I25" s="62" t="s">
        <v>90</v>
      </c>
      <c r="J25" s="62" t="s">
        <v>79</v>
      </c>
      <c r="K25" s="21"/>
      <c r="L25" s="62" t="s">
        <v>79</v>
      </c>
      <c r="M25" s="20" t="str">
        <f>"240,4130"</f>
        <v>240,4130</v>
      </c>
      <c r="N25" s="16" t="s">
        <v>890</v>
      </c>
    </row>
    <row r="26" spans="1:14" ht="12.75">
      <c r="A26" s="61">
        <v>1</v>
      </c>
      <c r="B26" s="24" t="s">
        <v>37</v>
      </c>
      <c r="C26" s="103" t="s">
        <v>1538</v>
      </c>
      <c r="D26" s="24" t="s">
        <v>39</v>
      </c>
      <c r="E26" s="24" t="str">
        <f>"1,1194"</f>
        <v>1,1194</v>
      </c>
      <c r="F26" s="24" t="s">
        <v>27</v>
      </c>
      <c r="G26" s="24" t="s">
        <v>40</v>
      </c>
      <c r="H26" s="56" t="s">
        <v>47</v>
      </c>
      <c r="I26" s="58" t="s">
        <v>48</v>
      </c>
      <c r="J26" s="58" t="s">
        <v>49</v>
      </c>
      <c r="K26" s="25"/>
      <c r="L26" s="56" t="s">
        <v>47</v>
      </c>
      <c r="M26" s="24" t="str">
        <f>"313,4320"</f>
        <v>313,4320</v>
      </c>
      <c r="N26" s="18" t="s">
        <v>111</v>
      </c>
    </row>
    <row r="27" spans="1:14" ht="12.75">
      <c r="A27" s="61">
        <v>2</v>
      </c>
      <c r="B27" s="22" t="s">
        <v>56</v>
      </c>
      <c r="C27" s="22" t="s">
        <v>57</v>
      </c>
      <c r="D27" s="22" t="s">
        <v>58</v>
      </c>
      <c r="E27" s="22" t="str">
        <f>"1,1470"</f>
        <v>1,1470</v>
      </c>
      <c r="F27" s="22" t="s">
        <v>59</v>
      </c>
      <c r="G27" s="22" t="s">
        <v>60</v>
      </c>
      <c r="H27" s="65" t="s">
        <v>46</v>
      </c>
      <c r="I27" s="65" t="s">
        <v>63</v>
      </c>
      <c r="J27" s="64" t="s">
        <v>64</v>
      </c>
      <c r="K27" s="23"/>
      <c r="L27" s="65" t="s">
        <v>63</v>
      </c>
      <c r="M27" s="22" t="str">
        <f>"183,5200"</f>
        <v>183,5200</v>
      </c>
      <c r="N27" s="17" t="s">
        <v>65</v>
      </c>
    </row>
    <row r="28" spans="2:13" ht="15.75">
      <c r="B28" s="171" t="s">
        <v>66</v>
      </c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</row>
    <row r="29" spans="1:14" ht="12.75">
      <c r="A29" s="61">
        <v>1</v>
      </c>
      <c r="B29" s="20" t="s">
        <v>891</v>
      </c>
      <c r="C29" s="20" t="s">
        <v>892</v>
      </c>
      <c r="D29" s="20" t="s">
        <v>893</v>
      </c>
      <c r="E29" s="20" t="str">
        <f>"1,0516"</f>
        <v>1,0516</v>
      </c>
      <c r="F29" s="20" t="s">
        <v>27</v>
      </c>
      <c r="G29" s="20" t="s">
        <v>148</v>
      </c>
      <c r="H29" s="62" t="s">
        <v>479</v>
      </c>
      <c r="I29" s="62" t="s">
        <v>381</v>
      </c>
      <c r="J29" s="62" t="s">
        <v>130</v>
      </c>
      <c r="K29" s="56" t="s">
        <v>459</v>
      </c>
      <c r="L29" s="62" t="s">
        <v>130</v>
      </c>
      <c r="M29" s="20" t="str">
        <f>"247,1260"</f>
        <v>247,1260</v>
      </c>
      <c r="N29" s="16" t="s">
        <v>894</v>
      </c>
    </row>
    <row r="30" spans="1:14" ht="12.75">
      <c r="A30" s="61">
        <v>1</v>
      </c>
      <c r="B30" s="24" t="s">
        <v>67</v>
      </c>
      <c r="C30" s="24" t="s">
        <v>68</v>
      </c>
      <c r="D30" s="24" t="s">
        <v>895</v>
      </c>
      <c r="E30" s="24" t="str">
        <f>"1,0356"</f>
        <v>1,0356</v>
      </c>
      <c r="F30" s="24" t="s">
        <v>853</v>
      </c>
      <c r="G30" s="24" t="s">
        <v>1188</v>
      </c>
      <c r="H30" s="56" t="s">
        <v>73</v>
      </c>
      <c r="I30" s="58" t="s">
        <v>74</v>
      </c>
      <c r="J30" s="58" t="s">
        <v>74</v>
      </c>
      <c r="K30" s="25"/>
      <c r="L30" s="56" t="s">
        <v>73</v>
      </c>
      <c r="M30" s="24" t="str">
        <f>"315,8580"</f>
        <v>315,8580</v>
      </c>
      <c r="N30" s="18" t="s">
        <v>111</v>
      </c>
    </row>
    <row r="31" spans="1:14" ht="12.75">
      <c r="A31" s="61">
        <v>2</v>
      </c>
      <c r="B31" s="26" t="s">
        <v>415</v>
      </c>
      <c r="C31" s="26" t="s">
        <v>1542</v>
      </c>
      <c r="D31" s="26" t="s">
        <v>1106</v>
      </c>
      <c r="E31" s="26" t="s">
        <v>1107</v>
      </c>
      <c r="F31" s="26" t="s">
        <v>12</v>
      </c>
      <c r="G31" s="26" t="s">
        <v>13</v>
      </c>
      <c r="H31" s="66" t="s">
        <v>48</v>
      </c>
      <c r="I31" s="27"/>
      <c r="J31" s="27"/>
      <c r="K31" s="27"/>
      <c r="L31" s="66" t="s">
        <v>48</v>
      </c>
      <c r="M31" s="26" t="s">
        <v>1237</v>
      </c>
      <c r="N31" s="19" t="s">
        <v>1111</v>
      </c>
    </row>
    <row r="32" spans="1:14" ht="12.75">
      <c r="A32" s="61">
        <v>3</v>
      </c>
      <c r="B32" s="24" t="s">
        <v>896</v>
      </c>
      <c r="C32" s="24" t="s">
        <v>897</v>
      </c>
      <c r="D32" s="24" t="s">
        <v>699</v>
      </c>
      <c r="E32" s="24" t="str">
        <f>"1,0456"</f>
        <v>1,0456</v>
      </c>
      <c r="F32" s="24" t="s">
        <v>1119</v>
      </c>
      <c r="G32" s="24" t="s">
        <v>136</v>
      </c>
      <c r="H32" s="56" t="s">
        <v>52</v>
      </c>
      <c r="I32" s="56" t="s">
        <v>89</v>
      </c>
      <c r="J32" s="56" t="s">
        <v>515</v>
      </c>
      <c r="K32" s="25"/>
      <c r="L32" s="56" t="s">
        <v>515</v>
      </c>
      <c r="M32" s="24" t="str">
        <f>"211,7340"</f>
        <v>211,7340</v>
      </c>
      <c r="N32" s="18" t="s">
        <v>111</v>
      </c>
    </row>
    <row r="33" spans="2:13" ht="15.75">
      <c r="B33" s="171" t="s">
        <v>100</v>
      </c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</row>
    <row r="34" spans="1:14" ht="12.75">
      <c r="A34" s="61">
        <v>1</v>
      </c>
      <c r="B34" s="20" t="s">
        <v>898</v>
      </c>
      <c r="C34" s="20" t="s">
        <v>1550</v>
      </c>
      <c r="D34" s="20" t="s">
        <v>114</v>
      </c>
      <c r="E34" s="20" t="str">
        <f>"1,0060"</f>
        <v>1,0060</v>
      </c>
      <c r="F34" s="20" t="s">
        <v>27</v>
      </c>
      <c r="G34" s="20" t="s">
        <v>148</v>
      </c>
      <c r="H34" s="63" t="s">
        <v>92</v>
      </c>
      <c r="I34" s="62" t="s">
        <v>92</v>
      </c>
      <c r="J34" s="63" t="s">
        <v>82</v>
      </c>
      <c r="K34" s="21"/>
      <c r="L34" s="62" t="s">
        <v>92</v>
      </c>
      <c r="M34" s="20" t="str">
        <f>"241,4400"</f>
        <v>241,4400</v>
      </c>
      <c r="N34" s="16" t="s">
        <v>1118</v>
      </c>
    </row>
    <row r="35" spans="1:14" ht="12.75">
      <c r="A35" s="61">
        <v>1</v>
      </c>
      <c r="B35" s="24" t="s">
        <v>418</v>
      </c>
      <c r="C35" s="24" t="s">
        <v>419</v>
      </c>
      <c r="D35" s="24" t="s">
        <v>420</v>
      </c>
      <c r="E35" s="24" t="str">
        <f>"0,9900"</f>
        <v>0,9900</v>
      </c>
      <c r="F35" s="24" t="s">
        <v>1119</v>
      </c>
      <c r="G35" s="24" t="s">
        <v>136</v>
      </c>
      <c r="H35" s="56" t="s">
        <v>124</v>
      </c>
      <c r="I35" s="56" t="s">
        <v>71</v>
      </c>
      <c r="J35" s="58" t="s">
        <v>174</v>
      </c>
      <c r="K35" s="25"/>
      <c r="L35" s="56" t="s">
        <v>71</v>
      </c>
      <c r="M35" s="24" t="str">
        <f>"304,4250"</f>
        <v>304,4250</v>
      </c>
      <c r="N35" s="18" t="s">
        <v>111</v>
      </c>
    </row>
    <row r="36" spans="1:14" ht="12.75">
      <c r="A36" s="61">
        <v>1</v>
      </c>
      <c r="B36" s="22" t="s">
        <v>1114</v>
      </c>
      <c r="C36" s="22" t="s">
        <v>507</v>
      </c>
      <c r="D36" s="22" t="s">
        <v>899</v>
      </c>
      <c r="E36" s="22" t="str">
        <f>"1,0539"</f>
        <v>1,0539</v>
      </c>
      <c r="F36" s="22" t="s">
        <v>410</v>
      </c>
      <c r="G36" s="20" t="s">
        <v>1186</v>
      </c>
      <c r="H36" s="65" t="s">
        <v>130</v>
      </c>
      <c r="I36" s="65" t="s">
        <v>81</v>
      </c>
      <c r="J36" s="64" t="s">
        <v>82</v>
      </c>
      <c r="K36" s="23"/>
      <c r="L36" s="65" t="s">
        <v>81</v>
      </c>
      <c r="M36" s="22" t="str">
        <f>"263,4632"</f>
        <v>263,4632</v>
      </c>
      <c r="N36" s="17" t="s">
        <v>111</v>
      </c>
    </row>
    <row r="37" spans="2:13" ht="15.75">
      <c r="B37" s="171" t="s">
        <v>117</v>
      </c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</row>
    <row r="38" spans="1:14" ht="12.75">
      <c r="A38" s="61">
        <v>1</v>
      </c>
      <c r="B38" s="24" t="s">
        <v>900</v>
      </c>
      <c r="C38" s="24" t="s">
        <v>901</v>
      </c>
      <c r="D38" s="24" t="s">
        <v>524</v>
      </c>
      <c r="E38" s="24" t="str">
        <f>"0,9218"</f>
        <v>0,9218</v>
      </c>
      <c r="F38" s="24" t="s">
        <v>27</v>
      </c>
      <c r="G38" s="24" t="s">
        <v>170</v>
      </c>
      <c r="H38" s="56" t="s">
        <v>110</v>
      </c>
      <c r="I38" s="58" t="s">
        <v>123</v>
      </c>
      <c r="J38" s="58" t="s">
        <v>123</v>
      </c>
      <c r="K38" s="25"/>
      <c r="L38" s="56" t="s">
        <v>110</v>
      </c>
      <c r="M38" s="24" t="str">
        <f>"232,7545"</f>
        <v>232,7545</v>
      </c>
      <c r="N38" s="18" t="s">
        <v>902</v>
      </c>
    </row>
    <row r="39" spans="1:14" ht="12.75">
      <c r="A39" s="61">
        <v>1</v>
      </c>
      <c r="B39" s="26" t="s">
        <v>903</v>
      </c>
      <c r="C39" s="26" t="s">
        <v>904</v>
      </c>
      <c r="D39" s="26" t="s">
        <v>905</v>
      </c>
      <c r="E39" s="26" t="str">
        <f>"0,9242"</f>
        <v>0,9242</v>
      </c>
      <c r="F39" s="26" t="s">
        <v>27</v>
      </c>
      <c r="G39" s="26" t="s">
        <v>1188</v>
      </c>
      <c r="H39" s="66" t="s">
        <v>73</v>
      </c>
      <c r="I39" s="66" t="s">
        <v>160</v>
      </c>
      <c r="J39" s="67" t="s">
        <v>906</v>
      </c>
      <c r="K39" s="27"/>
      <c r="L39" s="66" t="s">
        <v>160</v>
      </c>
      <c r="M39" s="26" t="str">
        <f>"298,0545"</f>
        <v>298,0545</v>
      </c>
      <c r="N39" s="19" t="s">
        <v>111</v>
      </c>
    </row>
    <row r="40" spans="1:14" ht="12.75">
      <c r="A40" s="61">
        <v>2</v>
      </c>
      <c r="B40" s="24" t="s">
        <v>907</v>
      </c>
      <c r="C40" s="24" t="s">
        <v>1551</v>
      </c>
      <c r="D40" s="24" t="s">
        <v>908</v>
      </c>
      <c r="E40" s="24" t="str">
        <f>"0,9150"</f>
        <v>0,9150</v>
      </c>
      <c r="F40" s="24" t="s">
        <v>27</v>
      </c>
      <c r="G40" s="24" t="s">
        <v>1188</v>
      </c>
      <c r="H40" s="56" t="s">
        <v>82</v>
      </c>
      <c r="I40" s="56" t="s">
        <v>123</v>
      </c>
      <c r="J40" s="56" t="s">
        <v>361</v>
      </c>
      <c r="K40" s="25"/>
      <c r="L40" s="56" t="s">
        <v>361</v>
      </c>
      <c r="M40" s="24" t="str">
        <f>"251,6250"</f>
        <v>251,6250</v>
      </c>
      <c r="N40" s="18" t="s">
        <v>67</v>
      </c>
    </row>
    <row r="41" spans="1:14" ht="12.75">
      <c r="A41" s="61">
        <v>3</v>
      </c>
      <c r="B41" s="26" t="s">
        <v>909</v>
      </c>
      <c r="C41" s="26" t="s">
        <v>910</v>
      </c>
      <c r="D41" s="26" t="s">
        <v>911</v>
      </c>
      <c r="E41" s="26" t="str">
        <f>"0,9496"</f>
        <v>0,9496</v>
      </c>
      <c r="F41" s="26" t="s">
        <v>27</v>
      </c>
      <c r="G41" s="26" t="s">
        <v>148</v>
      </c>
      <c r="H41" s="66" t="s">
        <v>171</v>
      </c>
      <c r="I41" s="67" t="s">
        <v>469</v>
      </c>
      <c r="J41" s="27"/>
      <c r="K41" s="27"/>
      <c r="L41" s="66" t="s">
        <v>171</v>
      </c>
      <c r="M41" s="26" t="str">
        <f>"242,1480"</f>
        <v>242,1480</v>
      </c>
      <c r="N41" s="19" t="s">
        <v>111</v>
      </c>
    </row>
    <row r="42" spans="1:14" ht="12.75">
      <c r="A42" s="61">
        <v>4</v>
      </c>
      <c r="B42" s="24" t="s">
        <v>133</v>
      </c>
      <c r="C42" s="24" t="s">
        <v>134</v>
      </c>
      <c r="D42" s="24" t="s">
        <v>135</v>
      </c>
      <c r="E42" s="24" t="str">
        <f>"0,9254"</f>
        <v>0,9254</v>
      </c>
      <c r="F42" s="24" t="s">
        <v>1119</v>
      </c>
      <c r="G42" s="24" t="s">
        <v>136</v>
      </c>
      <c r="H42" s="56" t="s">
        <v>171</v>
      </c>
      <c r="I42" s="58" t="s">
        <v>123</v>
      </c>
      <c r="J42" s="58" t="s">
        <v>123</v>
      </c>
      <c r="K42" s="25"/>
      <c r="L42" s="56" t="s">
        <v>171</v>
      </c>
      <c r="M42" s="24" t="str">
        <f>"235,9770"</f>
        <v>235,9770</v>
      </c>
      <c r="N42" s="18" t="s">
        <v>1112</v>
      </c>
    </row>
    <row r="43" spans="1:14" ht="12.75">
      <c r="A43" s="61">
        <v>5</v>
      </c>
      <c r="B43" s="22" t="s">
        <v>912</v>
      </c>
      <c r="C43" s="22" t="s">
        <v>913</v>
      </c>
      <c r="D43" s="22" t="s">
        <v>908</v>
      </c>
      <c r="E43" s="22" t="str">
        <f>"0,9150"</f>
        <v>0,9150</v>
      </c>
      <c r="F43" s="22" t="s">
        <v>27</v>
      </c>
      <c r="G43" s="22" t="s">
        <v>148</v>
      </c>
      <c r="H43" s="65" t="s">
        <v>42</v>
      </c>
      <c r="I43" s="64" t="s">
        <v>43</v>
      </c>
      <c r="J43" s="64" t="s">
        <v>43</v>
      </c>
      <c r="K43" s="23"/>
      <c r="L43" s="65" t="s">
        <v>42</v>
      </c>
      <c r="M43" s="22" t="str">
        <f>"210,4500"</f>
        <v>210,4500</v>
      </c>
      <c r="N43" s="17" t="s">
        <v>111</v>
      </c>
    </row>
    <row r="44" spans="2:13" ht="15.75">
      <c r="B44" s="171" t="s">
        <v>138</v>
      </c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</row>
    <row r="45" spans="1:14" ht="12.75">
      <c r="A45" s="61">
        <v>1</v>
      </c>
      <c r="B45" s="20" t="s">
        <v>914</v>
      </c>
      <c r="C45" s="20" t="s">
        <v>915</v>
      </c>
      <c r="D45" s="20" t="s">
        <v>916</v>
      </c>
      <c r="E45" s="20" t="str">
        <f>"0,9040"</f>
        <v>0,9040</v>
      </c>
      <c r="F45" s="20" t="s">
        <v>27</v>
      </c>
      <c r="G45" s="20" t="s">
        <v>148</v>
      </c>
      <c r="H45" s="62" t="s">
        <v>42</v>
      </c>
      <c r="I45" s="62" t="s">
        <v>92</v>
      </c>
      <c r="J45" s="63" t="s">
        <v>110</v>
      </c>
      <c r="K45" s="21"/>
      <c r="L45" s="62" t="s">
        <v>92</v>
      </c>
      <c r="M45" s="20" t="str">
        <f>"216,9600"</f>
        <v>216,9600</v>
      </c>
      <c r="N45" s="16" t="s">
        <v>111</v>
      </c>
    </row>
    <row r="46" spans="1:14" ht="12.75">
      <c r="A46" s="61">
        <v>1</v>
      </c>
      <c r="B46" s="24" t="s">
        <v>917</v>
      </c>
      <c r="C46" s="24" t="s">
        <v>918</v>
      </c>
      <c r="D46" s="24" t="s">
        <v>919</v>
      </c>
      <c r="E46" s="24" t="str">
        <f>"0,9102"</f>
        <v>0,9102</v>
      </c>
      <c r="F46" s="24" t="s">
        <v>27</v>
      </c>
      <c r="G46" s="24" t="s">
        <v>148</v>
      </c>
      <c r="H46" s="56" t="s">
        <v>42</v>
      </c>
      <c r="I46" s="56" t="s">
        <v>92</v>
      </c>
      <c r="J46" s="58" t="s">
        <v>171</v>
      </c>
      <c r="K46" s="25"/>
      <c r="L46" s="56" t="s">
        <v>92</v>
      </c>
      <c r="M46" s="24" t="str">
        <f>"218,4480"</f>
        <v>218,4480</v>
      </c>
      <c r="N46" s="18" t="s">
        <v>111</v>
      </c>
    </row>
    <row r="47" spans="1:14" ht="12.75">
      <c r="A47" s="61">
        <v>1</v>
      </c>
      <c r="B47" s="22" t="s">
        <v>920</v>
      </c>
      <c r="C47" s="22" t="s">
        <v>921</v>
      </c>
      <c r="D47" s="22" t="s">
        <v>922</v>
      </c>
      <c r="E47" s="22" t="str">
        <f>"1,1444"</f>
        <v>1,1444</v>
      </c>
      <c r="F47" s="22" t="s">
        <v>27</v>
      </c>
      <c r="G47" s="22" t="s">
        <v>430</v>
      </c>
      <c r="H47" s="65" t="s">
        <v>89</v>
      </c>
      <c r="I47" s="65" t="s">
        <v>90</v>
      </c>
      <c r="J47" s="65" t="s">
        <v>79</v>
      </c>
      <c r="K47" s="23"/>
      <c r="L47" s="65" t="s">
        <v>79</v>
      </c>
      <c r="M47" s="22" t="str">
        <f>"246,0518"</f>
        <v>246,0518</v>
      </c>
      <c r="N47" s="17" t="s">
        <v>923</v>
      </c>
    </row>
    <row r="48" spans="2:13" ht="15.75">
      <c r="B48" s="171" t="s">
        <v>166</v>
      </c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</row>
    <row r="49" spans="1:14" ht="12.75">
      <c r="A49" s="61">
        <v>1</v>
      </c>
      <c r="B49" s="20" t="s">
        <v>924</v>
      </c>
      <c r="C49" s="20" t="s">
        <v>925</v>
      </c>
      <c r="D49" s="20" t="s">
        <v>926</v>
      </c>
      <c r="E49" s="20" t="str">
        <f>"0,8756"</f>
        <v>0,8756</v>
      </c>
      <c r="F49" s="20" t="s">
        <v>870</v>
      </c>
      <c r="G49" s="20" t="s">
        <v>1188</v>
      </c>
      <c r="H49" s="21" t="s">
        <v>83</v>
      </c>
      <c r="I49" s="21" t="s">
        <v>83</v>
      </c>
      <c r="J49" s="62" t="s">
        <v>83</v>
      </c>
      <c r="K49" s="62" t="s">
        <v>124</v>
      </c>
      <c r="L49" s="62" t="s">
        <v>83</v>
      </c>
      <c r="M49" s="20" t="str">
        <f>"236,4120"</f>
        <v>236,4120</v>
      </c>
      <c r="N49" s="16" t="s">
        <v>871</v>
      </c>
    </row>
    <row r="50" spans="1:14" ht="12.75">
      <c r="A50" s="61">
        <v>1</v>
      </c>
      <c r="B50" s="24" t="s">
        <v>927</v>
      </c>
      <c r="C50" s="24" t="s">
        <v>928</v>
      </c>
      <c r="D50" s="24" t="s">
        <v>929</v>
      </c>
      <c r="E50" s="24" t="str">
        <f>"0,8640"</f>
        <v>0,8640</v>
      </c>
      <c r="F50" s="24" t="s">
        <v>27</v>
      </c>
      <c r="G50" s="24" t="s">
        <v>148</v>
      </c>
      <c r="H50" s="56" t="s">
        <v>83</v>
      </c>
      <c r="I50" s="56" t="s">
        <v>124</v>
      </c>
      <c r="J50" s="56" t="s">
        <v>48</v>
      </c>
      <c r="K50" s="25"/>
      <c r="L50" s="56" t="s">
        <v>48</v>
      </c>
      <c r="M50" s="24" t="str">
        <f>"259,2000"</f>
        <v>259,2000</v>
      </c>
      <c r="N50" s="18" t="s">
        <v>111</v>
      </c>
    </row>
    <row r="51" spans="2:13" ht="15.75">
      <c r="B51" s="171" t="s">
        <v>562</v>
      </c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</row>
    <row r="52" spans="1:14" ht="12.75">
      <c r="A52" s="61">
        <v>1</v>
      </c>
      <c r="B52" s="20" t="s">
        <v>930</v>
      </c>
      <c r="C52" s="20" t="s">
        <v>1552</v>
      </c>
      <c r="D52" s="20" t="s">
        <v>932</v>
      </c>
      <c r="E52" s="20" t="str">
        <f>"0,8460"</f>
        <v>0,8460</v>
      </c>
      <c r="F52" s="20" t="s">
        <v>27</v>
      </c>
      <c r="G52" s="20" t="s">
        <v>468</v>
      </c>
      <c r="H52" s="62" t="s">
        <v>401</v>
      </c>
      <c r="I52" s="62" t="s">
        <v>1127</v>
      </c>
      <c r="J52" s="63" t="s">
        <v>933</v>
      </c>
      <c r="K52" s="21"/>
      <c r="L52" s="62" t="s">
        <v>1127</v>
      </c>
      <c r="M52" s="20" t="s">
        <v>1238</v>
      </c>
      <c r="N52" s="16" t="s">
        <v>111</v>
      </c>
    </row>
    <row r="53" spans="1:14" ht="12.75">
      <c r="A53" s="61">
        <v>2</v>
      </c>
      <c r="B53" s="24" t="s">
        <v>845</v>
      </c>
      <c r="C53" s="24" t="s">
        <v>1553</v>
      </c>
      <c r="D53" s="24" t="s">
        <v>846</v>
      </c>
      <c r="E53" s="24" t="str">
        <f>"0,8404"</f>
        <v>0,8404</v>
      </c>
      <c r="F53" s="24" t="s">
        <v>853</v>
      </c>
      <c r="G53" s="24" t="s">
        <v>1188</v>
      </c>
      <c r="H53" s="56" t="s">
        <v>182</v>
      </c>
      <c r="I53" s="56" t="s">
        <v>1123</v>
      </c>
      <c r="J53" s="63" t="s">
        <v>933</v>
      </c>
      <c r="K53" s="25"/>
      <c r="L53" s="56" t="s">
        <v>1123</v>
      </c>
      <c r="M53" s="24" t="s">
        <v>1239</v>
      </c>
      <c r="N53" s="18" t="s">
        <v>1232</v>
      </c>
    </row>
    <row r="54" spans="2:13" ht="15.75">
      <c r="B54" s="171" t="s">
        <v>934</v>
      </c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</row>
    <row r="55" spans="1:14" ht="12.75">
      <c r="A55" s="61">
        <v>1</v>
      </c>
      <c r="B55" s="24" t="s">
        <v>935</v>
      </c>
      <c r="C55" s="24" t="s">
        <v>1460</v>
      </c>
      <c r="D55" s="24" t="s">
        <v>936</v>
      </c>
      <c r="E55" s="24" t="str">
        <f>"0,8290"</f>
        <v>0,8290</v>
      </c>
      <c r="F55" s="24" t="s">
        <v>27</v>
      </c>
      <c r="G55" s="24" t="s">
        <v>877</v>
      </c>
      <c r="H55" s="56" t="s">
        <v>1141</v>
      </c>
      <c r="I55" s="58" t="s">
        <v>182</v>
      </c>
      <c r="J55" s="56" t="s">
        <v>182</v>
      </c>
      <c r="K55" s="25"/>
      <c r="L55" s="56" t="s">
        <v>182</v>
      </c>
      <c r="M55" s="24" t="s">
        <v>1240</v>
      </c>
      <c r="N55" s="18" t="s">
        <v>111</v>
      </c>
    </row>
    <row r="57" spans="2:3" ht="18">
      <c r="B57" s="29" t="s">
        <v>7</v>
      </c>
      <c r="C57" s="29"/>
    </row>
    <row r="58" spans="2:3" ht="15.75">
      <c r="B58" s="30" t="s">
        <v>175</v>
      </c>
      <c r="C58" s="30"/>
    </row>
    <row r="59" spans="2:3" ht="13.5">
      <c r="B59" s="32" t="s">
        <v>184</v>
      </c>
      <c r="C59" s="33"/>
    </row>
    <row r="60" spans="2:6" ht="13.5">
      <c r="B60" s="35" t="s">
        <v>176</v>
      </c>
      <c r="C60" s="35" t="s">
        <v>177</v>
      </c>
      <c r="D60" s="35" t="s">
        <v>178</v>
      </c>
      <c r="E60" s="35" t="s">
        <v>179</v>
      </c>
      <c r="F60" s="35" t="s">
        <v>180</v>
      </c>
    </row>
    <row r="61" spans="1:6" ht="12.75">
      <c r="A61" s="61">
        <v>1</v>
      </c>
      <c r="B61" s="31" t="s">
        <v>9</v>
      </c>
      <c r="C61" s="133" t="s">
        <v>185</v>
      </c>
      <c r="D61" s="133" t="s">
        <v>186</v>
      </c>
      <c r="E61" s="133" t="s">
        <v>20</v>
      </c>
      <c r="F61" s="134" t="s">
        <v>938</v>
      </c>
    </row>
    <row r="62" spans="1:6" ht="12.75">
      <c r="A62" s="61">
        <v>2</v>
      </c>
      <c r="B62" s="31" t="s">
        <v>481</v>
      </c>
      <c r="C62" s="133" t="s">
        <v>185</v>
      </c>
      <c r="D62" s="133" t="s">
        <v>193</v>
      </c>
      <c r="E62" s="133" t="s">
        <v>41</v>
      </c>
      <c r="F62" s="134" t="s">
        <v>937</v>
      </c>
    </row>
    <row r="63" spans="1:6" ht="12.75">
      <c r="A63" s="61">
        <v>3</v>
      </c>
      <c r="B63" s="31" t="s">
        <v>408</v>
      </c>
      <c r="C63" s="133" t="s">
        <v>185</v>
      </c>
      <c r="D63" s="133" t="s">
        <v>379</v>
      </c>
      <c r="E63" s="133" t="s">
        <v>21</v>
      </c>
      <c r="F63" s="134" t="s">
        <v>939</v>
      </c>
    </row>
    <row r="64" spans="2:6" ht="12.75">
      <c r="B64" s="31" t="s">
        <v>875</v>
      </c>
      <c r="C64" s="133" t="s">
        <v>185</v>
      </c>
      <c r="D64" s="133" t="s">
        <v>382</v>
      </c>
      <c r="E64" s="133" t="s">
        <v>45</v>
      </c>
      <c r="F64" s="134" t="s">
        <v>940</v>
      </c>
    </row>
    <row r="65" spans="2:6" ht="12.75">
      <c r="B65" s="31" t="s">
        <v>872</v>
      </c>
      <c r="C65" s="133" t="s">
        <v>185</v>
      </c>
      <c r="D65" s="133" t="s">
        <v>379</v>
      </c>
      <c r="E65" s="133" t="s">
        <v>34</v>
      </c>
      <c r="F65" s="134" t="s">
        <v>941</v>
      </c>
    </row>
    <row r="66" spans="2:6" ht="12.75">
      <c r="B66" s="31" t="s">
        <v>867</v>
      </c>
      <c r="C66" s="133" t="s">
        <v>185</v>
      </c>
      <c r="D66" s="133" t="s">
        <v>380</v>
      </c>
      <c r="E66" s="133" t="s">
        <v>255</v>
      </c>
      <c r="F66" s="134" t="s">
        <v>942</v>
      </c>
    </row>
    <row r="67" spans="2:6" ht="12.75">
      <c r="B67" s="31" t="s">
        <v>883</v>
      </c>
      <c r="C67" s="133" t="s">
        <v>185</v>
      </c>
      <c r="D67" s="133" t="s">
        <v>193</v>
      </c>
      <c r="E67" s="133" t="s">
        <v>29</v>
      </c>
      <c r="F67" s="134" t="s">
        <v>943</v>
      </c>
    </row>
    <row r="69" spans="2:3" ht="15.75">
      <c r="B69" s="30" t="s">
        <v>189</v>
      </c>
      <c r="C69" s="30"/>
    </row>
    <row r="70" spans="2:3" ht="13.5">
      <c r="B70" s="32" t="s">
        <v>184</v>
      </c>
      <c r="C70" s="33"/>
    </row>
    <row r="71" spans="2:6" ht="13.5">
      <c r="B71" s="35" t="s">
        <v>176</v>
      </c>
      <c r="C71" s="35" t="s">
        <v>177</v>
      </c>
      <c r="D71" s="35" t="s">
        <v>178</v>
      </c>
      <c r="E71" s="35" t="s">
        <v>179</v>
      </c>
      <c r="F71" s="35" t="s">
        <v>180</v>
      </c>
    </row>
    <row r="72" spans="1:6" ht="12.75">
      <c r="A72" s="71">
        <v>1</v>
      </c>
      <c r="B72" s="68" t="s">
        <v>930</v>
      </c>
      <c r="C72" s="136" t="s">
        <v>185</v>
      </c>
      <c r="D72" s="136" t="s">
        <v>1082</v>
      </c>
      <c r="E72" s="136" t="s">
        <v>1080</v>
      </c>
      <c r="F72" s="137" t="s">
        <v>1238</v>
      </c>
    </row>
    <row r="73" spans="1:6" ht="12.75">
      <c r="A73" s="61">
        <v>2</v>
      </c>
      <c r="B73" s="118" t="s">
        <v>67</v>
      </c>
      <c r="C73" s="133" t="s">
        <v>185</v>
      </c>
      <c r="D73" s="133" t="s">
        <v>193</v>
      </c>
      <c r="E73" s="133" t="s">
        <v>73</v>
      </c>
      <c r="F73" s="134" t="s">
        <v>944</v>
      </c>
    </row>
    <row r="74" spans="1:14" ht="12.75">
      <c r="A74" s="61">
        <v>3</v>
      </c>
      <c r="B74" s="118" t="s">
        <v>845</v>
      </c>
      <c r="C74" s="133" t="s">
        <v>185</v>
      </c>
      <c r="D74" s="133" t="s">
        <v>1082</v>
      </c>
      <c r="E74" s="133" t="s">
        <v>1077</v>
      </c>
      <c r="F74" s="134" t="s">
        <v>1239</v>
      </c>
      <c r="G74" s="70"/>
      <c r="H74" s="70"/>
      <c r="I74" s="70"/>
      <c r="J74" s="70"/>
      <c r="K74" s="70"/>
      <c r="L74" s="70"/>
      <c r="M74" s="70"/>
      <c r="N74" s="69"/>
    </row>
    <row r="75" spans="2:6" ht="12.75">
      <c r="B75" s="118" t="s">
        <v>37</v>
      </c>
      <c r="C75" s="133" t="s">
        <v>185</v>
      </c>
      <c r="D75" s="133" t="s">
        <v>181</v>
      </c>
      <c r="E75" s="133" t="s">
        <v>47</v>
      </c>
      <c r="F75" s="134" t="s">
        <v>945</v>
      </c>
    </row>
    <row r="76" spans="2:6" ht="12.75">
      <c r="B76" s="118" t="s">
        <v>415</v>
      </c>
      <c r="C76" s="133" t="s">
        <v>185</v>
      </c>
      <c r="D76" s="133" t="s">
        <v>205</v>
      </c>
      <c r="E76" s="133" t="s">
        <v>48</v>
      </c>
      <c r="F76" s="134" t="s">
        <v>1237</v>
      </c>
    </row>
    <row r="77" spans="2:6" ht="12.75">
      <c r="B77" s="118" t="s">
        <v>418</v>
      </c>
      <c r="C77" s="133" t="s">
        <v>185</v>
      </c>
      <c r="D77" s="133" t="s">
        <v>205</v>
      </c>
      <c r="E77" s="133" t="s">
        <v>71</v>
      </c>
      <c r="F77" s="134" t="s">
        <v>946</v>
      </c>
    </row>
    <row r="78" spans="2:6" ht="12.75">
      <c r="B78" s="118" t="s">
        <v>903</v>
      </c>
      <c r="C78" s="133" t="s">
        <v>185</v>
      </c>
      <c r="D78" s="133" t="s">
        <v>200</v>
      </c>
      <c r="E78" s="133" t="s">
        <v>160</v>
      </c>
      <c r="F78" s="134" t="s">
        <v>947</v>
      </c>
    </row>
    <row r="79" spans="2:6" ht="12.75">
      <c r="B79" s="118" t="s">
        <v>927</v>
      </c>
      <c r="C79" s="133" t="s">
        <v>185</v>
      </c>
      <c r="D79" s="133" t="s">
        <v>212</v>
      </c>
      <c r="E79" s="133" t="s">
        <v>48</v>
      </c>
      <c r="F79" s="134" t="s">
        <v>948</v>
      </c>
    </row>
    <row r="80" spans="2:6" ht="12.75">
      <c r="B80" s="118" t="s">
        <v>884</v>
      </c>
      <c r="C80" s="133" t="s">
        <v>185</v>
      </c>
      <c r="D80" s="133" t="s">
        <v>379</v>
      </c>
      <c r="E80" s="133" t="s">
        <v>46</v>
      </c>
      <c r="F80" s="134" t="s">
        <v>949</v>
      </c>
    </row>
    <row r="81" spans="2:6" ht="12.75">
      <c r="B81" s="118" t="s">
        <v>907</v>
      </c>
      <c r="C81" s="133" t="s">
        <v>185</v>
      </c>
      <c r="D81" s="133" t="s">
        <v>200</v>
      </c>
      <c r="E81" s="133" t="s">
        <v>361</v>
      </c>
      <c r="F81" s="134" t="s">
        <v>950</v>
      </c>
    </row>
    <row r="82" spans="2:6" ht="12.75">
      <c r="B82" s="118" t="s">
        <v>909</v>
      </c>
      <c r="C82" s="133" t="s">
        <v>185</v>
      </c>
      <c r="D82" s="133" t="s">
        <v>200</v>
      </c>
      <c r="E82" s="133" t="s">
        <v>171</v>
      </c>
      <c r="F82" s="134" t="s">
        <v>951</v>
      </c>
    </row>
    <row r="83" spans="2:6" ht="12.75">
      <c r="B83" s="118" t="s">
        <v>133</v>
      </c>
      <c r="C83" s="133" t="s">
        <v>185</v>
      </c>
      <c r="D83" s="133" t="s">
        <v>200</v>
      </c>
      <c r="E83" s="133" t="s">
        <v>171</v>
      </c>
      <c r="F83" s="134" t="s">
        <v>952</v>
      </c>
    </row>
    <row r="84" spans="2:6" ht="12.75">
      <c r="B84" s="118" t="s">
        <v>917</v>
      </c>
      <c r="C84" s="133" t="s">
        <v>185</v>
      </c>
      <c r="D84" s="133" t="s">
        <v>190</v>
      </c>
      <c r="E84" s="133" t="s">
        <v>92</v>
      </c>
      <c r="F84" s="134" t="s">
        <v>953</v>
      </c>
    </row>
    <row r="85" spans="2:6" ht="12.75">
      <c r="B85" s="118" t="s">
        <v>896</v>
      </c>
      <c r="C85" s="133" t="s">
        <v>185</v>
      </c>
      <c r="D85" s="133" t="s">
        <v>193</v>
      </c>
      <c r="E85" s="133" t="s">
        <v>515</v>
      </c>
      <c r="F85" s="134" t="s">
        <v>954</v>
      </c>
    </row>
    <row r="86" spans="2:6" ht="12.75">
      <c r="B86" s="118" t="s">
        <v>912</v>
      </c>
      <c r="C86" s="133" t="s">
        <v>185</v>
      </c>
      <c r="D86" s="133" t="s">
        <v>200</v>
      </c>
      <c r="E86" s="133" t="s">
        <v>42</v>
      </c>
      <c r="F86" s="134" t="s">
        <v>955</v>
      </c>
    </row>
    <row r="87" spans="2:6" ht="12.75">
      <c r="B87" s="118" t="s">
        <v>56</v>
      </c>
      <c r="C87" s="133" t="s">
        <v>185</v>
      </c>
      <c r="D87" s="133" t="s">
        <v>181</v>
      </c>
      <c r="E87" s="133" t="s">
        <v>44</v>
      </c>
      <c r="F87" s="134" t="s">
        <v>956</v>
      </c>
    </row>
    <row r="88" spans="1:14" s="69" customFormat="1" ht="12.75">
      <c r="A88" s="61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36"/>
      <c r="M88" s="28"/>
      <c r="N88"/>
    </row>
    <row r="89" spans="7:9" ht="12.75">
      <c r="G89" s="36"/>
      <c r="I89"/>
    </row>
    <row r="90" spans="7:9" ht="12.75">
      <c r="G90" s="36"/>
      <c r="I90"/>
    </row>
    <row r="91" spans="7:9" ht="12.75">
      <c r="G91" s="36"/>
      <c r="I91"/>
    </row>
    <row r="92" spans="7:9" ht="12.75">
      <c r="G92" s="36"/>
      <c r="I92"/>
    </row>
    <row r="93" spans="7:9" ht="12.75">
      <c r="G93" s="36"/>
      <c r="I93"/>
    </row>
    <row r="94" spans="7:9" ht="12.75">
      <c r="G94" s="36"/>
      <c r="I94"/>
    </row>
    <row r="95" spans="7:9" ht="12.75">
      <c r="G95" s="36"/>
      <c r="I95"/>
    </row>
    <row r="96" spans="7:9" ht="12.75">
      <c r="G96" s="36"/>
      <c r="I96"/>
    </row>
    <row r="97" spans="7:9" ht="12.75">
      <c r="G97" s="36"/>
      <c r="I97"/>
    </row>
    <row r="98" spans="7:9" ht="12.75">
      <c r="G98" s="36"/>
      <c r="I98"/>
    </row>
    <row r="99" spans="7:9" ht="12.75">
      <c r="G99" s="36"/>
      <c r="I99"/>
    </row>
    <row r="100" spans="7:9" ht="12.75">
      <c r="G100" s="36"/>
      <c r="I100"/>
    </row>
    <row r="101" spans="7:9" ht="12.75">
      <c r="G101" s="36"/>
      <c r="I101"/>
    </row>
  </sheetData>
  <sheetProtection/>
  <mergeCells count="28">
    <mergeCell ref="B54:M54"/>
    <mergeCell ref="B51:M51"/>
    <mergeCell ref="N3:N4"/>
    <mergeCell ref="B6:M6"/>
    <mergeCell ref="B5:M5"/>
    <mergeCell ref="F3:F4"/>
    <mergeCell ref="G3:G4"/>
    <mergeCell ref="B10:M10"/>
    <mergeCell ref="B13:M13"/>
    <mergeCell ref="B15:M15"/>
    <mergeCell ref="B37:M37"/>
    <mergeCell ref="B44:M44"/>
    <mergeCell ref="B48:M48"/>
    <mergeCell ref="B1:G2"/>
    <mergeCell ref="B3:B4"/>
    <mergeCell ref="C3:C4"/>
    <mergeCell ref="D3:D4"/>
    <mergeCell ref="E3:E4"/>
    <mergeCell ref="B8:M8"/>
    <mergeCell ref="H3:K3"/>
    <mergeCell ref="B28:M28"/>
    <mergeCell ref="B33:M33"/>
    <mergeCell ref="L3:L4"/>
    <mergeCell ref="M3:M4"/>
    <mergeCell ref="B17:M17"/>
    <mergeCell ref="B21:M21"/>
    <mergeCell ref="B22:M22"/>
    <mergeCell ref="B24:M24"/>
  </mergeCells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E17" sqref="E17"/>
    </sheetView>
  </sheetViews>
  <sheetFormatPr defaultColWidth="8.75390625" defaultRowHeight="12.75"/>
  <cols>
    <col min="1" max="1" width="3.625" style="0" customWidth="1"/>
    <col min="2" max="2" width="22.00390625" style="0" customWidth="1"/>
    <col min="3" max="3" width="25.875" style="0" customWidth="1"/>
    <col min="4" max="4" width="6.875" style="0" customWidth="1"/>
    <col min="5" max="5" width="7.125" style="0" customWidth="1"/>
    <col min="6" max="6" width="12.75390625" style="0" customWidth="1"/>
    <col min="7" max="7" width="33.125" style="0" customWidth="1"/>
    <col min="8" max="8" width="5.75390625" style="0" customWidth="1"/>
    <col min="9" max="10" width="6.00390625" style="0" customWidth="1"/>
    <col min="11" max="11" width="8.125" style="61" customWidth="1"/>
    <col min="12" max="12" width="19.25390625" style="0" customWidth="1"/>
  </cols>
  <sheetData>
    <row r="1" spans="1:11" s="1" customFormat="1" ht="15" customHeight="1">
      <c r="A1" s="38"/>
      <c r="B1" s="162" t="s">
        <v>1162</v>
      </c>
      <c r="C1" s="176"/>
      <c r="D1" s="176"/>
      <c r="E1" s="176"/>
      <c r="F1" s="176"/>
      <c r="G1" s="176"/>
      <c r="K1" s="38"/>
    </row>
    <row r="2" spans="1:11" s="1" customFormat="1" ht="81.75" customHeight="1" thickBot="1">
      <c r="A2" s="38"/>
      <c r="B2" s="177"/>
      <c r="C2" s="178"/>
      <c r="D2" s="178"/>
      <c r="E2" s="178"/>
      <c r="F2" s="178"/>
      <c r="G2" s="178"/>
      <c r="K2" s="38"/>
    </row>
    <row r="3" spans="2:12" s="2" customFormat="1" ht="12.75" customHeight="1">
      <c r="B3" s="166" t="s">
        <v>0</v>
      </c>
      <c r="C3" s="168" t="s">
        <v>1108</v>
      </c>
      <c r="D3" s="170" t="s">
        <v>1109</v>
      </c>
      <c r="E3" s="170" t="s">
        <v>1110</v>
      </c>
      <c r="F3" s="170" t="s">
        <v>4</v>
      </c>
      <c r="G3" s="170" t="s">
        <v>6</v>
      </c>
      <c r="H3" s="170" t="s">
        <v>1</v>
      </c>
      <c r="I3" s="170"/>
      <c r="J3" s="170"/>
      <c r="K3" s="170" t="s">
        <v>2</v>
      </c>
      <c r="L3" s="160" t="s">
        <v>3</v>
      </c>
    </row>
    <row r="4" spans="2:12" s="2" customFormat="1" ht="21" customHeight="1" thickBot="1">
      <c r="B4" s="167"/>
      <c r="C4" s="169"/>
      <c r="D4" s="169"/>
      <c r="E4" s="169"/>
      <c r="F4" s="169"/>
      <c r="G4" s="169"/>
      <c r="H4" s="3">
        <v>1</v>
      </c>
      <c r="I4" s="3">
        <v>2</v>
      </c>
      <c r="J4" s="3">
        <v>3</v>
      </c>
      <c r="K4" s="169"/>
      <c r="L4" s="161"/>
    </row>
    <row r="5" spans="1:13" ht="15.75">
      <c r="A5" s="61"/>
      <c r="B5" s="171" t="s">
        <v>1053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</row>
    <row r="6" spans="1:12" ht="12.75">
      <c r="A6" s="61">
        <v>1</v>
      </c>
      <c r="B6" s="20" t="s">
        <v>930</v>
      </c>
      <c r="C6" s="20" t="s">
        <v>931</v>
      </c>
      <c r="D6" s="20" t="s">
        <v>932</v>
      </c>
      <c r="E6" s="20" t="str">
        <f>"0,8460"</f>
        <v>0,8460</v>
      </c>
      <c r="F6" s="20" t="s">
        <v>27</v>
      </c>
      <c r="G6" s="20" t="s">
        <v>468</v>
      </c>
      <c r="H6" s="62" t="s">
        <v>1179</v>
      </c>
      <c r="I6" s="62" t="s">
        <v>1180</v>
      </c>
      <c r="J6" s="25"/>
      <c r="K6" s="62" t="s">
        <v>1180</v>
      </c>
      <c r="L6" s="16" t="s">
        <v>111</v>
      </c>
    </row>
    <row r="7" spans="1:12" ht="12.75">
      <c r="A7" s="61">
        <v>1</v>
      </c>
      <c r="B7" s="24" t="s">
        <v>935</v>
      </c>
      <c r="C7" s="24" t="s">
        <v>1460</v>
      </c>
      <c r="D7" s="24" t="s">
        <v>936</v>
      </c>
      <c r="E7" s="24" t="str">
        <f>"0,8290"</f>
        <v>0,8290</v>
      </c>
      <c r="F7" s="24" t="s">
        <v>27</v>
      </c>
      <c r="G7" s="24" t="s">
        <v>877</v>
      </c>
      <c r="H7" s="25"/>
      <c r="I7" s="25"/>
      <c r="J7" s="25"/>
      <c r="K7" s="59"/>
      <c r="L7" s="18" t="s">
        <v>111</v>
      </c>
    </row>
    <row r="9" spans="1:12" ht="12.75">
      <c r="A9" s="61">
        <v>2</v>
      </c>
      <c r="B9" s="24" t="s">
        <v>418</v>
      </c>
      <c r="C9" s="24" t="s">
        <v>419</v>
      </c>
      <c r="D9" s="24" t="s">
        <v>420</v>
      </c>
      <c r="E9" s="24" t="str">
        <f>"0,9900"</f>
        <v>0,9900</v>
      </c>
      <c r="F9" s="24" t="s">
        <v>1119</v>
      </c>
      <c r="G9" s="24" t="s">
        <v>136</v>
      </c>
      <c r="H9" s="56" t="s">
        <v>403</v>
      </c>
      <c r="I9" s="58" t="s">
        <v>1179</v>
      </c>
      <c r="J9" s="56" t="s">
        <v>1179</v>
      </c>
      <c r="K9" s="56" t="s">
        <v>1179</v>
      </c>
      <c r="L9" s="18" t="s">
        <v>111</v>
      </c>
    </row>
    <row r="10" spans="1:12" ht="12.75">
      <c r="A10" s="61">
        <v>2</v>
      </c>
      <c r="B10" s="22" t="s">
        <v>415</v>
      </c>
      <c r="C10" s="22" t="s">
        <v>416</v>
      </c>
      <c r="D10" s="22" t="s">
        <v>1106</v>
      </c>
      <c r="E10" s="22" t="str">
        <f>"0,9690"</f>
        <v>0,9690</v>
      </c>
      <c r="F10" s="22" t="s">
        <v>12</v>
      </c>
      <c r="G10" s="22" t="s">
        <v>13</v>
      </c>
      <c r="H10" s="23"/>
      <c r="I10" s="23"/>
      <c r="J10" s="23"/>
      <c r="K10" s="95"/>
      <c r="L10" s="117" t="s">
        <v>1111</v>
      </c>
    </row>
    <row r="12" spans="1:12" ht="12.75">
      <c r="A12" s="61">
        <v>3</v>
      </c>
      <c r="B12" s="24" t="s">
        <v>912</v>
      </c>
      <c r="C12" s="24" t="s">
        <v>913</v>
      </c>
      <c r="D12" s="24" t="s">
        <v>908</v>
      </c>
      <c r="E12" s="24" t="str">
        <f>"0,9150"</f>
        <v>0,9150</v>
      </c>
      <c r="F12" s="24" t="s">
        <v>27</v>
      </c>
      <c r="G12" s="24" t="s">
        <v>148</v>
      </c>
      <c r="H12" s="56" t="s">
        <v>1139</v>
      </c>
      <c r="I12" s="56" t="s">
        <v>1181</v>
      </c>
      <c r="J12" s="58" t="s">
        <v>403</v>
      </c>
      <c r="K12" s="56" t="s">
        <v>1181</v>
      </c>
      <c r="L12" s="18" t="s">
        <v>111</v>
      </c>
    </row>
    <row r="13" spans="1:12" ht="12.75">
      <c r="A13" s="61">
        <v>3</v>
      </c>
      <c r="B13" s="24" t="s">
        <v>914</v>
      </c>
      <c r="C13" s="24" t="s">
        <v>915</v>
      </c>
      <c r="D13" s="24" t="s">
        <v>916</v>
      </c>
      <c r="E13" s="24" t="str">
        <f>"0,9040"</f>
        <v>0,9040</v>
      </c>
      <c r="F13" s="24" t="s">
        <v>27</v>
      </c>
      <c r="G13" s="24" t="s">
        <v>148</v>
      </c>
      <c r="H13" s="23"/>
      <c r="I13" s="23"/>
      <c r="J13" s="23"/>
      <c r="K13" s="95"/>
      <c r="L13" s="17" t="s">
        <v>111</v>
      </c>
    </row>
  </sheetData>
  <sheetProtection/>
  <mergeCells count="11">
    <mergeCell ref="G3:G4"/>
    <mergeCell ref="B5:M5"/>
    <mergeCell ref="H3:J3"/>
    <mergeCell ref="K3:K4"/>
    <mergeCell ref="L3:L4"/>
    <mergeCell ref="B1:G2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3">
      <selection activeCell="M3" sqref="M3:M4"/>
    </sheetView>
  </sheetViews>
  <sheetFormatPr defaultColWidth="8.75390625" defaultRowHeight="12.75"/>
  <cols>
    <col min="1" max="1" width="2.625" style="0" customWidth="1"/>
    <col min="2" max="2" width="19.00390625" style="28" customWidth="1"/>
    <col min="3" max="3" width="26.875" style="28" customWidth="1"/>
    <col min="4" max="4" width="9.875" style="28" customWidth="1"/>
    <col min="5" max="5" width="10.625" style="28" customWidth="1"/>
    <col min="6" max="6" width="14.875" style="28" customWidth="1"/>
    <col min="7" max="7" width="34.125" style="28" customWidth="1"/>
    <col min="8" max="8" width="5.875" style="28" customWidth="1"/>
    <col min="9" max="9" width="6.375" style="28" bestFit="1" customWidth="1"/>
    <col min="10" max="10" width="6.25390625" style="28" customWidth="1"/>
    <col min="11" max="11" width="5.875" style="0" customWidth="1"/>
    <col min="12" max="12" width="8.625" style="0" customWidth="1"/>
    <col min="13" max="13" width="8.75390625" style="0" customWidth="1"/>
    <col min="14" max="14" width="20.25390625" style="0" customWidth="1"/>
  </cols>
  <sheetData>
    <row r="1" spans="2:10" s="1" customFormat="1" ht="15" customHeight="1">
      <c r="B1" s="162" t="s">
        <v>1161</v>
      </c>
      <c r="C1" s="163"/>
      <c r="D1" s="163"/>
      <c r="E1" s="163"/>
      <c r="F1" s="163"/>
      <c r="G1" s="163"/>
      <c r="H1" s="163"/>
      <c r="I1" s="163"/>
      <c r="J1" s="179"/>
    </row>
    <row r="2" spans="2:10" s="1" customFormat="1" ht="81.75" customHeight="1" thickBot="1">
      <c r="B2" s="164"/>
      <c r="C2" s="165"/>
      <c r="D2" s="165"/>
      <c r="E2" s="165"/>
      <c r="F2" s="165"/>
      <c r="G2" s="165"/>
      <c r="H2" s="165"/>
      <c r="I2" s="165"/>
      <c r="J2" s="180"/>
    </row>
    <row r="3" spans="2:14" s="2" customFormat="1" ht="12.75" customHeight="1">
      <c r="B3" s="166" t="s">
        <v>0</v>
      </c>
      <c r="C3" s="168" t="s">
        <v>1108</v>
      </c>
      <c r="D3" s="170" t="s">
        <v>1109</v>
      </c>
      <c r="E3" s="170" t="s">
        <v>1110</v>
      </c>
      <c r="F3" s="170" t="s">
        <v>4</v>
      </c>
      <c r="G3" s="170" t="s">
        <v>6</v>
      </c>
      <c r="H3" s="170" t="s">
        <v>1050</v>
      </c>
      <c r="I3" s="170"/>
      <c r="J3" s="170"/>
      <c r="K3" s="170"/>
      <c r="L3" s="170" t="s">
        <v>2</v>
      </c>
      <c r="M3" s="170" t="s">
        <v>1110</v>
      </c>
      <c r="N3" s="160" t="s">
        <v>3</v>
      </c>
    </row>
    <row r="4" spans="2:14" s="2" customFormat="1" ht="21" customHeight="1" thickBot="1">
      <c r="B4" s="167"/>
      <c r="C4" s="169"/>
      <c r="D4" s="169"/>
      <c r="E4" s="169"/>
      <c r="F4" s="169"/>
      <c r="G4" s="169"/>
      <c r="H4" s="3">
        <v>1</v>
      </c>
      <c r="I4" s="3">
        <v>2</v>
      </c>
      <c r="J4" s="3">
        <v>3</v>
      </c>
      <c r="K4" s="3" t="s">
        <v>5</v>
      </c>
      <c r="L4" s="169"/>
      <c r="M4" s="169"/>
      <c r="N4" s="161"/>
    </row>
    <row r="5" spans="1:13" ht="15.75">
      <c r="A5" s="61"/>
      <c r="B5" s="171" t="s">
        <v>1053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</row>
    <row r="6" spans="1:13" ht="15.75">
      <c r="A6" s="61"/>
      <c r="B6" s="171" t="s">
        <v>257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</row>
    <row r="7" spans="1:14" ht="12.75">
      <c r="A7" s="61">
        <v>1</v>
      </c>
      <c r="B7" s="24" t="s">
        <v>1083</v>
      </c>
      <c r="C7" s="24" t="s">
        <v>1084</v>
      </c>
      <c r="D7" s="24" t="s">
        <v>635</v>
      </c>
      <c r="E7" s="24" t="s">
        <v>1090</v>
      </c>
      <c r="F7" s="24" t="s">
        <v>27</v>
      </c>
      <c r="G7" s="24" t="s">
        <v>148</v>
      </c>
      <c r="H7" s="56" t="s">
        <v>61</v>
      </c>
      <c r="I7" s="56" t="s">
        <v>14</v>
      </c>
      <c r="J7" s="58" t="s">
        <v>62</v>
      </c>
      <c r="K7" s="25"/>
      <c r="L7" s="56" t="s">
        <v>14</v>
      </c>
      <c r="M7" s="24" t="s">
        <v>1241</v>
      </c>
      <c r="N7" s="18" t="s">
        <v>1085</v>
      </c>
    </row>
    <row r="8" spans="1:13" ht="15.75">
      <c r="A8" s="61"/>
      <c r="B8" s="171" t="s">
        <v>23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</row>
    <row r="9" spans="1:14" ht="12.75">
      <c r="A9" s="61">
        <v>1</v>
      </c>
      <c r="B9" s="24" t="s">
        <v>1086</v>
      </c>
      <c r="C9" s="24" t="s">
        <v>1087</v>
      </c>
      <c r="D9" s="24" t="s">
        <v>670</v>
      </c>
      <c r="E9" s="24" t="s">
        <v>1092</v>
      </c>
      <c r="F9" s="24" t="s">
        <v>27</v>
      </c>
      <c r="G9" s="24" t="s">
        <v>1183</v>
      </c>
      <c r="H9" s="56" t="s">
        <v>61</v>
      </c>
      <c r="I9" s="58" t="s">
        <v>255</v>
      </c>
      <c r="J9" s="58" t="s">
        <v>255</v>
      </c>
      <c r="K9" s="25"/>
      <c r="L9" s="56" t="s">
        <v>61</v>
      </c>
      <c r="M9" s="24" t="s">
        <v>1242</v>
      </c>
      <c r="N9" s="18" t="s">
        <v>111</v>
      </c>
    </row>
    <row r="10" spans="1:13" ht="15.75">
      <c r="A10" s="61"/>
      <c r="B10" s="171" t="s">
        <v>117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</row>
    <row r="11" spans="1:14" ht="12.75">
      <c r="A11" s="61">
        <v>1</v>
      </c>
      <c r="B11" s="24" t="s">
        <v>1171</v>
      </c>
      <c r="C11" s="24" t="s">
        <v>1089</v>
      </c>
      <c r="D11" s="24" t="s">
        <v>1295</v>
      </c>
      <c r="E11" s="24" t="s">
        <v>1093</v>
      </c>
      <c r="F11" s="24" t="s">
        <v>27</v>
      </c>
      <c r="G11" s="24" t="s">
        <v>1172</v>
      </c>
      <c r="H11" s="56" t="s">
        <v>52</v>
      </c>
      <c r="I11" s="56" t="s">
        <v>63</v>
      </c>
      <c r="J11" s="56" t="s">
        <v>89</v>
      </c>
      <c r="K11" s="56" t="s">
        <v>115</v>
      </c>
      <c r="L11" s="56" t="s">
        <v>89</v>
      </c>
      <c r="M11" s="24" t="s">
        <v>1243</v>
      </c>
      <c r="N11" s="18" t="s">
        <v>1177</v>
      </c>
    </row>
    <row r="12" spans="1:14" ht="12.75">
      <c r="A12" s="61">
        <v>1</v>
      </c>
      <c r="B12" s="24" t="s">
        <v>751</v>
      </c>
      <c r="C12" s="24" t="s">
        <v>752</v>
      </c>
      <c r="D12" s="24" t="s">
        <v>865</v>
      </c>
      <c r="E12" s="24" t="s">
        <v>1091</v>
      </c>
      <c r="F12" s="24" t="s">
        <v>27</v>
      </c>
      <c r="G12" s="24" t="s">
        <v>88</v>
      </c>
      <c r="H12" s="56" t="s">
        <v>61</v>
      </c>
      <c r="I12" s="56" t="s">
        <v>255</v>
      </c>
      <c r="J12" s="58" t="s">
        <v>14</v>
      </c>
      <c r="K12" s="116"/>
      <c r="L12" s="56" t="s">
        <v>255</v>
      </c>
      <c r="M12" s="24" t="s">
        <v>1244</v>
      </c>
      <c r="N12" s="18" t="s">
        <v>111</v>
      </c>
    </row>
    <row r="13" spans="1:13" ht="15.75">
      <c r="A13" s="61"/>
      <c r="B13" s="171" t="s">
        <v>562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</row>
    <row r="14" spans="1:14" ht="12.75">
      <c r="A14" s="61">
        <v>1</v>
      </c>
      <c r="B14" s="24" t="s">
        <v>1094</v>
      </c>
      <c r="C14" s="24" t="s">
        <v>1095</v>
      </c>
      <c r="D14" s="24" t="s">
        <v>1296</v>
      </c>
      <c r="E14" s="24" t="s">
        <v>1096</v>
      </c>
      <c r="F14" s="24" t="s">
        <v>27</v>
      </c>
      <c r="G14" s="24" t="s">
        <v>1174</v>
      </c>
      <c r="H14" s="56" t="s">
        <v>44</v>
      </c>
      <c r="I14" s="56" t="s">
        <v>45</v>
      </c>
      <c r="J14" s="56" t="s">
        <v>52</v>
      </c>
      <c r="K14" s="25"/>
      <c r="L14" s="56" t="s">
        <v>52</v>
      </c>
      <c r="M14" s="24" t="s">
        <v>1245</v>
      </c>
      <c r="N14" s="18" t="s">
        <v>111</v>
      </c>
    </row>
    <row r="15" spans="1:13" ht="15.75">
      <c r="A15" s="61"/>
      <c r="B15" s="171" t="s">
        <v>1097</v>
      </c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</row>
    <row r="16" spans="1:14" ht="12.75">
      <c r="A16" s="61">
        <v>1</v>
      </c>
      <c r="B16" s="24" t="s">
        <v>1098</v>
      </c>
      <c r="C16" s="24" t="s">
        <v>1178</v>
      </c>
      <c r="D16" s="24" t="s">
        <v>1297</v>
      </c>
      <c r="E16" s="24" t="s">
        <v>1099</v>
      </c>
      <c r="F16" s="24" t="s">
        <v>1170</v>
      </c>
      <c r="G16" s="24" t="s">
        <v>1173</v>
      </c>
      <c r="H16" s="56" t="s">
        <v>52</v>
      </c>
      <c r="I16" s="58" t="s">
        <v>89</v>
      </c>
      <c r="J16" s="58" t="s">
        <v>89</v>
      </c>
      <c r="K16" s="25"/>
      <c r="L16" s="56" t="s">
        <v>52</v>
      </c>
      <c r="M16" s="24" t="s">
        <v>1246</v>
      </c>
      <c r="N16" s="18" t="s">
        <v>1111</v>
      </c>
    </row>
    <row r="17" spans="2:3" ht="15.75">
      <c r="B17" s="30"/>
      <c r="C17" s="30"/>
    </row>
    <row r="18" spans="2:3" ht="18">
      <c r="B18" s="29" t="s">
        <v>7</v>
      </c>
      <c r="C18" s="33"/>
    </row>
    <row r="19" spans="2:3" ht="15.75">
      <c r="B19" s="30" t="s">
        <v>189</v>
      </c>
      <c r="C19" s="30"/>
    </row>
    <row r="20" spans="2:3" ht="13.5">
      <c r="B20" s="32" t="s">
        <v>184</v>
      </c>
      <c r="C20" s="33"/>
    </row>
    <row r="21" spans="1:6" ht="13.5">
      <c r="A21" s="61"/>
      <c r="B21" s="35" t="s">
        <v>176</v>
      </c>
      <c r="C21" s="35" t="s">
        <v>177</v>
      </c>
      <c r="D21" s="35" t="s">
        <v>178</v>
      </c>
      <c r="E21" s="35" t="s">
        <v>179</v>
      </c>
      <c r="F21" s="35" t="s">
        <v>180</v>
      </c>
    </row>
    <row r="22" spans="1:6" ht="12.75">
      <c r="A22" s="61">
        <v>1</v>
      </c>
      <c r="B22" s="34" t="s">
        <v>1171</v>
      </c>
      <c r="C22" s="133" t="s">
        <v>185</v>
      </c>
      <c r="D22" s="109" t="s">
        <v>1078</v>
      </c>
      <c r="E22" s="1" t="s">
        <v>89</v>
      </c>
      <c r="F22" s="135" t="s">
        <v>1243</v>
      </c>
    </row>
    <row r="23" spans="1:6" ht="12.75">
      <c r="A23" s="61">
        <v>2</v>
      </c>
      <c r="B23" s="34" t="s">
        <v>1094</v>
      </c>
      <c r="C23" s="133" t="s">
        <v>185</v>
      </c>
      <c r="D23" s="109" t="s">
        <v>1082</v>
      </c>
      <c r="E23" s="1" t="s">
        <v>52</v>
      </c>
      <c r="F23" s="135" t="s">
        <v>1245</v>
      </c>
    </row>
    <row r="24" spans="1:6" ht="12.75">
      <c r="A24" s="61">
        <v>3</v>
      </c>
      <c r="B24" s="34" t="s">
        <v>1098</v>
      </c>
      <c r="C24" s="133" t="s">
        <v>185</v>
      </c>
      <c r="D24" s="109" t="s">
        <v>1175</v>
      </c>
      <c r="E24" s="1" t="s">
        <v>52</v>
      </c>
      <c r="F24" s="135" t="s">
        <v>1246</v>
      </c>
    </row>
    <row r="25" spans="2:6" ht="12.75">
      <c r="B25" s="34" t="s">
        <v>1083</v>
      </c>
      <c r="C25" s="133" t="s">
        <v>185</v>
      </c>
      <c r="D25" s="109" t="s">
        <v>1176</v>
      </c>
      <c r="E25" s="1" t="s">
        <v>14</v>
      </c>
      <c r="F25" s="135" t="s">
        <v>1241</v>
      </c>
    </row>
    <row r="26" spans="2:6" ht="12.75">
      <c r="B26" s="34" t="s">
        <v>1086</v>
      </c>
      <c r="C26" s="133" t="s">
        <v>185</v>
      </c>
      <c r="D26" s="109" t="s">
        <v>1088</v>
      </c>
      <c r="E26" s="1" t="s">
        <v>61</v>
      </c>
      <c r="F26" s="135" t="s">
        <v>1242</v>
      </c>
    </row>
  </sheetData>
  <sheetProtection/>
  <mergeCells count="17">
    <mergeCell ref="N3:N4"/>
    <mergeCell ref="B5:M5"/>
    <mergeCell ref="B6:M6"/>
    <mergeCell ref="B1:J2"/>
    <mergeCell ref="B3:B4"/>
    <mergeCell ref="C3:C4"/>
    <mergeCell ref="D3:D4"/>
    <mergeCell ref="E3:E4"/>
    <mergeCell ref="F3:F4"/>
    <mergeCell ref="G3:G4"/>
    <mergeCell ref="B8:M8"/>
    <mergeCell ref="B10:M10"/>
    <mergeCell ref="B13:M13"/>
    <mergeCell ref="B15:M15"/>
    <mergeCell ref="H3:K3"/>
    <mergeCell ref="L3:L4"/>
    <mergeCell ref="M3:M4"/>
  </mergeCells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C10" sqref="C10"/>
    </sheetView>
  </sheetViews>
  <sheetFormatPr defaultColWidth="8.75390625" defaultRowHeight="12.75"/>
  <cols>
    <col min="1" max="1" width="2.875" style="61" customWidth="1"/>
    <col min="2" max="2" width="16.00390625" style="28" customWidth="1"/>
    <col min="3" max="3" width="26.875" style="28" bestFit="1" customWidth="1"/>
    <col min="4" max="4" width="8.00390625" style="28" customWidth="1"/>
    <col min="5" max="5" width="7.125" style="28" customWidth="1"/>
    <col min="6" max="6" width="13.75390625" style="28" customWidth="1"/>
    <col min="7" max="7" width="27.00390625" style="28" customWidth="1"/>
    <col min="8" max="8" width="6.125" style="28" customWidth="1"/>
    <col min="9" max="9" width="5.625" style="28" customWidth="1"/>
    <col min="10" max="11" width="5.375" style="28" customWidth="1"/>
    <col min="12" max="12" width="7.375" style="36" customWidth="1"/>
    <col min="13" max="13" width="8.625" style="28" bestFit="1" customWidth="1"/>
    <col min="14" max="14" width="20.125" style="0" bestFit="1" customWidth="1"/>
  </cols>
  <sheetData>
    <row r="1" spans="1:12" s="1" customFormat="1" ht="15" customHeight="1">
      <c r="A1" s="38"/>
      <c r="B1" s="162" t="s">
        <v>1160</v>
      </c>
      <c r="C1" s="163"/>
      <c r="D1" s="163"/>
      <c r="E1" s="163"/>
      <c r="F1" s="163"/>
      <c r="G1" s="163"/>
      <c r="H1" s="163"/>
      <c r="I1" s="163"/>
      <c r="J1" s="179"/>
      <c r="L1" s="38"/>
    </row>
    <row r="2" spans="1:12" s="1" customFormat="1" ht="81.75" customHeight="1" thickBot="1">
      <c r="A2" s="38"/>
      <c r="B2" s="164"/>
      <c r="C2" s="165"/>
      <c r="D2" s="165"/>
      <c r="E2" s="165"/>
      <c r="F2" s="165"/>
      <c r="G2" s="165"/>
      <c r="H2" s="165"/>
      <c r="I2" s="165"/>
      <c r="J2" s="180"/>
      <c r="L2" s="38"/>
    </row>
    <row r="3" spans="2:14" s="2" customFormat="1" ht="12.75" customHeight="1">
      <c r="B3" s="166" t="s">
        <v>0</v>
      </c>
      <c r="C3" s="168" t="s">
        <v>1108</v>
      </c>
      <c r="D3" s="170" t="s">
        <v>1109</v>
      </c>
      <c r="E3" s="170" t="s">
        <v>1110</v>
      </c>
      <c r="F3" s="170" t="s">
        <v>4</v>
      </c>
      <c r="G3" s="170" t="s">
        <v>6</v>
      </c>
      <c r="H3" s="170" t="s">
        <v>1050</v>
      </c>
      <c r="I3" s="170"/>
      <c r="J3" s="170"/>
      <c r="K3" s="170"/>
      <c r="L3" s="170" t="s">
        <v>2</v>
      </c>
      <c r="M3" s="170" t="s">
        <v>1110</v>
      </c>
      <c r="N3" s="160" t="s">
        <v>3</v>
      </c>
    </row>
    <row r="4" spans="2:14" s="2" customFormat="1" ht="21" customHeight="1" thickBot="1">
      <c r="B4" s="167"/>
      <c r="C4" s="169"/>
      <c r="D4" s="169"/>
      <c r="E4" s="169"/>
      <c r="F4" s="169"/>
      <c r="G4" s="169"/>
      <c r="H4" s="3">
        <v>1</v>
      </c>
      <c r="I4" s="3">
        <v>2</v>
      </c>
      <c r="J4" s="3">
        <v>3</v>
      </c>
      <c r="K4" s="3" t="s">
        <v>5</v>
      </c>
      <c r="L4" s="169"/>
      <c r="M4" s="169"/>
      <c r="N4" s="161"/>
    </row>
    <row r="5" spans="2:13" ht="15.75">
      <c r="B5" s="171" t="s">
        <v>1053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</row>
    <row r="6" spans="2:13" ht="15.75">
      <c r="B6" s="171" t="s">
        <v>66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</row>
    <row r="7" spans="1:14" ht="12.75">
      <c r="A7" s="61">
        <v>1</v>
      </c>
      <c r="B7" s="20" t="s">
        <v>452</v>
      </c>
      <c r="C7" s="20" t="s">
        <v>859</v>
      </c>
      <c r="D7" s="20" t="s">
        <v>454</v>
      </c>
      <c r="E7" s="20" t="str">
        <f>"1,0372"</f>
        <v>1,0372</v>
      </c>
      <c r="F7" s="20" t="s">
        <v>27</v>
      </c>
      <c r="G7" s="20" t="s">
        <v>142</v>
      </c>
      <c r="H7" s="62" t="s">
        <v>98</v>
      </c>
      <c r="I7" s="62" t="s">
        <v>41</v>
      </c>
      <c r="J7" s="63" t="s">
        <v>159</v>
      </c>
      <c r="K7" s="21"/>
      <c r="L7" s="62" t="s">
        <v>41</v>
      </c>
      <c r="M7" s="20" t="str">
        <f>"217,8120"</f>
        <v>217,8120</v>
      </c>
      <c r="N7" s="16" t="s">
        <v>455</v>
      </c>
    </row>
    <row r="8" spans="1:14" ht="12.75">
      <c r="A8" s="61">
        <v>1</v>
      </c>
      <c r="B8" s="24" t="s">
        <v>860</v>
      </c>
      <c r="C8" s="24" t="s">
        <v>861</v>
      </c>
      <c r="D8" s="24" t="s">
        <v>862</v>
      </c>
      <c r="E8" s="24" t="str">
        <f>"1,0708"</f>
        <v>1,0708</v>
      </c>
      <c r="F8" s="24" t="s">
        <v>27</v>
      </c>
      <c r="G8" s="24" t="s">
        <v>148</v>
      </c>
      <c r="H8" s="58" t="s">
        <v>41</v>
      </c>
      <c r="I8" s="56" t="s">
        <v>79</v>
      </c>
      <c r="J8" s="58" t="s">
        <v>108</v>
      </c>
      <c r="K8" s="25"/>
      <c r="L8" s="56" t="s">
        <v>79</v>
      </c>
      <c r="M8" s="24" t="str">
        <f>"230,2220"</f>
        <v>230,2220</v>
      </c>
      <c r="N8" s="18" t="s">
        <v>111</v>
      </c>
    </row>
    <row r="9" spans="2:13" ht="15.75">
      <c r="B9" s="171" t="s">
        <v>117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</row>
    <row r="10" spans="1:14" ht="12.75">
      <c r="A10" s="61">
        <v>1</v>
      </c>
      <c r="B10" s="24" t="s">
        <v>863</v>
      </c>
      <c r="C10" s="24" t="s">
        <v>1100</v>
      </c>
      <c r="D10" s="24" t="s">
        <v>865</v>
      </c>
      <c r="E10" s="24" t="str">
        <f>"0,9166"</f>
        <v>0,9166</v>
      </c>
      <c r="F10" s="24" t="s">
        <v>853</v>
      </c>
      <c r="G10" s="24" t="s">
        <v>833</v>
      </c>
      <c r="H10" s="56" t="s">
        <v>74</v>
      </c>
      <c r="I10" s="56" t="s">
        <v>463</v>
      </c>
      <c r="J10" s="58" t="s">
        <v>187</v>
      </c>
      <c r="K10" s="25"/>
      <c r="L10" s="56" t="s">
        <v>463</v>
      </c>
      <c r="M10" s="24" t="str">
        <f>"311,6440"</f>
        <v>311,6440</v>
      </c>
      <c r="N10" s="18" t="s">
        <v>866</v>
      </c>
    </row>
    <row r="11" spans="1:14" ht="12.75">
      <c r="A11" s="61">
        <v>1</v>
      </c>
      <c r="B11" s="24" t="s">
        <v>863</v>
      </c>
      <c r="C11" s="24" t="s">
        <v>864</v>
      </c>
      <c r="D11" s="24" t="s">
        <v>865</v>
      </c>
      <c r="E11" s="24" t="str">
        <f>"0,9166"</f>
        <v>0,9166</v>
      </c>
      <c r="F11" s="24" t="s">
        <v>853</v>
      </c>
      <c r="G11" s="24" t="s">
        <v>833</v>
      </c>
      <c r="H11" s="56" t="s">
        <v>74</v>
      </c>
      <c r="I11" s="56" t="s">
        <v>463</v>
      </c>
      <c r="J11" s="58" t="s">
        <v>187</v>
      </c>
      <c r="K11" s="25"/>
      <c r="L11" s="56" t="s">
        <v>463</v>
      </c>
      <c r="M11" s="24" t="str">
        <f>"311,6440"</f>
        <v>311,6440</v>
      </c>
      <c r="N11" s="18" t="s">
        <v>866</v>
      </c>
    </row>
  </sheetData>
  <sheetProtection/>
  <mergeCells count="14">
    <mergeCell ref="L3:L4"/>
    <mergeCell ref="M3:M4"/>
    <mergeCell ref="N3:N4"/>
    <mergeCell ref="B6:M6"/>
    <mergeCell ref="B9:M9"/>
    <mergeCell ref="B5:M5"/>
    <mergeCell ref="B1:J2"/>
    <mergeCell ref="B3:B4"/>
    <mergeCell ref="C3:C4"/>
    <mergeCell ref="D3:D4"/>
    <mergeCell ref="E3:E4"/>
    <mergeCell ref="F3:F4"/>
    <mergeCell ref="G3:G4"/>
    <mergeCell ref="H3:K3"/>
  </mergeCells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D18" sqref="D18"/>
    </sheetView>
  </sheetViews>
  <sheetFormatPr defaultColWidth="8.75390625" defaultRowHeight="12.75"/>
  <cols>
    <col min="1" max="1" width="2.75390625" style="61" customWidth="1"/>
    <col min="2" max="2" width="18.625" style="28" customWidth="1"/>
    <col min="3" max="3" width="25.75390625" style="28" customWidth="1"/>
    <col min="4" max="4" width="7.125" style="28" customWidth="1"/>
    <col min="5" max="5" width="6.875" style="28" customWidth="1"/>
    <col min="6" max="6" width="13.875" style="28" customWidth="1"/>
    <col min="7" max="7" width="28.125" style="28" customWidth="1"/>
    <col min="8" max="8" width="6.375" style="28" customWidth="1"/>
    <col min="9" max="9" width="6.125" style="28" customWidth="1"/>
    <col min="10" max="10" width="6.00390625" style="28" customWidth="1"/>
    <col min="11" max="11" width="5.625" style="28" customWidth="1"/>
    <col min="12" max="12" width="8.125" style="36" customWidth="1"/>
    <col min="13" max="13" width="8.625" style="28" bestFit="1" customWidth="1"/>
    <col min="14" max="14" width="20.875" style="0" customWidth="1"/>
  </cols>
  <sheetData>
    <row r="1" spans="1:12" s="1" customFormat="1" ht="15" customHeight="1">
      <c r="A1" s="38"/>
      <c r="B1" s="162" t="s">
        <v>1159</v>
      </c>
      <c r="C1" s="163"/>
      <c r="D1" s="163"/>
      <c r="E1" s="163"/>
      <c r="F1" s="163"/>
      <c r="G1" s="163"/>
      <c r="H1" s="163"/>
      <c r="I1" s="163"/>
      <c r="J1" s="179"/>
      <c r="L1" s="38"/>
    </row>
    <row r="2" spans="1:12" s="1" customFormat="1" ht="81.75" customHeight="1" thickBot="1">
      <c r="A2" s="38"/>
      <c r="B2" s="164"/>
      <c r="C2" s="165"/>
      <c r="D2" s="165"/>
      <c r="E2" s="165"/>
      <c r="F2" s="165"/>
      <c r="G2" s="165"/>
      <c r="H2" s="165"/>
      <c r="I2" s="165"/>
      <c r="J2" s="180"/>
      <c r="L2" s="38"/>
    </row>
    <row r="3" spans="2:14" s="2" customFormat="1" ht="12.75" customHeight="1">
      <c r="B3" s="166" t="s">
        <v>0</v>
      </c>
      <c r="C3" s="168" t="s">
        <v>1108</v>
      </c>
      <c r="D3" s="170" t="s">
        <v>1109</v>
      </c>
      <c r="E3" s="170" t="s">
        <v>1110</v>
      </c>
      <c r="F3" s="170" t="s">
        <v>4</v>
      </c>
      <c r="G3" s="170" t="s">
        <v>6</v>
      </c>
      <c r="H3" s="170" t="s">
        <v>1050</v>
      </c>
      <c r="I3" s="170"/>
      <c r="J3" s="170"/>
      <c r="K3" s="170"/>
      <c r="L3" s="170" t="s">
        <v>2</v>
      </c>
      <c r="M3" s="170" t="s">
        <v>1110</v>
      </c>
      <c r="N3" s="160" t="s">
        <v>3</v>
      </c>
    </row>
    <row r="4" spans="2:14" s="2" customFormat="1" ht="21" customHeight="1" thickBot="1">
      <c r="B4" s="167"/>
      <c r="C4" s="169"/>
      <c r="D4" s="169"/>
      <c r="E4" s="169"/>
      <c r="F4" s="169"/>
      <c r="G4" s="169"/>
      <c r="H4" s="3">
        <v>1</v>
      </c>
      <c r="I4" s="3">
        <v>2</v>
      </c>
      <c r="J4" s="3">
        <v>3</v>
      </c>
      <c r="K4" s="3" t="s">
        <v>5</v>
      </c>
      <c r="L4" s="169"/>
      <c r="M4" s="169"/>
      <c r="N4" s="161"/>
    </row>
    <row r="5" spans="2:13" ht="15.75">
      <c r="B5" s="171" t="s">
        <v>1053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</row>
    <row r="6" spans="2:13" ht="15.75">
      <c r="B6" s="171" t="s">
        <v>66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</row>
    <row r="7" spans="1:14" ht="12.75">
      <c r="A7" s="61">
        <v>1</v>
      </c>
      <c r="B7" s="24" t="s">
        <v>847</v>
      </c>
      <c r="C7" s="24" t="s">
        <v>848</v>
      </c>
      <c r="D7" s="24" t="s">
        <v>849</v>
      </c>
      <c r="E7" s="24" t="str">
        <f>"1,0552"</f>
        <v>1,0552</v>
      </c>
      <c r="F7" s="24" t="s">
        <v>12</v>
      </c>
      <c r="G7" s="24" t="s">
        <v>736</v>
      </c>
      <c r="H7" s="56" t="s">
        <v>34</v>
      </c>
      <c r="I7" s="58" t="s">
        <v>35</v>
      </c>
      <c r="J7" s="58" t="s">
        <v>35</v>
      </c>
      <c r="K7" s="25"/>
      <c r="L7" s="56" t="s">
        <v>34</v>
      </c>
      <c r="M7" s="24" t="str">
        <f>"137,1760"</f>
        <v>137,1760</v>
      </c>
      <c r="N7" s="18" t="s">
        <v>111</v>
      </c>
    </row>
    <row r="8" spans="2:13" ht="15.75">
      <c r="B8" s="171" t="s">
        <v>100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</row>
    <row r="9" spans="1:14" ht="12.75">
      <c r="A9" s="61">
        <v>1</v>
      </c>
      <c r="B9" s="20" t="s">
        <v>850</v>
      </c>
      <c r="C9" s="20" t="s">
        <v>851</v>
      </c>
      <c r="D9" s="20" t="s">
        <v>722</v>
      </c>
      <c r="E9" s="20" t="str">
        <f>"0,9690"</f>
        <v>0,9690</v>
      </c>
      <c r="F9" s="20" t="s">
        <v>853</v>
      </c>
      <c r="G9" s="20" t="s">
        <v>148</v>
      </c>
      <c r="H9" s="63" t="s">
        <v>130</v>
      </c>
      <c r="I9" s="62" t="s">
        <v>130</v>
      </c>
      <c r="J9" s="21"/>
      <c r="K9" s="21"/>
      <c r="L9" s="62" t="s">
        <v>130</v>
      </c>
      <c r="M9" s="20" t="str">
        <f>"227,7150"</f>
        <v>227,7150</v>
      </c>
      <c r="N9" s="16" t="s">
        <v>1112</v>
      </c>
    </row>
    <row r="10" spans="1:14" ht="12.75">
      <c r="A10" s="61">
        <v>1</v>
      </c>
      <c r="B10" s="24" t="s">
        <v>850</v>
      </c>
      <c r="C10" s="24" t="s">
        <v>852</v>
      </c>
      <c r="D10" s="24" t="s">
        <v>722</v>
      </c>
      <c r="E10" s="24" t="str">
        <f>"0,9690"</f>
        <v>0,9690</v>
      </c>
      <c r="F10" s="24" t="s">
        <v>853</v>
      </c>
      <c r="G10" s="24" t="s">
        <v>148</v>
      </c>
      <c r="H10" s="58" t="s">
        <v>130</v>
      </c>
      <c r="I10" s="56" t="s">
        <v>130</v>
      </c>
      <c r="J10" s="25"/>
      <c r="K10" s="25"/>
      <c r="L10" s="56" t="s">
        <v>130</v>
      </c>
      <c r="M10" s="24" t="str">
        <f>"227,7150"</f>
        <v>227,7150</v>
      </c>
      <c r="N10" s="18" t="s">
        <v>1112</v>
      </c>
    </row>
    <row r="11" spans="1:14" ht="12.75">
      <c r="A11" s="61">
        <v>2</v>
      </c>
      <c r="B11" s="22" t="s">
        <v>854</v>
      </c>
      <c r="C11" s="22" t="s">
        <v>855</v>
      </c>
      <c r="D11" s="22" t="s">
        <v>424</v>
      </c>
      <c r="E11" s="22" t="str">
        <f>"0,9752"</f>
        <v>0,9752</v>
      </c>
      <c r="F11" s="22" t="s">
        <v>27</v>
      </c>
      <c r="G11" s="22" t="s">
        <v>319</v>
      </c>
      <c r="H11" s="65" t="s">
        <v>52</v>
      </c>
      <c r="I11" s="64" t="s">
        <v>89</v>
      </c>
      <c r="J11" s="65" t="s">
        <v>89</v>
      </c>
      <c r="K11" s="23"/>
      <c r="L11" s="65" t="s">
        <v>89</v>
      </c>
      <c r="M11" s="22" t="str">
        <f>"185,2880"</f>
        <v>185,2880</v>
      </c>
      <c r="N11" s="17" t="s">
        <v>111</v>
      </c>
    </row>
    <row r="12" spans="2:13" ht="15.75">
      <c r="B12" s="171" t="s">
        <v>138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</row>
    <row r="13" spans="1:14" ht="12.75">
      <c r="A13" s="61">
        <v>1</v>
      </c>
      <c r="B13" s="24" t="s">
        <v>856</v>
      </c>
      <c r="C13" s="24" t="s">
        <v>857</v>
      </c>
      <c r="D13" s="24" t="s">
        <v>858</v>
      </c>
      <c r="E13" s="24" t="str">
        <f>"0,9040"</f>
        <v>0,9040</v>
      </c>
      <c r="F13" s="24" t="s">
        <v>27</v>
      </c>
      <c r="G13" s="24" t="s">
        <v>319</v>
      </c>
      <c r="H13" s="56" t="s">
        <v>43</v>
      </c>
      <c r="I13" s="58" t="s">
        <v>171</v>
      </c>
      <c r="J13" s="58" t="s">
        <v>171</v>
      </c>
      <c r="K13" s="25"/>
      <c r="L13" s="56" t="s">
        <v>43</v>
      </c>
      <c r="M13" s="24" t="str">
        <f>"221,4800"</f>
        <v>221,4800</v>
      </c>
      <c r="N13" s="18" t="s">
        <v>111</v>
      </c>
    </row>
  </sheetData>
  <sheetProtection/>
  <mergeCells count="15">
    <mergeCell ref="B12:M12"/>
    <mergeCell ref="N3:N4"/>
    <mergeCell ref="B5:M5"/>
    <mergeCell ref="L3:L4"/>
    <mergeCell ref="M3:M4"/>
    <mergeCell ref="B6:M6"/>
    <mergeCell ref="B8:M8"/>
    <mergeCell ref="B1:J2"/>
    <mergeCell ref="B3:B4"/>
    <mergeCell ref="C3:C4"/>
    <mergeCell ref="D3:D4"/>
    <mergeCell ref="E3:E4"/>
    <mergeCell ref="F3:F4"/>
    <mergeCell ref="G3:G4"/>
    <mergeCell ref="H3:K3"/>
  </mergeCells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2">
      <selection activeCell="C16" sqref="C16"/>
    </sheetView>
  </sheetViews>
  <sheetFormatPr defaultColWidth="8.75390625" defaultRowHeight="12.75"/>
  <cols>
    <col min="1" max="1" width="2.75390625" style="61" customWidth="1"/>
    <col min="2" max="2" width="17.125" style="28" customWidth="1"/>
    <col min="3" max="3" width="27.375" style="28" customWidth="1"/>
    <col min="4" max="4" width="7.75390625" style="28" customWidth="1"/>
    <col min="5" max="5" width="7.875" style="28" customWidth="1"/>
    <col min="6" max="6" width="19.25390625" style="28" customWidth="1"/>
    <col min="7" max="7" width="31.625" style="28" customWidth="1"/>
    <col min="8" max="8" width="5.375" style="28" customWidth="1"/>
    <col min="9" max="9" width="5.75390625" style="28" customWidth="1"/>
    <col min="10" max="10" width="5.375" style="28" customWidth="1"/>
    <col min="11" max="11" width="6.00390625" style="28" customWidth="1"/>
    <col min="12" max="12" width="7.625" style="36" customWidth="1"/>
    <col min="13" max="13" width="8.625" style="28" bestFit="1" customWidth="1"/>
    <col min="14" max="14" width="21.25390625" style="0" customWidth="1"/>
  </cols>
  <sheetData>
    <row r="1" spans="1:12" s="1" customFormat="1" ht="15" customHeight="1">
      <c r="A1" s="38"/>
      <c r="B1" s="162" t="s">
        <v>1158</v>
      </c>
      <c r="C1" s="163"/>
      <c r="D1" s="163"/>
      <c r="E1" s="163"/>
      <c r="F1" s="163"/>
      <c r="G1" s="163"/>
      <c r="H1" s="163"/>
      <c r="I1" s="163"/>
      <c r="J1" s="179"/>
      <c r="L1" s="38"/>
    </row>
    <row r="2" spans="1:12" s="1" customFormat="1" ht="81.75" customHeight="1" thickBot="1">
      <c r="A2" s="38"/>
      <c r="B2" s="164"/>
      <c r="C2" s="165"/>
      <c r="D2" s="165"/>
      <c r="E2" s="165"/>
      <c r="F2" s="165"/>
      <c r="G2" s="165"/>
      <c r="H2" s="165"/>
      <c r="I2" s="165"/>
      <c r="J2" s="180"/>
      <c r="L2" s="38"/>
    </row>
    <row r="3" spans="2:14" s="2" customFormat="1" ht="12.75" customHeight="1">
      <c r="B3" s="166" t="s">
        <v>0</v>
      </c>
      <c r="C3" s="168" t="s">
        <v>1108</v>
      </c>
      <c r="D3" s="170" t="s">
        <v>1109</v>
      </c>
      <c r="E3" s="170" t="s">
        <v>1110</v>
      </c>
      <c r="F3" s="170" t="s">
        <v>4</v>
      </c>
      <c r="G3" s="170" t="s">
        <v>6</v>
      </c>
      <c r="H3" s="170" t="s">
        <v>1050</v>
      </c>
      <c r="I3" s="170"/>
      <c r="J3" s="170"/>
      <c r="K3" s="170"/>
      <c r="L3" s="170" t="s">
        <v>2</v>
      </c>
      <c r="M3" s="170" t="s">
        <v>1110</v>
      </c>
      <c r="N3" s="160" t="s">
        <v>3</v>
      </c>
    </row>
    <row r="4" spans="2:14" s="2" customFormat="1" ht="21" customHeight="1" thickBot="1">
      <c r="B4" s="167"/>
      <c r="C4" s="169"/>
      <c r="D4" s="169"/>
      <c r="E4" s="169"/>
      <c r="F4" s="169"/>
      <c r="G4" s="169"/>
      <c r="H4" s="3">
        <v>1</v>
      </c>
      <c r="I4" s="3">
        <v>2</v>
      </c>
      <c r="J4" s="3">
        <v>3</v>
      </c>
      <c r="K4" s="3" t="s">
        <v>5</v>
      </c>
      <c r="L4" s="169"/>
      <c r="M4" s="169"/>
      <c r="N4" s="161"/>
    </row>
    <row r="5" spans="2:13" ht="15.75">
      <c r="B5" s="171" t="s">
        <v>1052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</row>
    <row r="6" spans="2:13" ht="15.75">
      <c r="B6" s="171" t="s">
        <v>284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</row>
    <row r="7" spans="1:14" ht="12.75">
      <c r="A7" s="61">
        <v>1</v>
      </c>
      <c r="B7" s="24" t="s">
        <v>827</v>
      </c>
      <c r="C7" s="24" t="s">
        <v>828</v>
      </c>
      <c r="D7" s="24" t="s">
        <v>829</v>
      </c>
      <c r="E7" s="24" t="str">
        <f>"1,6406"</f>
        <v>1,6406</v>
      </c>
      <c r="F7" s="24" t="s">
        <v>27</v>
      </c>
      <c r="G7" s="24" t="s">
        <v>1184</v>
      </c>
      <c r="H7" s="56" t="s">
        <v>31</v>
      </c>
      <c r="I7" s="58" t="s">
        <v>273</v>
      </c>
      <c r="J7" s="58" t="s">
        <v>32</v>
      </c>
      <c r="K7" s="25"/>
      <c r="L7" s="56" t="s">
        <v>31</v>
      </c>
      <c r="M7" s="24" t="str">
        <f>"114,8420"</f>
        <v>114,8420</v>
      </c>
      <c r="N7" s="18" t="s">
        <v>37</v>
      </c>
    </row>
    <row r="8" spans="2:13" ht="15.75">
      <c r="B8" s="171" t="s">
        <v>1053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</row>
    <row r="9" spans="2:13" ht="15.75">
      <c r="B9" s="171" t="s">
        <v>66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</row>
    <row r="10" spans="2:14" ht="12.75">
      <c r="B10" s="24" t="s">
        <v>830</v>
      </c>
      <c r="C10" s="24" t="s">
        <v>831</v>
      </c>
      <c r="D10" s="24" t="s">
        <v>832</v>
      </c>
      <c r="E10" s="24" t="str">
        <f>"1,0856"</f>
        <v>1,0856</v>
      </c>
      <c r="F10" s="24" t="s">
        <v>853</v>
      </c>
      <c r="G10" s="24" t="s">
        <v>833</v>
      </c>
      <c r="H10" s="58" t="s">
        <v>89</v>
      </c>
      <c r="I10" s="25"/>
      <c r="J10" s="25"/>
      <c r="K10" s="25"/>
      <c r="L10" s="60">
        <v>0</v>
      </c>
      <c r="M10" s="113" t="str">
        <f>"0,0000"</f>
        <v>0,0000</v>
      </c>
      <c r="N10" s="18" t="s">
        <v>834</v>
      </c>
    </row>
    <row r="11" spans="2:13" ht="15.75">
      <c r="B11" s="171" t="s">
        <v>100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</row>
    <row r="12" spans="1:14" ht="12.75">
      <c r="A12" s="61">
        <v>1</v>
      </c>
      <c r="B12" s="24" t="s">
        <v>835</v>
      </c>
      <c r="C12" s="24" t="s">
        <v>836</v>
      </c>
      <c r="D12" s="24" t="s">
        <v>499</v>
      </c>
      <c r="E12" s="24" t="str">
        <f>"0,9760"</f>
        <v>0,9760</v>
      </c>
      <c r="F12" s="24" t="s">
        <v>27</v>
      </c>
      <c r="G12" s="24" t="s">
        <v>170</v>
      </c>
      <c r="H12" s="56" t="s">
        <v>41</v>
      </c>
      <c r="I12" s="56" t="s">
        <v>80</v>
      </c>
      <c r="J12" s="58" t="s">
        <v>130</v>
      </c>
      <c r="K12" s="25"/>
      <c r="L12" s="56" t="s">
        <v>80</v>
      </c>
      <c r="M12" s="24" t="str">
        <f>"217,1600"</f>
        <v>217,1600</v>
      </c>
      <c r="N12" s="18" t="s">
        <v>111</v>
      </c>
    </row>
    <row r="13" spans="2:13" ht="15.75">
      <c r="B13" s="171" t="s">
        <v>166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</row>
    <row r="14" spans="1:14" ht="12.75">
      <c r="A14" s="61">
        <v>1</v>
      </c>
      <c r="B14" s="24" t="s">
        <v>837</v>
      </c>
      <c r="C14" s="24" t="s">
        <v>838</v>
      </c>
      <c r="D14" s="24" t="s">
        <v>839</v>
      </c>
      <c r="E14" s="24" t="str">
        <f>"0,8790"</f>
        <v>0,8790</v>
      </c>
      <c r="F14" s="24" t="s">
        <v>365</v>
      </c>
      <c r="G14" s="24" t="s">
        <v>366</v>
      </c>
      <c r="H14" s="56" t="s">
        <v>98</v>
      </c>
      <c r="I14" s="56" t="s">
        <v>54</v>
      </c>
      <c r="J14" s="58" t="s">
        <v>108</v>
      </c>
      <c r="K14" s="25"/>
      <c r="L14" s="56" t="s">
        <v>54</v>
      </c>
      <c r="M14" s="24" t="str">
        <f>"193,3800"</f>
        <v>193,3800</v>
      </c>
      <c r="N14" s="18" t="s">
        <v>840</v>
      </c>
    </row>
    <row r="15" spans="2:13" ht="15.75">
      <c r="B15" s="171" t="s">
        <v>562</v>
      </c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</row>
    <row r="16" spans="1:14" ht="12.75">
      <c r="A16" s="61">
        <v>1</v>
      </c>
      <c r="B16" s="24" t="s">
        <v>841</v>
      </c>
      <c r="C16" s="24" t="s">
        <v>842</v>
      </c>
      <c r="D16" s="24" t="s">
        <v>843</v>
      </c>
      <c r="E16" s="24" t="str">
        <f>"0,8442"</f>
        <v>0,8442</v>
      </c>
      <c r="F16" s="24" t="s">
        <v>27</v>
      </c>
      <c r="G16" s="24" t="s">
        <v>319</v>
      </c>
      <c r="H16" s="58" t="s">
        <v>47</v>
      </c>
      <c r="I16" s="56" t="s">
        <v>47</v>
      </c>
      <c r="J16" s="58" t="s">
        <v>124</v>
      </c>
      <c r="K16" s="25"/>
      <c r="L16" s="56" t="s">
        <v>47</v>
      </c>
      <c r="M16" s="24" t="str">
        <f>"236,3760"</f>
        <v>236,3760</v>
      </c>
      <c r="N16" s="18" t="s">
        <v>844</v>
      </c>
    </row>
    <row r="17" spans="2:14" ht="12.75">
      <c r="B17" s="22" t="s">
        <v>845</v>
      </c>
      <c r="C17" s="24" t="s">
        <v>1553</v>
      </c>
      <c r="D17" s="22" t="s">
        <v>846</v>
      </c>
      <c r="E17" s="22" t="str">
        <f>"0,8404"</f>
        <v>0,8404</v>
      </c>
      <c r="F17" s="22" t="s">
        <v>853</v>
      </c>
      <c r="G17" s="24" t="s">
        <v>1184</v>
      </c>
      <c r="H17" s="64" t="s">
        <v>361</v>
      </c>
      <c r="I17" s="64" t="s">
        <v>361</v>
      </c>
      <c r="J17" s="23"/>
      <c r="K17" s="23"/>
      <c r="L17" s="72">
        <v>0</v>
      </c>
      <c r="M17" s="115" t="str">
        <f>"0,0000"</f>
        <v>0,0000</v>
      </c>
      <c r="N17" s="17" t="s">
        <v>1232</v>
      </c>
    </row>
  </sheetData>
  <sheetProtection/>
  <mergeCells count="18">
    <mergeCell ref="N3:N4"/>
    <mergeCell ref="B5:M5"/>
    <mergeCell ref="B8:M8"/>
    <mergeCell ref="B13:M13"/>
    <mergeCell ref="B15:M15"/>
    <mergeCell ref="L3:L4"/>
    <mergeCell ref="M3:M4"/>
    <mergeCell ref="B6:M6"/>
    <mergeCell ref="B9:M9"/>
    <mergeCell ref="B11:M11"/>
    <mergeCell ref="B1:J2"/>
    <mergeCell ref="B3:B4"/>
    <mergeCell ref="C3:C4"/>
    <mergeCell ref="D3:D4"/>
    <mergeCell ref="E3:E4"/>
    <mergeCell ref="F3:F4"/>
    <mergeCell ref="G3:G4"/>
    <mergeCell ref="H3:K3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Сергей Длужневский</cp:lastModifiedBy>
  <cp:lastPrinted>2008-02-22T21:19:39Z</cp:lastPrinted>
  <dcterms:created xsi:type="dcterms:W3CDTF">2002-06-16T13:36:44Z</dcterms:created>
  <dcterms:modified xsi:type="dcterms:W3CDTF">2016-08-30T12:32:54Z</dcterms:modified>
  <cp:category/>
  <cp:version/>
  <cp:contentType/>
  <cp:contentStatus/>
</cp:coreProperties>
</file>