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4" activeTab="4"/>
  </bookViews>
  <sheets>
    <sheet name="Становая тяга без экипировки ДК" sheetId="1" r:id="rId1"/>
    <sheet name="Становая тяга без экипировки" sheetId="2" r:id="rId2"/>
    <sheet name="Народный жим 1 вес ДК" sheetId="3" r:id="rId3"/>
    <sheet name="Народный жим 1 вес" sheetId="4" r:id="rId4"/>
    <sheet name="Народный жим 1_2 веса ДК" sheetId="5" r:id="rId5"/>
    <sheet name="Жим лежа SOFT экипировка" sheetId="6" r:id="rId6"/>
    <sheet name="Жим лежа SOFT экипировка ДК" sheetId="7" r:id="rId7"/>
    <sheet name="Жим лежа в однослойной экип. ДК" sheetId="8" r:id="rId8"/>
    <sheet name="Жим лежа без экипировки ДК" sheetId="9" r:id="rId9"/>
    <sheet name="Жим лежа без экипировки" sheetId="10" r:id="rId10"/>
    <sheet name="Присед в бинтах ДК" sheetId="11" r:id="rId11"/>
    <sheet name="Пауэрлифтинг без экипировки ДК" sheetId="12" r:id="rId12"/>
    <sheet name="Пауэрлифтинг без экипировки" sheetId="13" r:id="rId13"/>
  </sheets>
  <definedNames/>
  <calcPr fullCalcOnLoad="1" refMode="R1C1"/>
</workbook>
</file>

<file path=xl/sharedStrings.xml><?xml version="1.0" encoding="utf-8"?>
<sst xmlns="http://schemas.openxmlformats.org/spreadsheetml/2006/main" count="1510" uniqueCount="490">
  <si>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</si>
  <si>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</si>
  <si>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</si>
  <si>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</si>
  <si>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</si>
  <si>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</si>
  <si>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</si>
  <si>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</si>
  <si>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</si>
  <si>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</si>
  <si>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60</t>
  </si>
  <si>
    <t>Савинова Елена</t>
  </si>
  <si>
    <t>Teen 13-15 (16.03.2001)/15</t>
  </si>
  <si>
    <t xml:space="preserve">Спартак </t>
  </si>
  <si>
    <t>60,0</t>
  </si>
  <si>
    <t>65,0</t>
  </si>
  <si>
    <t>45,0</t>
  </si>
  <si>
    <t>100,0</t>
  </si>
  <si>
    <t>ВЕСОВАЯ КАТЕГОРИЯ   67.5</t>
  </si>
  <si>
    <t>Open (17.04.1982)/33</t>
  </si>
  <si>
    <t>120,0</t>
  </si>
  <si>
    <t>125,0</t>
  </si>
  <si>
    <t>132,5</t>
  </si>
  <si>
    <t>145,0</t>
  </si>
  <si>
    <t>155,0</t>
  </si>
  <si>
    <t>160,0</t>
  </si>
  <si>
    <t>Суслов Михаил</t>
  </si>
  <si>
    <t>Juniors 20-23 (24.08.1994)/21</t>
  </si>
  <si>
    <t>0,0</t>
  </si>
  <si>
    <t>210,0</t>
  </si>
  <si>
    <t xml:space="preserve">Щелков А. </t>
  </si>
  <si>
    <t>ВЕСОВАЯ КАТЕГОРИЯ   75</t>
  </si>
  <si>
    <t>Жуков Юрий</t>
  </si>
  <si>
    <t>Open (31.05.1991)/24</t>
  </si>
  <si>
    <t>170,0</t>
  </si>
  <si>
    <t>105,0</t>
  </si>
  <si>
    <t>115,0</t>
  </si>
  <si>
    <t>180,0</t>
  </si>
  <si>
    <t>192,5</t>
  </si>
  <si>
    <t>205,0</t>
  </si>
  <si>
    <t>ВЕСОВАЯ КАТЕГОРИЯ   100</t>
  </si>
  <si>
    <t>Juniors 20-23 (18.02.1995)/21</t>
  </si>
  <si>
    <t xml:space="preserve">Лично </t>
  </si>
  <si>
    <t>190,0</t>
  </si>
  <si>
    <t>150,0</t>
  </si>
  <si>
    <t>165,0</t>
  </si>
  <si>
    <t>225,0</t>
  </si>
  <si>
    <t>235,0</t>
  </si>
  <si>
    <t>ВЕСОВАЯ КАТЕГОРИЯ   125</t>
  </si>
  <si>
    <t>Juniors 20-23 (02.06.1992)/23</t>
  </si>
  <si>
    <t xml:space="preserve">Обь/Новосибирская область </t>
  </si>
  <si>
    <t>230,0</t>
  </si>
  <si>
    <t>242,5</t>
  </si>
  <si>
    <t>270,0</t>
  </si>
  <si>
    <t>285,0</t>
  </si>
  <si>
    <t>300,0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</si>
  <si>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</si>
  <si>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</si>
  <si>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</si>
  <si>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</si>
  <si>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</si>
  <si>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</si>
  <si>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</si>
  <si>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</si>
  <si>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345,0</t>
  </si>
  <si>
    <t xml:space="preserve">Мужчины </t>
  </si>
  <si>
    <t>675,0</t>
  </si>
  <si>
    <t>590,0</t>
  </si>
  <si>
    <t>485,0</t>
  </si>
  <si>
    <t>ВЕСОВАЯ КАТЕГОРИЯ   48</t>
  </si>
  <si>
    <t>Баннова Татьяна</t>
  </si>
  <si>
    <t>Open (04.06.1986)/29</t>
  </si>
  <si>
    <t xml:space="preserve">Энергия </t>
  </si>
  <si>
    <t>75,0</t>
  </si>
  <si>
    <t>80,0</t>
  </si>
  <si>
    <t>42,5</t>
  </si>
  <si>
    <t>47,5</t>
  </si>
  <si>
    <t>90,0</t>
  </si>
  <si>
    <t>102,5</t>
  </si>
  <si>
    <t>ВЕСОВАЯ КАТЕГОРИЯ   52</t>
  </si>
  <si>
    <t>Teen 13-15 (16.11.2002)/13</t>
  </si>
  <si>
    <t xml:space="preserve">Локомотив </t>
  </si>
  <si>
    <t>55,0</t>
  </si>
  <si>
    <t>50,0</t>
  </si>
  <si>
    <t>85,0</t>
  </si>
  <si>
    <t>92,5</t>
  </si>
  <si>
    <t>Варнавская Наталья</t>
  </si>
  <si>
    <t>Open (17.05.1983)/32</t>
  </si>
  <si>
    <t xml:space="preserve">Стальной Медведь </t>
  </si>
  <si>
    <t xml:space="preserve">Новосибирск/Новосибирская область </t>
  </si>
  <si>
    <t>87,5</t>
  </si>
  <si>
    <t>95,0</t>
  </si>
  <si>
    <t xml:space="preserve">Быховец Артем </t>
  </si>
  <si>
    <t>ВЕСОВАЯ КАТЕГОРИЯ   56</t>
  </si>
  <si>
    <t>Чернобаева Лариса</t>
  </si>
  <si>
    <t>Open (22.12.1980)/35</t>
  </si>
  <si>
    <t>107,5</t>
  </si>
  <si>
    <t>110,0</t>
  </si>
  <si>
    <t>52,5</t>
  </si>
  <si>
    <t>57,5</t>
  </si>
  <si>
    <t>140,0</t>
  </si>
  <si>
    <t>147,5</t>
  </si>
  <si>
    <t>Коптякова Татьяна</t>
  </si>
  <si>
    <t>Open (15.05.1991)/24</t>
  </si>
  <si>
    <t>67,5</t>
  </si>
  <si>
    <t>117,5</t>
  </si>
  <si>
    <t>Ялама Дарья</t>
  </si>
  <si>
    <t>Open (25.03.1987)/29</t>
  </si>
  <si>
    <t>97,5</t>
  </si>
  <si>
    <t>Teen 18-19 (10.05.1996)/19</t>
  </si>
  <si>
    <t>Иванова Полина</t>
  </si>
  <si>
    <t>Open (27.09.1986)/29</t>
  </si>
  <si>
    <t>62,5</t>
  </si>
  <si>
    <t>142,5</t>
  </si>
  <si>
    <t>152,5</t>
  </si>
  <si>
    <t>Кузьмина Алина</t>
  </si>
  <si>
    <t>Open (03.07.1988)/27</t>
  </si>
  <si>
    <t>Карпова Виктория</t>
  </si>
  <si>
    <t>Juniors 20-23 (29.08.1992)/23</t>
  </si>
  <si>
    <t>70,0</t>
  </si>
  <si>
    <t>72,5</t>
  </si>
  <si>
    <t>130,0</t>
  </si>
  <si>
    <t>135,0</t>
  </si>
  <si>
    <t>Николенко Елена</t>
  </si>
  <si>
    <t>Open (15.06.1978)/37</t>
  </si>
  <si>
    <t>137,5</t>
  </si>
  <si>
    <t>Лазуткин Михаил</t>
  </si>
  <si>
    <t>Juniors 20-23 (02.05.1995)/20</t>
  </si>
  <si>
    <t>175,0</t>
  </si>
  <si>
    <t>Open (24.08.1994)/21</t>
  </si>
  <si>
    <t>202,5</t>
  </si>
  <si>
    <t>215,0</t>
  </si>
  <si>
    <t>240,0</t>
  </si>
  <si>
    <t>Колбин Андрей</t>
  </si>
  <si>
    <t>Open (22.07.1984)/31</t>
  </si>
  <si>
    <t>112,5</t>
  </si>
  <si>
    <t>Teen 16-17 (01.11.1999)/16</t>
  </si>
  <si>
    <t>Teen 18-19 (21.03.1998)/18</t>
  </si>
  <si>
    <t>ВЕСОВАЯ КАТЕГОРИЯ   82.5</t>
  </si>
  <si>
    <t>Teen 18-19 (03.03.1998)/18</t>
  </si>
  <si>
    <t>185,0</t>
  </si>
  <si>
    <t>195,0</t>
  </si>
  <si>
    <t>200,0</t>
  </si>
  <si>
    <t>220,0</t>
  </si>
  <si>
    <t>Juniors 20-23 (16.09.1995)/20</t>
  </si>
  <si>
    <t>122,5</t>
  </si>
  <si>
    <t>127,5</t>
  </si>
  <si>
    <t>177,5</t>
  </si>
  <si>
    <t>Платошин Алексей</t>
  </si>
  <si>
    <t>Open (01.10.1984)/31</t>
  </si>
  <si>
    <t>245,0</t>
  </si>
  <si>
    <t>Головачук Семён</t>
  </si>
  <si>
    <t>Open (07.11.1991)/24</t>
  </si>
  <si>
    <t>222,5</t>
  </si>
  <si>
    <t>Вебер Алексей</t>
  </si>
  <si>
    <t>Open (11.02.1987)/29</t>
  </si>
  <si>
    <t>Open (24.03.1990)/26</t>
  </si>
  <si>
    <t>ВЕСОВАЯ КАТЕГОРИЯ   90</t>
  </si>
  <si>
    <t>Juniors 20-23 (17.08.1995)/20</t>
  </si>
  <si>
    <t>Шерин Дмитрий</t>
  </si>
  <si>
    <t>Open (30.10.1991)/24</t>
  </si>
  <si>
    <t>167,5</t>
  </si>
  <si>
    <t>277,5</t>
  </si>
  <si>
    <t>316,3500</t>
  </si>
  <si>
    <t>327,5</t>
  </si>
  <si>
    <t>306,0815</t>
  </si>
  <si>
    <t>290,5148</t>
  </si>
  <si>
    <t>585,0</t>
  </si>
  <si>
    <t>443,4593</t>
  </si>
  <si>
    <t>381,5235</t>
  </si>
  <si>
    <t>567,5</t>
  </si>
  <si>
    <t>367,2576</t>
  </si>
  <si>
    <t>Быховец Артем</t>
  </si>
  <si>
    <t>Open (11.04.1983)/33</t>
  </si>
  <si>
    <t>168,0</t>
  </si>
  <si>
    <t>Романов Денис</t>
  </si>
  <si>
    <t>Open (24.04.1994)/21</t>
  </si>
  <si>
    <t>Жигулин Дмитрий</t>
  </si>
  <si>
    <t>Open (16.08.1981)/34</t>
  </si>
  <si>
    <t>Щёголев Кирилл</t>
  </si>
  <si>
    <t>Open (03.04.1992)/24</t>
  </si>
  <si>
    <t>Анненков Сергей</t>
  </si>
  <si>
    <t>Masters 55-59 (11.04.1958)/58</t>
  </si>
  <si>
    <t>Masters 55-59 (01.01.1960)/56</t>
  </si>
  <si>
    <t>ВЕСОВАЯ КАТЕГОРИЯ   110</t>
  </si>
  <si>
    <t>Епихин Антон</t>
  </si>
  <si>
    <t>Open (11.10.1988)/27</t>
  </si>
  <si>
    <t xml:space="preserve">Томск/Томская область </t>
  </si>
  <si>
    <t>Masters 40-44 (07.09.1972)/43</t>
  </si>
  <si>
    <t xml:space="preserve">Обухович </t>
  </si>
  <si>
    <t>Самойлов Владимир</t>
  </si>
  <si>
    <t>Open (09.05.1991)/24</t>
  </si>
  <si>
    <t xml:space="preserve">Прокопьевск/Кемеровская область </t>
  </si>
  <si>
    <t>117,2015</t>
  </si>
  <si>
    <t>113,2830</t>
  </si>
  <si>
    <t>108,7212</t>
  </si>
  <si>
    <t>232,5</t>
  </si>
  <si>
    <t>Герасимова Ирина</t>
  </si>
  <si>
    <t>Open (29.06.1964)/51</t>
  </si>
  <si>
    <t xml:space="preserve">Железный самсон </t>
  </si>
  <si>
    <t>40,0</t>
  </si>
  <si>
    <t>Марецкая Жанна</t>
  </si>
  <si>
    <t>Juniors 20-23 (27.05.1992)/23</t>
  </si>
  <si>
    <t>Леонов Роман</t>
  </si>
  <si>
    <t>Juniors 20-23 (10.08.1994)/21</t>
  </si>
  <si>
    <t>Немченко Дмитрий</t>
  </si>
  <si>
    <t>Open (14.09.1985)/30</t>
  </si>
  <si>
    <t xml:space="preserve">Бийск/Алтайский край </t>
  </si>
  <si>
    <t>Комаров Дмитрий</t>
  </si>
  <si>
    <t>Teen 18-19 (08.11.1996)/19</t>
  </si>
  <si>
    <t xml:space="preserve">НВИ ВВ МВД </t>
  </si>
  <si>
    <t>Open (08.11.1996)/19</t>
  </si>
  <si>
    <t>Леванов Эдуард</t>
  </si>
  <si>
    <t>Open (30.01.1991)/25</t>
  </si>
  <si>
    <t>82,5</t>
  </si>
  <si>
    <t>Мишулин Матвей</t>
  </si>
  <si>
    <t>Juniors 20-23 (24.08.1995)/20</t>
  </si>
  <si>
    <t>Безбородов Алексей</t>
  </si>
  <si>
    <t>Open (16.02.1977)/39</t>
  </si>
  <si>
    <t xml:space="preserve">Немченко Дмитрий </t>
  </si>
  <si>
    <t>Александров Леонид</t>
  </si>
  <si>
    <t>Masters 40-44 (15.07.1971)/44</t>
  </si>
  <si>
    <t>Харламов Марк</t>
  </si>
  <si>
    <t>Juniors 20-23 (04.07.1993)/22</t>
  </si>
  <si>
    <t>Open (27.11.1986)/29</t>
  </si>
  <si>
    <t xml:space="preserve">Тиерра </t>
  </si>
  <si>
    <t>Open (16.05.1983)/32</t>
  </si>
  <si>
    <t xml:space="preserve">ФК Европа </t>
  </si>
  <si>
    <t>Данюкин Андрей</t>
  </si>
  <si>
    <t>Open (19.07.1989)/26</t>
  </si>
  <si>
    <t>Кузнецов Артём</t>
  </si>
  <si>
    <t>Juniors 20-23 (21.10.1995)/20</t>
  </si>
  <si>
    <t>Золотков Сергей</t>
  </si>
  <si>
    <t>Open (09.08.1990)/25</t>
  </si>
  <si>
    <t>187,5</t>
  </si>
  <si>
    <t>Open (25.04.1984)/31</t>
  </si>
  <si>
    <t xml:space="preserve">Баган/Новосибирская </t>
  </si>
  <si>
    <t>162,5</t>
  </si>
  <si>
    <t>Open (15.03.1992)/24</t>
  </si>
  <si>
    <t>Open (06.06.1990)/25</t>
  </si>
  <si>
    <t>Masters 40-44 (08.06.1975)/40</t>
  </si>
  <si>
    <t>Masters 40-44 (04.06.1974)/41</t>
  </si>
  <si>
    <t>110,1469</t>
  </si>
  <si>
    <t>103,6875</t>
  </si>
  <si>
    <t>100,3082</t>
  </si>
  <si>
    <t>Open (02.04.1983)/33</t>
  </si>
  <si>
    <t>207,5</t>
  </si>
  <si>
    <t xml:space="preserve">Лазаревский Андрей </t>
  </si>
  <si>
    <t>Open (06.04.1989)/27</t>
  </si>
  <si>
    <t xml:space="preserve">Барнаул/Алтайский край </t>
  </si>
  <si>
    <t>237,5</t>
  </si>
  <si>
    <t>250,0</t>
  </si>
  <si>
    <t>ВЕСОВАЯ КАТЕГОРИЯ   44</t>
  </si>
  <si>
    <t>Open (14.11.1985)/30</t>
  </si>
  <si>
    <t>Приходько Мария</t>
  </si>
  <si>
    <t>Juniors 20-23 (14.09.1992)/23</t>
  </si>
  <si>
    <t>Новоселова Анна</t>
  </si>
  <si>
    <t>Juniors 20-23 (06.10.1992)/23</t>
  </si>
  <si>
    <t>Teen 18-19 (01.06.1996)/19</t>
  </si>
  <si>
    <t>Чир Алексей</t>
  </si>
  <si>
    <t>Open (30.06.1988)/27</t>
  </si>
  <si>
    <t>Teen 18-19 (26.01.1997)/19</t>
  </si>
  <si>
    <t>182,5</t>
  </si>
  <si>
    <t>Величенко Максим</t>
  </si>
  <si>
    <t>Open (14.08.1985)/30</t>
  </si>
  <si>
    <t>Open (07.05.1983)/32</t>
  </si>
  <si>
    <t>212,5</t>
  </si>
  <si>
    <t>Open (21.09.1988)/27</t>
  </si>
  <si>
    <t>161,4050</t>
  </si>
  <si>
    <t>142,1960</t>
  </si>
  <si>
    <t>134,6670</t>
  </si>
  <si>
    <t>Место</t>
  </si>
  <si>
    <t>Весовая категория               Дата рождения/возраст</t>
  </si>
  <si>
    <t>Собств. вес</t>
  </si>
  <si>
    <t>Город/ область</t>
  </si>
  <si>
    <t>83,8</t>
  </si>
  <si>
    <t>0</t>
  </si>
  <si>
    <t>Самостоятельно</t>
  </si>
  <si>
    <t>Результат</t>
  </si>
  <si>
    <t>43,7</t>
  </si>
  <si>
    <t>54,3</t>
  </si>
  <si>
    <t>55,1</t>
  </si>
  <si>
    <t>55,3</t>
  </si>
  <si>
    <t>59,2</t>
  </si>
  <si>
    <t>59,6</t>
  </si>
  <si>
    <t>65,6</t>
  </si>
  <si>
    <t>71,7</t>
  </si>
  <si>
    <t>74,6</t>
  </si>
  <si>
    <t>58,8</t>
  </si>
  <si>
    <t>65,5</t>
  </si>
  <si>
    <t>65,2</t>
  </si>
  <si>
    <t>66,2</t>
  </si>
  <si>
    <t>74,7</t>
  </si>
  <si>
    <t>80,3</t>
  </si>
  <si>
    <t>81,7</t>
  </si>
  <si>
    <t>89,6</t>
  </si>
  <si>
    <t>98,9</t>
  </si>
  <si>
    <t>Новосибирск/Новосибирская область</t>
  </si>
  <si>
    <t>Медведева Ю.</t>
  </si>
  <si>
    <t xml:space="preserve">Самостоятельно </t>
  </si>
  <si>
    <t>Быховец А.</t>
  </si>
  <si>
    <t>Щелков А.</t>
  </si>
  <si>
    <t>Анненков С.</t>
  </si>
  <si>
    <t xml:space="preserve">Самойлов В. </t>
  </si>
  <si>
    <t>Немченко .</t>
  </si>
  <si>
    <t xml:space="preserve">Быховец А. </t>
  </si>
  <si>
    <t xml:space="preserve">Чистик Евгения </t>
  </si>
  <si>
    <t xml:space="preserve">Марецкая Жанна </t>
  </si>
  <si>
    <t xml:space="preserve">Чернобаева Лариса </t>
  </si>
  <si>
    <t xml:space="preserve">Ялама Дарья </t>
  </si>
  <si>
    <t xml:space="preserve">Савинова Елена </t>
  </si>
  <si>
    <t xml:space="preserve">Афанасенкова Дарья </t>
  </si>
  <si>
    <t xml:space="preserve">Карпова Виктория </t>
  </si>
  <si>
    <t xml:space="preserve">Николенко Елена </t>
  </si>
  <si>
    <t xml:space="preserve">Чир Алексей </t>
  </si>
  <si>
    <t xml:space="preserve">Хацкевич Алексей </t>
  </si>
  <si>
    <t xml:space="preserve">Колбин Андрей </t>
  </si>
  <si>
    <t xml:space="preserve">Близнюк Владислав </t>
  </si>
  <si>
    <t xml:space="preserve">Безбородов Алексей </t>
  </si>
  <si>
    <t xml:space="preserve">Шалдин Дмитрий </t>
  </si>
  <si>
    <t xml:space="preserve">Проняев Дмитрий </t>
  </si>
  <si>
    <t xml:space="preserve">Полушина Юлия </t>
  </si>
  <si>
    <t xml:space="preserve">Дрыгин Евгений </t>
  </si>
  <si>
    <t>65,8</t>
  </si>
  <si>
    <t>Клемешов А.</t>
  </si>
  <si>
    <t xml:space="preserve">Лукьянов Артем </t>
  </si>
  <si>
    <t xml:space="preserve">Коптякова Татьяна </t>
  </si>
  <si>
    <t xml:space="preserve">Комаров Дмитрий </t>
  </si>
  <si>
    <t xml:space="preserve">Александров Леонид </t>
  </si>
  <si>
    <t xml:space="preserve">Терентьев Ярослав </t>
  </si>
  <si>
    <t xml:space="preserve">Моськин Александр </t>
  </si>
  <si>
    <t>Таранов Юрий (</t>
  </si>
  <si>
    <t xml:space="preserve">Харченко Сергей </t>
  </si>
  <si>
    <t xml:space="preserve">Ларин Вячеслав </t>
  </si>
  <si>
    <t xml:space="preserve">Грязнов Александр </t>
  </si>
  <si>
    <t xml:space="preserve">Тарасов Сергей </t>
  </si>
  <si>
    <t xml:space="preserve">67,5 </t>
  </si>
  <si>
    <t xml:space="preserve">75,0 </t>
  </si>
  <si>
    <t>48,0</t>
  </si>
  <si>
    <t>52,0</t>
  </si>
  <si>
    <t>55,8</t>
  </si>
  <si>
    <t>64,9</t>
  </si>
  <si>
    <t>74,0</t>
  </si>
  <si>
    <t>70,5</t>
  </si>
  <si>
    <t>81,0</t>
  </si>
  <si>
    <t>82,0</t>
  </si>
  <si>
    <t>80,4</t>
  </si>
  <si>
    <t>81,1</t>
  </si>
  <si>
    <t>85,8</t>
  </si>
  <si>
    <t>88,7</t>
  </si>
  <si>
    <t>88,8</t>
  </si>
  <si>
    <t>89,0</t>
  </si>
  <si>
    <t>97,3</t>
  </si>
  <si>
    <t>97,6</t>
  </si>
  <si>
    <t>99,0</t>
  </si>
  <si>
    <t>95,5</t>
  </si>
  <si>
    <t>99,7</t>
  </si>
  <si>
    <t>105,3</t>
  </si>
  <si>
    <t xml:space="preserve">100,0 </t>
  </si>
  <si>
    <t xml:space="preserve">82,5 </t>
  </si>
  <si>
    <t>Михайлов П.</t>
  </si>
  <si>
    <t>Самойлов В.</t>
  </si>
  <si>
    <t>Кожевников М.</t>
  </si>
  <si>
    <t>Овчаров Д.</t>
  </si>
  <si>
    <t>Немченко Д.</t>
  </si>
  <si>
    <t>Дементьев А.</t>
  </si>
  <si>
    <t>Пасынков В.</t>
  </si>
  <si>
    <t>Филиппович В.</t>
  </si>
  <si>
    <t xml:space="preserve">Щёголев Кирилл </t>
  </si>
  <si>
    <t xml:space="preserve">Герасимович Михаил </t>
  </si>
  <si>
    <t xml:space="preserve">Сынков Василий </t>
  </si>
  <si>
    <t>86,8</t>
  </si>
  <si>
    <t>90,1</t>
  </si>
  <si>
    <t>98,0</t>
  </si>
  <si>
    <t>108,4</t>
  </si>
  <si>
    <t>103,4</t>
  </si>
  <si>
    <t>118,4</t>
  </si>
  <si>
    <t>Черепанов А.</t>
  </si>
  <si>
    <t>Власов О.</t>
  </si>
  <si>
    <t xml:space="preserve">90,0 </t>
  </si>
  <si>
    <t xml:space="preserve">125,0 </t>
  </si>
  <si>
    <t>50,5</t>
  </si>
  <si>
    <t>64,3</t>
  </si>
  <si>
    <t>63,5</t>
  </si>
  <si>
    <t>66,5</t>
  </si>
  <si>
    <t>72,2</t>
  </si>
  <si>
    <t>69,7</t>
  </si>
  <si>
    <t>82,1</t>
  </si>
  <si>
    <t>87,4</t>
  </si>
  <si>
    <t>89,1</t>
  </si>
  <si>
    <t>Воробьева</t>
  </si>
  <si>
    <t xml:space="preserve">Варнавская Наталья </t>
  </si>
  <si>
    <t xml:space="preserve">Шпигунова Инна </t>
  </si>
  <si>
    <t xml:space="preserve">Иванова Полина </t>
  </si>
  <si>
    <t xml:space="preserve">Лазуткин Михаил </t>
  </si>
  <si>
    <t xml:space="preserve">Суслов Михаил </t>
  </si>
  <si>
    <t xml:space="preserve">Яковлев Данил </t>
  </si>
  <si>
    <t xml:space="preserve">Репин Дмитрий </t>
  </si>
  <si>
    <t xml:space="preserve">Мацура Федор </t>
  </si>
  <si>
    <t xml:space="preserve">Головачук Семён </t>
  </si>
  <si>
    <t xml:space="preserve">Вебер Алексей </t>
  </si>
  <si>
    <t xml:space="preserve">Чумаков Александр </t>
  </si>
  <si>
    <t xml:space="preserve">Артюх Александр </t>
  </si>
  <si>
    <t xml:space="preserve">Шерин Дмитрий </t>
  </si>
  <si>
    <t xml:space="preserve">56,0 </t>
  </si>
  <si>
    <t>Воробьев А.</t>
  </si>
  <si>
    <t>Филипович В.</t>
  </si>
  <si>
    <t>Горбачев Д.</t>
  </si>
  <si>
    <t>Лепихов И.</t>
  </si>
  <si>
    <t>Бокарев А.</t>
  </si>
  <si>
    <t xml:space="preserve">Долгополов Павел </t>
  </si>
  <si>
    <t xml:space="preserve">Анташков Николай </t>
  </si>
  <si>
    <t>Суслов М.</t>
  </si>
  <si>
    <t>1</t>
  </si>
  <si>
    <t>Ельчина Галина</t>
  </si>
  <si>
    <t>Masters 40-49 (08.06.1968)/47</t>
  </si>
  <si>
    <t xml:space="preserve">сталь </t>
  </si>
  <si>
    <t>59,5</t>
  </si>
  <si>
    <t>99,3</t>
  </si>
  <si>
    <t>116,6</t>
  </si>
  <si>
    <t>47,8</t>
  </si>
  <si>
    <t>90,8</t>
  </si>
  <si>
    <t xml:space="preserve">Новосибирск/Новосибирская облась </t>
  </si>
  <si>
    <t>Белокопытов Владимир</t>
  </si>
  <si>
    <t>Juniors 20-23 (26.05.1992)/23</t>
  </si>
  <si>
    <t xml:space="preserve">Кемерово/Кемеровская область </t>
  </si>
  <si>
    <t>Open (26.05.1992)/23</t>
  </si>
  <si>
    <t>96,1</t>
  </si>
  <si>
    <t>Teen 13-19 (16.11.2002)/13</t>
  </si>
  <si>
    <t>25,0</t>
  </si>
  <si>
    <t>825,0</t>
  </si>
  <si>
    <t>Вес</t>
  </si>
  <si>
    <t>Повторы</t>
  </si>
  <si>
    <t>Тоннаж</t>
  </si>
  <si>
    <t>33</t>
  </si>
  <si>
    <t>Дубовик Илья</t>
  </si>
  <si>
    <t>Open (19.03.1987)/29</t>
  </si>
  <si>
    <t>Януш Александр</t>
  </si>
  <si>
    <t>Open (27.08.1990)/25</t>
  </si>
  <si>
    <t>Masters 40-49 (15.07.1971)/44</t>
  </si>
  <si>
    <t>2590,0</t>
  </si>
  <si>
    <t>2000,0</t>
  </si>
  <si>
    <t>2887,5</t>
  </si>
  <si>
    <t>Белов А.</t>
  </si>
  <si>
    <t>Белокопытов В.</t>
  </si>
  <si>
    <t>79,0</t>
  </si>
  <si>
    <t>37</t>
  </si>
  <si>
    <t>25</t>
  </si>
  <si>
    <t>35</t>
  </si>
  <si>
    <t>Муленко Игорь</t>
  </si>
  <si>
    <t>Masters 40-49 (16.11.1966)/49</t>
  </si>
  <si>
    <t xml:space="preserve">Бердск/Новосибирская область </t>
  </si>
  <si>
    <t>Князев Алексей</t>
  </si>
  <si>
    <t>Open (12.04.1987)/29</t>
  </si>
  <si>
    <t>Жаров Егор</t>
  </si>
  <si>
    <t>Open (07.06.1987)/28</t>
  </si>
  <si>
    <t>Болдин Сергей</t>
  </si>
  <si>
    <t>Masters 40-49 (31.05.1971)/44</t>
  </si>
  <si>
    <t>2145,0</t>
  </si>
  <si>
    <t>2160,0</t>
  </si>
  <si>
    <t>1480,0</t>
  </si>
  <si>
    <t>2240,0</t>
  </si>
  <si>
    <t>2340,0</t>
  </si>
  <si>
    <t>69,6</t>
  </si>
  <si>
    <t>78,6</t>
  </si>
  <si>
    <t>87,0</t>
  </si>
  <si>
    <t>89,9</t>
  </si>
  <si>
    <t xml:space="preserve">Барабинск/Новосибирская область </t>
  </si>
  <si>
    <t>32</t>
  </si>
  <si>
    <t>27</t>
  </si>
  <si>
    <t>39</t>
  </si>
  <si>
    <t>26</t>
  </si>
  <si>
    <t>22</t>
  </si>
  <si>
    <t>16</t>
  </si>
  <si>
    <t>Весовая категория                          Дата рождения/возраст</t>
  </si>
  <si>
    <t xml:space="preserve"> </t>
  </si>
  <si>
    <t>Кубок Сибирского федерального округа "Ермак – покоритель Сибири"                                                          по версиям федераций GPA и "Союз пауэрлифтеров России"                                                                                                                      Становая тяга без экипировки ДК
г. Новосибирск, 15 - 17 апреля 2016 г.</t>
  </si>
  <si>
    <t>Кубок Сибирского федерального округа "Ермак – покоритель Сибири"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          Становая тяга без экипировки 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</si>
  <si>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    Народный жим (1 вес) ДК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</si>
  <si>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     Народный жим (1 вес)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</si>
  <si>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Народный жим (1/2 вес) ДК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</si>
  <si>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Жим лежа в SOFT экипировке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</si>
  <si>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Жим лежа в SOFT экипировке ДК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</si>
  <si>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Жим лежа в однослойной экипировке ДК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</si>
  <si>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                        Жим лежа без экипировки ДК
г. Новосибирск, 15 - 17 апреля 2016 г.</t>
  </si>
  <si>
    <t>Кубок Сибирского федерального округа "Ермак – покоритель Сибири"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Жим лежа без экипировки 
г. Новосибирск, 15 - 17 апреля 2016 г.</t>
  </si>
  <si>
    <t>Кубок Сибирского федерального округа "Ермак – покоритель Сибири"                                             по версиям федераций GPA и "Союз пауэрлифтеров России"                                                                                                                            Присед в бинтах ДК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</si>
  <si>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                                                      Пауэрлифтинг без экипировки ДК
г. Новосибирск, 15 - 17 апреля 2016 г.</t>
  </si>
  <si>
    <t>Кубок Сибирского федерального округа "Ермак – покоритель Сибири"                                                                                                             по версиям федераций GPA и "Союз пауэрлифтеров России"                                                                                                                                     Пауэрлифтинг без экипировки
г. Новосибирск, 15 - 17 апреля 2016 г.</t>
  </si>
  <si>
    <t>Воробьева Мария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</si>
</sst>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5" fillId="0" borderId="13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25" sqref="B25:M25"/>
    </sheetView>
  </sheetViews>
  <sheetFormatPr defaultColWidth="8.75390625" defaultRowHeight="12.75"/>
  <cols>
    <col min="1" max="1" width="9.125" style="23" customWidth="1"/>
    <col min="2" max="3" width="26.0039062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0.625" style="8" customWidth="1"/>
    <col min="8" max="10" width="5.625" style="8" bestFit="1" customWidth="1"/>
    <col min="11" max="11" width="4.625" style="8" bestFit="1" customWidth="1"/>
    <col min="12" max="12" width="10.625" style="41" customWidth="1"/>
    <col min="13" max="13" width="8.625" style="8" bestFit="1" customWidth="1"/>
    <col min="14" max="14" width="19.75390625" style="8" customWidth="1"/>
  </cols>
  <sheetData>
    <row r="1" spans="1:14" s="1" customFormat="1" ht="15" customHeight="1">
      <c r="A1" s="22"/>
      <c r="B1" s="71" t="s">
        <v>476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1" customFormat="1" ht="135.75" customHeight="1" thickBot="1">
      <c r="A2" s="22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3</v>
      </c>
      <c r="I3" s="64"/>
      <c r="J3" s="64"/>
      <c r="K3" s="64"/>
      <c r="L3" s="83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84"/>
      <c r="M4" s="65"/>
      <c r="N4" s="67"/>
    </row>
    <row r="5" spans="2:13" ht="15.75">
      <c r="B5" s="68" t="s">
        <v>252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3">
        <v>1</v>
      </c>
      <c r="B6" s="9" t="s">
        <v>306</v>
      </c>
      <c r="C6" s="9" t="s">
        <v>253</v>
      </c>
      <c r="D6" s="9" t="s">
        <v>279</v>
      </c>
      <c r="E6" s="9" t="str">
        <f>"1,2642"</f>
        <v>1,2642</v>
      </c>
      <c r="F6" s="9" t="s">
        <v>72</v>
      </c>
      <c r="G6" s="9" t="s">
        <v>89</v>
      </c>
      <c r="H6" s="30" t="s">
        <v>20</v>
      </c>
      <c r="I6" s="30" t="s">
        <v>146</v>
      </c>
      <c r="J6" s="30" t="s">
        <v>22</v>
      </c>
      <c r="K6" s="19"/>
      <c r="L6" s="37">
        <v>132.5</v>
      </c>
      <c r="M6" s="20" t="str">
        <f>"167,5065"</f>
        <v>167,5065</v>
      </c>
      <c r="N6" s="9" t="s">
        <v>298</v>
      </c>
    </row>
    <row r="8" spans="2:13" ht="15.75">
      <c r="B8" s="63" t="s">
        <v>93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2.75">
      <c r="A9" s="23">
        <v>1</v>
      </c>
      <c r="B9" s="10" t="s">
        <v>307</v>
      </c>
      <c r="C9" s="10" t="s">
        <v>202</v>
      </c>
      <c r="D9" s="10" t="s">
        <v>280</v>
      </c>
      <c r="E9" s="10" t="str">
        <f>"1,0701"</f>
        <v>1,0701</v>
      </c>
      <c r="F9" s="10" t="s">
        <v>42</v>
      </c>
      <c r="G9" s="10" t="s">
        <v>89</v>
      </c>
      <c r="H9" s="31" t="s">
        <v>91</v>
      </c>
      <c r="I9" s="31" t="s">
        <v>78</v>
      </c>
      <c r="J9" s="31" t="s">
        <v>97</v>
      </c>
      <c r="K9" s="25"/>
      <c r="L9" s="38">
        <v>110</v>
      </c>
      <c r="M9" s="24" t="str">
        <f>"117,7110"</f>
        <v>117,7110</v>
      </c>
      <c r="N9" s="10" t="s">
        <v>299</v>
      </c>
    </row>
    <row r="10" spans="1:14" ht="12.75">
      <c r="A10" s="23">
        <v>2</v>
      </c>
      <c r="B10" s="12" t="s">
        <v>254</v>
      </c>
      <c r="C10" s="12" t="s">
        <v>255</v>
      </c>
      <c r="D10" s="12" t="s">
        <v>281</v>
      </c>
      <c r="E10" s="12" t="str">
        <f>"1,0575"</f>
        <v>1,0575</v>
      </c>
      <c r="F10" s="12" t="s">
        <v>88</v>
      </c>
      <c r="G10" s="12" t="s">
        <v>89</v>
      </c>
      <c r="H10" s="36" t="s">
        <v>14</v>
      </c>
      <c r="I10" s="32" t="s">
        <v>14</v>
      </c>
      <c r="J10" s="32" t="s">
        <v>119</v>
      </c>
      <c r="K10" s="32" t="s">
        <v>73</v>
      </c>
      <c r="L10" s="39">
        <v>70</v>
      </c>
      <c r="M10" s="27" t="str">
        <f>"74,0250"</f>
        <v>74,0250</v>
      </c>
      <c r="N10" s="12" t="s">
        <v>300</v>
      </c>
    </row>
    <row r="11" spans="1:14" ht="12.75">
      <c r="A11" s="23">
        <v>1</v>
      </c>
      <c r="B11" s="12" t="s">
        <v>308</v>
      </c>
      <c r="C11" s="12" t="s">
        <v>95</v>
      </c>
      <c r="D11" s="12" t="s">
        <v>282</v>
      </c>
      <c r="E11" s="12" t="str">
        <f>"1,0545"</f>
        <v>1,0545</v>
      </c>
      <c r="F11" s="12" t="s">
        <v>88</v>
      </c>
      <c r="G11" s="12" t="s">
        <v>89</v>
      </c>
      <c r="H11" s="32" t="s">
        <v>100</v>
      </c>
      <c r="I11" s="26"/>
      <c r="J11" s="26"/>
      <c r="K11" s="26"/>
      <c r="L11" s="39">
        <v>140</v>
      </c>
      <c r="M11" s="27" t="str">
        <f>"147,6300"</f>
        <v>147,6300</v>
      </c>
      <c r="N11" s="12" t="s">
        <v>300</v>
      </c>
    </row>
    <row r="12" spans="1:14" ht="12.75">
      <c r="A12" s="23">
        <v>2</v>
      </c>
      <c r="B12" s="11" t="s">
        <v>309</v>
      </c>
      <c r="C12" s="11" t="s">
        <v>107</v>
      </c>
      <c r="D12" s="11" t="s">
        <v>82</v>
      </c>
      <c r="E12" s="11" t="str">
        <f>"1,0591"</f>
        <v>1,0591</v>
      </c>
      <c r="F12" s="11" t="s">
        <v>88</v>
      </c>
      <c r="G12" s="11" t="s">
        <v>89</v>
      </c>
      <c r="H12" s="33" t="s">
        <v>21</v>
      </c>
      <c r="I12" s="29"/>
      <c r="J12" s="29"/>
      <c r="K12" s="29"/>
      <c r="L12" s="40">
        <v>125</v>
      </c>
      <c r="M12" s="28" t="str">
        <f>"132,3875"</f>
        <v>132,3875</v>
      </c>
      <c r="N12" s="11" t="s">
        <v>300</v>
      </c>
    </row>
    <row r="14" spans="2:13" ht="15.75">
      <c r="B14" s="63" t="s">
        <v>10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4" ht="12.75">
      <c r="A15" s="23">
        <v>1</v>
      </c>
      <c r="B15" s="10" t="s">
        <v>310</v>
      </c>
      <c r="C15" s="10" t="s">
        <v>12</v>
      </c>
      <c r="D15" s="10" t="s">
        <v>283</v>
      </c>
      <c r="E15" s="10" t="str">
        <f>"0,9984"</f>
        <v>0,9984</v>
      </c>
      <c r="F15" s="10" t="s">
        <v>13</v>
      </c>
      <c r="G15" s="10" t="s">
        <v>89</v>
      </c>
      <c r="H15" s="31" t="s">
        <v>91</v>
      </c>
      <c r="I15" s="31" t="s">
        <v>17</v>
      </c>
      <c r="J15" s="35" t="s">
        <v>35</v>
      </c>
      <c r="K15" s="25"/>
      <c r="L15" s="38">
        <v>100</v>
      </c>
      <c r="M15" s="24" t="str">
        <f>"99,8350"</f>
        <v>99,8350</v>
      </c>
      <c r="N15" s="10" t="s">
        <v>301</v>
      </c>
    </row>
    <row r="16" spans="2:14" ht="12.75">
      <c r="B16" s="11" t="s">
        <v>256</v>
      </c>
      <c r="C16" s="11" t="s">
        <v>257</v>
      </c>
      <c r="D16" s="11" t="s">
        <v>284</v>
      </c>
      <c r="E16" s="11" t="str">
        <f>"0,9930"</f>
        <v>0,9930</v>
      </c>
      <c r="F16" s="11" t="s">
        <v>88</v>
      </c>
      <c r="G16" s="11" t="s">
        <v>89</v>
      </c>
      <c r="H16" s="34" t="s">
        <v>84</v>
      </c>
      <c r="I16" s="34" t="s">
        <v>84</v>
      </c>
      <c r="J16" s="34" t="s">
        <v>84</v>
      </c>
      <c r="K16" s="29"/>
      <c r="L16" s="42">
        <v>0</v>
      </c>
      <c r="M16" s="28" t="s">
        <v>276</v>
      </c>
      <c r="N16" s="11" t="s">
        <v>300</v>
      </c>
    </row>
    <row r="18" spans="2:13" ht="15.75">
      <c r="B18" s="63" t="s">
        <v>18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4" ht="12.75">
      <c r="A19" s="23">
        <v>1</v>
      </c>
      <c r="B19" s="9" t="s">
        <v>311</v>
      </c>
      <c r="C19" s="9" t="s">
        <v>258</v>
      </c>
      <c r="D19" s="9" t="s">
        <v>285</v>
      </c>
      <c r="E19" s="9" t="str">
        <f>"0,9200"</f>
        <v>0,9200</v>
      </c>
      <c r="F19" s="9" t="s">
        <v>81</v>
      </c>
      <c r="G19" s="9" t="s">
        <v>297</v>
      </c>
      <c r="H19" s="30" t="s">
        <v>121</v>
      </c>
      <c r="I19" s="21" t="s">
        <v>100</v>
      </c>
      <c r="J19" s="30" t="s">
        <v>100</v>
      </c>
      <c r="K19" s="19"/>
      <c r="L19" s="37">
        <v>140</v>
      </c>
      <c r="M19" s="20" t="str">
        <f>"128,7930"</f>
        <v>128,7930</v>
      </c>
      <c r="N19" s="9" t="s">
        <v>302</v>
      </c>
    </row>
    <row r="21" spans="2:13" ht="15.75">
      <c r="B21" s="63" t="s">
        <v>31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4" ht="12.75">
      <c r="A22" s="23">
        <v>1</v>
      </c>
      <c r="B22" s="10" t="s">
        <v>312</v>
      </c>
      <c r="C22" s="10" t="s">
        <v>118</v>
      </c>
      <c r="D22" s="10" t="s">
        <v>286</v>
      </c>
      <c r="E22" s="10" t="str">
        <f>"0,8620"</f>
        <v>0,8620</v>
      </c>
      <c r="F22" s="10" t="s">
        <v>42</v>
      </c>
      <c r="G22" s="10" t="s">
        <v>192</v>
      </c>
      <c r="H22" s="31" t="s">
        <v>23</v>
      </c>
      <c r="I22" s="25"/>
      <c r="J22" s="25"/>
      <c r="K22" s="25"/>
      <c r="L22" s="38">
        <v>145</v>
      </c>
      <c r="M22" s="24" t="str">
        <f>"124,9972"</f>
        <v>124,9972</v>
      </c>
      <c r="N22" s="10" t="s">
        <v>303</v>
      </c>
    </row>
    <row r="23" spans="1:14" ht="12.75">
      <c r="A23" s="23">
        <v>1</v>
      </c>
      <c r="B23" s="11" t="s">
        <v>313</v>
      </c>
      <c r="C23" s="11" t="s">
        <v>124</v>
      </c>
      <c r="D23" s="11" t="s">
        <v>287</v>
      </c>
      <c r="E23" s="11" t="str">
        <f>"0,8391"</f>
        <v>0,8391</v>
      </c>
      <c r="F23" s="11" t="s">
        <v>88</v>
      </c>
      <c r="G23" s="11" t="s">
        <v>297</v>
      </c>
      <c r="H23" s="33" t="s">
        <v>125</v>
      </c>
      <c r="I23" s="29"/>
      <c r="J23" s="29"/>
      <c r="K23" s="29"/>
      <c r="L23" s="40">
        <v>137.5</v>
      </c>
      <c r="M23" s="28" t="str">
        <f>"115,3763"</f>
        <v>115,3763</v>
      </c>
      <c r="N23" s="11" t="s">
        <v>300</v>
      </c>
    </row>
    <row r="25" spans="2:13" ht="15.75">
      <c r="B25" s="63" t="s">
        <v>10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4" ht="12.75">
      <c r="A26" s="23">
        <v>1</v>
      </c>
      <c r="B26" s="9" t="s">
        <v>314</v>
      </c>
      <c r="C26" s="9" t="s">
        <v>260</v>
      </c>
      <c r="D26" s="9" t="s">
        <v>288</v>
      </c>
      <c r="E26" s="9" t="str">
        <f>"0,8495"</f>
        <v>0,8495</v>
      </c>
      <c r="F26" s="9" t="s">
        <v>72</v>
      </c>
      <c r="G26" s="9" t="s">
        <v>89</v>
      </c>
      <c r="H26" s="30" t="s">
        <v>37</v>
      </c>
      <c r="I26" s="30" t="s">
        <v>43</v>
      </c>
      <c r="J26" s="21" t="s">
        <v>130</v>
      </c>
      <c r="K26" s="19"/>
      <c r="L26" s="37">
        <v>190</v>
      </c>
      <c r="M26" s="20" t="str">
        <f>"161,4050"</f>
        <v>161,4050</v>
      </c>
      <c r="N26" s="9" t="s">
        <v>298</v>
      </c>
    </row>
    <row r="28" spans="2:13" ht="15.75">
      <c r="B28" s="63" t="s">
        <v>18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4" ht="12.75">
      <c r="A29" s="23">
        <v>1</v>
      </c>
      <c r="B29" s="10" t="s">
        <v>315</v>
      </c>
      <c r="C29" s="10" t="s">
        <v>261</v>
      </c>
      <c r="D29" s="10" t="s">
        <v>289</v>
      </c>
      <c r="E29" s="10" t="str">
        <f>"0,7681"</f>
        <v>0,7681</v>
      </c>
      <c r="F29" s="10" t="s">
        <v>72</v>
      </c>
      <c r="G29" s="10" t="s">
        <v>89</v>
      </c>
      <c r="H29" s="31" t="s">
        <v>142</v>
      </c>
      <c r="I29" s="31" t="s">
        <v>29</v>
      </c>
      <c r="J29" s="35" t="s">
        <v>153</v>
      </c>
      <c r="K29" s="25"/>
      <c r="L29" s="38">
        <v>210</v>
      </c>
      <c r="M29" s="24" t="str">
        <f>"161,2905"</f>
        <v>161,2905</v>
      </c>
      <c r="N29" s="10" t="s">
        <v>298</v>
      </c>
    </row>
    <row r="30" spans="1:14" ht="12.75">
      <c r="A30" s="23">
        <v>1</v>
      </c>
      <c r="B30" s="12" t="s">
        <v>126</v>
      </c>
      <c r="C30" s="12" t="s">
        <v>127</v>
      </c>
      <c r="D30" s="12" t="s">
        <v>290</v>
      </c>
      <c r="E30" s="12" t="str">
        <f>"0,7712"</f>
        <v>0,7712</v>
      </c>
      <c r="F30" s="12" t="s">
        <v>88</v>
      </c>
      <c r="G30" s="12" t="s">
        <v>89</v>
      </c>
      <c r="H30" s="32" t="s">
        <v>25</v>
      </c>
      <c r="I30" s="32" t="s">
        <v>147</v>
      </c>
      <c r="J30" s="32" t="s">
        <v>262</v>
      </c>
      <c r="K30" s="26"/>
      <c r="L30" s="39">
        <v>182.5</v>
      </c>
      <c r="M30" s="27" t="str">
        <f>"140,7440"</f>
        <v>140,7440</v>
      </c>
      <c r="N30" s="12" t="s">
        <v>300</v>
      </c>
    </row>
    <row r="31" spans="1:14" ht="12.75">
      <c r="A31" s="23">
        <v>1</v>
      </c>
      <c r="B31" s="12" t="s">
        <v>316</v>
      </c>
      <c r="C31" s="12" t="s">
        <v>134</v>
      </c>
      <c r="D31" s="12" t="s">
        <v>104</v>
      </c>
      <c r="E31" s="12" t="str">
        <f>"0,7484"</f>
        <v>0,7484</v>
      </c>
      <c r="F31" s="12" t="s">
        <v>88</v>
      </c>
      <c r="G31" s="12" t="s">
        <v>89</v>
      </c>
      <c r="H31" s="32" t="s">
        <v>43</v>
      </c>
      <c r="I31" s="26"/>
      <c r="J31" s="26"/>
      <c r="K31" s="26"/>
      <c r="L31" s="39">
        <v>190</v>
      </c>
      <c r="M31" s="27" t="str">
        <f>"142,1960"</f>
        <v>142,1960</v>
      </c>
      <c r="N31" s="12" t="s">
        <v>300</v>
      </c>
    </row>
    <row r="32" spans="2:14" ht="12.75">
      <c r="B32" s="11" t="s">
        <v>205</v>
      </c>
      <c r="C32" s="11" t="s">
        <v>206</v>
      </c>
      <c r="D32" s="11" t="s">
        <v>291</v>
      </c>
      <c r="E32" s="11" t="str">
        <f>"0,7610"</f>
        <v>0,7610</v>
      </c>
      <c r="F32" s="11" t="s">
        <v>42</v>
      </c>
      <c r="G32" s="11" t="s">
        <v>207</v>
      </c>
      <c r="H32" s="34" t="s">
        <v>37</v>
      </c>
      <c r="I32" s="34" t="s">
        <v>37</v>
      </c>
      <c r="J32" s="34" t="s">
        <v>37</v>
      </c>
      <c r="K32" s="29"/>
      <c r="L32" s="42">
        <v>0</v>
      </c>
      <c r="M32" s="28" t="s">
        <v>276</v>
      </c>
      <c r="N32" s="11" t="s">
        <v>299</v>
      </c>
    </row>
    <row r="34" spans="2:13" ht="15.75">
      <c r="B34" s="63" t="s">
        <v>31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4" ht="12.75">
      <c r="A35" s="23">
        <v>1</v>
      </c>
      <c r="B35" s="9" t="s">
        <v>263</v>
      </c>
      <c r="C35" s="9" t="s">
        <v>264</v>
      </c>
      <c r="D35" s="9" t="s">
        <v>292</v>
      </c>
      <c r="E35" s="9" t="str">
        <f>"0,6906"</f>
        <v>0,6906</v>
      </c>
      <c r="F35" s="9" t="s">
        <v>88</v>
      </c>
      <c r="G35" s="9" t="s">
        <v>89</v>
      </c>
      <c r="H35" s="30" t="s">
        <v>262</v>
      </c>
      <c r="I35" s="30" t="s">
        <v>141</v>
      </c>
      <c r="J35" s="21" t="s">
        <v>246</v>
      </c>
      <c r="K35" s="19"/>
      <c r="L35" s="37">
        <v>195</v>
      </c>
      <c r="M35" s="20" t="str">
        <f>"134,6670"</f>
        <v>134,6670</v>
      </c>
      <c r="N35" s="9" t="s">
        <v>300</v>
      </c>
    </row>
    <row r="37" spans="2:13" ht="15.75">
      <c r="B37" s="63" t="s">
        <v>138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4" ht="12.75">
      <c r="A38" s="23">
        <v>1</v>
      </c>
      <c r="B38" s="10" t="s">
        <v>317</v>
      </c>
      <c r="C38" s="10" t="s">
        <v>139</v>
      </c>
      <c r="D38" s="10" t="s">
        <v>293</v>
      </c>
      <c r="E38" s="10" t="str">
        <f>"0,6561"</f>
        <v>0,6561</v>
      </c>
      <c r="F38" s="10" t="s">
        <v>42</v>
      </c>
      <c r="G38" s="10" t="s">
        <v>297</v>
      </c>
      <c r="H38" s="31" t="s">
        <v>143</v>
      </c>
      <c r="I38" s="25"/>
      <c r="J38" s="25"/>
      <c r="K38" s="25"/>
      <c r="L38" s="38">
        <v>220</v>
      </c>
      <c r="M38" s="24" t="str">
        <f>"144,3530"</f>
        <v>144,3530</v>
      </c>
      <c r="N38" s="10" t="s">
        <v>299</v>
      </c>
    </row>
    <row r="39" spans="1:14" ht="12.75">
      <c r="A39" s="23">
        <v>1</v>
      </c>
      <c r="B39" s="11" t="s">
        <v>318</v>
      </c>
      <c r="C39" s="11" t="s">
        <v>218</v>
      </c>
      <c r="D39" s="11" t="s">
        <v>294</v>
      </c>
      <c r="E39" s="11" t="str">
        <f>"0,6487"</f>
        <v>0,6487</v>
      </c>
      <c r="F39" s="11" t="s">
        <v>42</v>
      </c>
      <c r="G39" s="11" t="s">
        <v>207</v>
      </c>
      <c r="H39" s="33" t="s">
        <v>140</v>
      </c>
      <c r="I39" s="33" t="s">
        <v>43</v>
      </c>
      <c r="J39" s="33" t="s">
        <v>141</v>
      </c>
      <c r="K39" s="29"/>
      <c r="L39" s="40">
        <v>195</v>
      </c>
      <c r="M39" s="28" t="str">
        <f>"126,4965"</f>
        <v>126,4965</v>
      </c>
      <c r="N39" s="11" t="s">
        <v>304</v>
      </c>
    </row>
    <row r="41" spans="2:13" ht="15.75">
      <c r="B41" s="63" t="s">
        <v>157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4" ht="12.75">
      <c r="A42" s="23">
        <v>1</v>
      </c>
      <c r="B42" s="9" t="s">
        <v>319</v>
      </c>
      <c r="C42" s="9" t="s">
        <v>265</v>
      </c>
      <c r="D42" s="9" t="s">
        <v>295</v>
      </c>
      <c r="E42" s="9" t="str">
        <f>"0,6133"</f>
        <v>0,6133</v>
      </c>
      <c r="F42" s="9" t="s">
        <v>88</v>
      </c>
      <c r="G42" s="9" t="s">
        <v>89</v>
      </c>
      <c r="H42" s="30" t="s">
        <v>43</v>
      </c>
      <c r="I42" s="30" t="s">
        <v>266</v>
      </c>
      <c r="J42" s="21" t="s">
        <v>51</v>
      </c>
      <c r="K42" s="19"/>
      <c r="L42" s="37">
        <v>212.5</v>
      </c>
      <c r="M42" s="20" t="str">
        <f>"130,3369"</f>
        <v>130,3369</v>
      </c>
      <c r="N42" s="9" t="s">
        <v>300</v>
      </c>
    </row>
    <row r="44" spans="2:13" ht="15.7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4" ht="12.75">
      <c r="A45" s="23">
        <v>1</v>
      </c>
      <c r="B45" s="9" t="s">
        <v>320</v>
      </c>
      <c r="C45" s="9" t="s">
        <v>267</v>
      </c>
      <c r="D45" s="9" t="s">
        <v>296</v>
      </c>
      <c r="E45" s="9" t="str">
        <f>"0,5840"</f>
        <v>0,5840</v>
      </c>
      <c r="F45" s="9" t="s">
        <v>88</v>
      </c>
      <c r="G45" s="9" t="s">
        <v>297</v>
      </c>
      <c r="H45" s="30" t="s">
        <v>43</v>
      </c>
      <c r="I45" s="30" t="s">
        <v>266</v>
      </c>
      <c r="J45" s="30" t="s">
        <v>143</v>
      </c>
      <c r="K45" s="19"/>
      <c r="L45" s="37">
        <v>220</v>
      </c>
      <c r="M45" s="20" t="str">
        <f>"128,4910"</f>
        <v>128,4910</v>
      </c>
      <c r="N45" s="9" t="s">
        <v>305</v>
      </c>
    </row>
    <row r="47" spans="2:3" ht="18">
      <c r="B47" s="13" t="s">
        <v>56</v>
      </c>
      <c r="C47" s="13"/>
    </row>
    <row r="48" spans="2:3" ht="15.75">
      <c r="B48" s="14" t="s">
        <v>65</v>
      </c>
      <c r="C48" s="14"/>
    </row>
    <row r="49" spans="2:3" ht="13.5">
      <c r="B49" s="16"/>
      <c r="C49" s="17" t="s">
        <v>475</v>
      </c>
    </row>
    <row r="50" spans="2:6" ht="13.5">
      <c r="B50" s="18" t="s">
        <v>59</v>
      </c>
      <c r="C50" s="18" t="s">
        <v>60</v>
      </c>
      <c r="D50" s="18" t="s">
        <v>61</v>
      </c>
      <c r="E50" s="18" t="s">
        <v>62</v>
      </c>
      <c r="F50" s="18" t="s">
        <v>63</v>
      </c>
    </row>
    <row r="51" spans="1:6" ht="12.75">
      <c r="A51" s="23">
        <v>1</v>
      </c>
      <c r="B51" s="15" t="s">
        <v>259</v>
      </c>
      <c r="C51" s="43" t="s">
        <v>58</v>
      </c>
      <c r="D51" s="44" t="s">
        <v>14</v>
      </c>
      <c r="E51" s="44" t="s">
        <v>43</v>
      </c>
      <c r="F51" s="44" t="s">
        <v>268</v>
      </c>
    </row>
    <row r="52" spans="1:6" ht="12.75">
      <c r="A52" s="23">
        <v>2</v>
      </c>
      <c r="B52" s="15" t="s">
        <v>133</v>
      </c>
      <c r="C52" s="43" t="s">
        <v>58</v>
      </c>
      <c r="D52" s="44" t="s">
        <v>336</v>
      </c>
      <c r="E52" s="44" t="s">
        <v>43</v>
      </c>
      <c r="F52" s="44" t="s">
        <v>269</v>
      </c>
    </row>
    <row r="53" spans="1:6" ht="12.75">
      <c r="A53" s="23">
        <v>3</v>
      </c>
      <c r="B53" s="15" t="s">
        <v>263</v>
      </c>
      <c r="C53" s="43" t="s">
        <v>58</v>
      </c>
      <c r="D53" s="44" t="s">
        <v>337</v>
      </c>
      <c r="E53" s="44" t="s">
        <v>141</v>
      </c>
      <c r="F53" s="44" t="s">
        <v>270</v>
      </c>
    </row>
  </sheetData>
  <sheetProtection/>
  <mergeCells count="23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4:M14"/>
    <mergeCell ref="B41:M41"/>
    <mergeCell ref="B44:M44"/>
    <mergeCell ref="B18:M18"/>
    <mergeCell ref="B21:M21"/>
    <mergeCell ref="B25:M25"/>
    <mergeCell ref="B28:M28"/>
    <mergeCell ref="B34:M34"/>
    <mergeCell ref="B37:M37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F19" sqref="F19"/>
    </sheetView>
  </sheetViews>
  <sheetFormatPr defaultColWidth="8.75390625" defaultRowHeight="12.75"/>
  <cols>
    <col min="1" max="1" width="9.125" style="23" customWidth="1"/>
    <col min="2" max="2" width="21.375" style="8" customWidth="1"/>
    <col min="3" max="3" width="26.87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4.625" style="8" bestFit="1" customWidth="1"/>
    <col min="8" max="9" width="5.625" style="8" bestFit="1" customWidth="1"/>
    <col min="10" max="10" width="6.625" style="8" bestFit="1" customWidth="1"/>
    <col min="11" max="11" width="4.625" style="8" bestFit="1" customWidth="1"/>
    <col min="12" max="12" width="10.75390625" style="41" customWidth="1"/>
    <col min="13" max="13" width="8.625" style="8" bestFit="1" customWidth="1"/>
    <col min="14" max="14" width="18.125" style="8" bestFit="1" customWidth="1"/>
  </cols>
  <sheetData>
    <row r="1" spans="1:14" s="1" customFormat="1" ht="15" customHeight="1">
      <c r="A1" s="22"/>
      <c r="B1" s="71" t="s">
        <v>485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1" customFormat="1" ht="114" customHeight="1" thickBot="1">
      <c r="A2" s="22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2</v>
      </c>
      <c r="I3" s="64"/>
      <c r="J3" s="64"/>
      <c r="K3" s="64"/>
      <c r="L3" s="83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84"/>
      <c r="M4" s="65"/>
      <c r="N4" s="67"/>
    </row>
    <row r="5" spans="2:13" ht="15.75">
      <c r="B5" s="68" t="s">
        <v>138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3">
        <v>1</v>
      </c>
      <c r="B6" s="9" t="s">
        <v>172</v>
      </c>
      <c r="C6" s="9" t="s">
        <v>173</v>
      </c>
      <c r="D6" s="9" t="s">
        <v>345</v>
      </c>
      <c r="E6" s="9" t="str">
        <f>"0,6471"</f>
        <v>0,6471</v>
      </c>
      <c r="F6" s="9" t="s">
        <v>42</v>
      </c>
      <c r="G6" s="9" t="s">
        <v>89</v>
      </c>
      <c r="H6" s="30" t="s">
        <v>25</v>
      </c>
      <c r="I6" s="30" t="s">
        <v>45</v>
      </c>
      <c r="J6" s="30" t="s">
        <v>174</v>
      </c>
      <c r="K6" s="19"/>
      <c r="L6" s="37">
        <v>168</v>
      </c>
      <c r="M6" s="20" t="str">
        <f>"108,7212"</f>
        <v>108,7212</v>
      </c>
      <c r="N6" s="9" t="s">
        <v>277</v>
      </c>
    </row>
    <row r="8" spans="2:13" ht="15.75">
      <c r="B8" s="63" t="s">
        <v>157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2.75">
      <c r="A9" s="23">
        <v>1</v>
      </c>
      <c r="B9" s="10" t="s">
        <v>175</v>
      </c>
      <c r="C9" s="10" t="s">
        <v>176</v>
      </c>
      <c r="D9" s="10" t="s">
        <v>349</v>
      </c>
      <c r="E9" s="10" t="str">
        <f>"0,6169"</f>
        <v>0,6169</v>
      </c>
      <c r="F9" s="10" t="s">
        <v>42</v>
      </c>
      <c r="G9" s="10" t="s">
        <v>89</v>
      </c>
      <c r="H9" s="31" t="s">
        <v>37</v>
      </c>
      <c r="I9" s="35" t="s">
        <v>43</v>
      </c>
      <c r="J9" s="31" t="s">
        <v>43</v>
      </c>
      <c r="K9" s="25"/>
      <c r="L9" s="38">
        <v>190</v>
      </c>
      <c r="M9" s="24" t="str">
        <f>"117,2015"</f>
        <v>117,2015</v>
      </c>
      <c r="N9" s="10" t="s">
        <v>299</v>
      </c>
    </row>
    <row r="10" spans="1:14" ht="12.75">
      <c r="A10" s="23">
        <v>2</v>
      </c>
      <c r="B10" s="11" t="s">
        <v>177</v>
      </c>
      <c r="C10" s="11" t="s">
        <v>178</v>
      </c>
      <c r="D10" s="11" t="s">
        <v>371</v>
      </c>
      <c r="E10" s="11" t="str">
        <f>"0,6247"</f>
        <v>0,6247</v>
      </c>
      <c r="F10" s="11" t="s">
        <v>42</v>
      </c>
      <c r="G10" s="11" t="s">
        <v>89</v>
      </c>
      <c r="H10" s="33" t="s">
        <v>45</v>
      </c>
      <c r="I10" s="34" t="s">
        <v>34</v>
      </c>
      <c r="J10" s="34" t="s">
        <v>34</v>
      </c>
      <c r="K10" s="29"/>
      <c r="L10" s="40">
        <v>165</v>
      </c>
      <c r="M10" s="28" t="str">
        <f>"103,0673"</f>
        <v>103,0673</v>
      </c>
      <c r="N10" s="11" t="s">
        <v>377</v>
      </c>
    </row>
    <row r="12" spans="2:13" ht="15.75">
      <c r="B12" s="63" t="s">
        <v>40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4" ht="12.75">
      <c r="A13" s="23">
        <v>1</v>
      </c>
      <c r="B13" s="10" t="s">
        <v>368</v>
      </c>
      <c r="C13" s="10" t="s">
        <v>180</v>
      </c>
      <c r="D13" s="10" t="s">
        <v>372</v>
      </c>
      <c r="E13" s="10" t="str">
        <f>"0,6115"</f>
        <v>0,6115</v>
      </c>
      <c r="F13" s="10" t="s">
        <v>42</v>
      </c>
      <c r="G13" s="10" t="s">
        <v>89</v>
      </c>
      <c r="H13" s="35" t="s">
        <v>122</v>
      </c>
      <c r="I13" s="31" t="s">
        <v>122</v>
      </c>
      <c r="J13" s="31" t="s">
        <v>113</v>
      </c>
      <c r="K13" s="25"/>
      <c r="L13" s="38">
        <v>142.5</v>
      </c>
      <c r="M13" s="24" t="str">
        <f>"87,1388"</f>
        <v>87,1388</v>
      </c>
      <c r="N13" s="10" t="s">
        <v>299</v>
      </c>
    </row>
    <row r="14" spans="1:14" ht="12.75">
      <c r="A14" s="23">
        <v>1</v>
      </c>
      <c r="B14" s="12" t="s">
        <v>181</v>
      </c>
      <c r="C14" s="12" t="s">
        <v>182</v>
      </c>
      <c r="D14" s="12" t="s">
        <v>373</v>
      </c>
      <c r="E14" s="12" t="str">
        <f>"0,5864"</f>
        <v>0,5864</v>
      </c>
      <c r="F14" s="12" t="s">
        <v>42</v>
      </c>
      <c r="G14" s="12" t="s">
        <v>89</v>
      </c>
      <c r="H14" s="32" t="s">
        <v>24</v>
      </c>
      <c r="I14" s="32" t="s">
        <v>25</v>
      </c>
      <c r="J14" s="36" t="s">
        <v>45</v>
      </c>
      <c r="K14" s="26"/>
      <c r="L14" s="39">
        <v>160</v>
      </c>
      <c r="M14" s="27" t="str">
        <f>"121,1165"</f>
        <v>121,1165</v>
      </c>
      <c r="N14" s="12" t="s">
        <v>366</v>
      </c>
    </row>
    <row r="15" spans="1:14" ht="12.75">
      <c r="A15" s="23">
        <v>2</v>
      </c>
      <c r="B15" s="11" t="s">
        <v>369</v>
      </c>
      <c r="C15" s="11" t="s">
        <v>183</v>
      </c>
      <c r="D15" s="11" t="s">
        <v>296</v>
      </c>
      <c r="E15" s="11" t="str">
        <f>"0,5840"</f>
        <v>0,5840</v>
      </c>
      <c r="F15" s="11" t="s">
        <v>42</v>
      </c>
      <c r="G15" s="11" t="s">
        <v>89</v>
      </c>
      <c r="H15" s="34" t="s">
        <v>100</v>
      </c>
      <c r="I15" s="33" t="s">
        <v>44</v>
      </c>
      <c r="J15" s="34" t="s">
        <v>25</v>
      </c>
      <c r="K15" s="29"/>
      <c r="L15" s="40">
        <v>150</v>
      </c>
      <c r="M15" s="28" t="str">
        <f>"109,1589"</f>
        <v>109,1589</v>
      </c>
      <c r="N15" s="11" t="s">
        <v>378</v>
      </c>
    </row>
    <row r="17" spans="2:13" ht="15.75">
      <c r="B17" s="63" t="s">
        <v>184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4" ht="12.75">
      <c r="A18" s="23">
        <v>1</v>
      </c>
      <c r="B18" s="10" t="s">
        <v>185</v>
      </c>
      <c r="C18" s="10" t="s">
        <v>186</v>
      </c>
      <c r="D18" s="10" t="s">
        <v>374</v>
      </c>
      <c r="E18" s="10" t="str">
        <f>"0,5648"</f>
        <v>0,5648</v>
      </c>
      <c r="F18" s="10" t="s">
        <v>42</v>
      </c>
      <c r="G18" s="10" t="s">
        <v>187</v>
      </c>
      <c r="H18" s="35" t="s">
        <v>37</v>
      </c>
      <c r="I18" s="35" t="s">
        <v>37</v>
      </c>
      <c r="J18" s="31" t="s">
        <v>37</v>
      </c>
      <c r="K18" s="25"/>
      <c r="L18" s="38">
        <v>180</v>
      </c>
      <c r="M18" s="24" t="str">
        <f>"101,6730"</f>
        <v>101,6730</v>
      </c>
      <c r="N18" s="10" t="s">
        <v>299</v>
      </c>
    </row>
    <row r="19" spans="1:14" ht="12.75">
      <c r="A19" s="23">
        <v>1</v>
      </c>
      <c r="B19" s="11" t="s">
        <v>370</v>
      </c>
      <c r="C19" s="11" t="s">
        <v>188</v>
      </c>
      <c r="D19" s="11" t="s">
        <v>375</v>
      </c>
      <c r="E19" s="11" t="str">
        <f>"0,5738"</f>
        <v>0,5738</v>
      </c>
      <c r="F19" s="11" t="s">
        <v>42</v>
      </c>
      <c r="G19" s="11" t="s">
        <v>187</v>
      </c>
      <c r="H19" s="33" t="s">
        <v>142</v>
      </c>
      <c r="I19" s="33" t="s">
        <v>131</v>
      </c>
      <c r="J19" s="33" t="s">
        <v>196</v>
      </c>
      <c r="K19" s="29"/>
      <c r="L19" s="40">
        <v>232.5</v>
      </c>
      <c r="M19" s="28" t="str">
        <f>"137,5442"</f>
        <v>137,5442</v>
      </c>
      <c r="N19" s="11" t="s">
        <v>189</v>
      </c>
    </row>
    <row r="21" spans="2:13" ht="15.75">
      <c r="B21" s="63" t="s">
        <v>48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4" ht="12.75">
      <c r="A22" s="23">
        <v>1</v>
      </c>
      <c r="B22" s="9" t="s">
        <v>190</v>
      </c>
      <c r="C22" s="9" t="s">
        <v>191</v>
      </c>
      <c r="D22" s="9" t="s">
        <v>376</v>
      </c>
      <c r="E22" s="9" t="str">
        <f>"0,5526"</f>
        <v>0,5526</v>
      </c>
      <c r="F22" s="9" t="s">
        <v>42</v>
      </c>
      <c r="G22" s="9" t="s">
        <v>192</v>
      </c>
      <c r="H22" s="30" t="s">
        <v>130</v>
      </c>
      <c r="I22" s="30" t="s">
        <v>39</v>
      </c>
      <c r="J22" s="21" t="s">
        <v>29</v>
      </c>
      <c r="K22" s="19"/>
      <c r="L22" s="37">
        <v>205</v>
      </c>
      <c r="M22" s="20" t="str">
        <f>"113,2830"</f>
        <v>113,2830</v>
      </c>
      <c r="N22" s="9" t="s">
        <v>299</v>
      </c>
    </row>
    <row r="24" spans="2:3" ht="18">
      <c r="B24" s="13" t="s">
        <v>56</v>
      </c>
      <c r="C24" s="13"/>
    </row>
    <row r="25" spans="2:3" ht="15.75">
      <c r="B25" s="14" t="s">
        <v>65</v>
      </c>
      <c r="C25" s="14"/>
    </row>
    <row r="26" spans="2:3" ht="13.5">
      <c r="B26" s="16"/>
      <c r="C26" s="17" t="s">
        <v>475</v>
      </c>
    </row>
    <row r="27" spans="2:6" ht="13.5">
      <c r="B27" s="18" t="s">
        <v>59</v>
      </c>
      <c r="C27" s="18" t="s">
        <v>60</v>
      </c>
      <c r="D27" s="18" t="s">
        <v>61</v>
      </c>
      <c r="E27" s="18" t="s">
        <v>62</v>
      </c>
      <c r="F27" s="18" t="s">
        <v>63</v>
      </c>
    </row>
    <row r="28" spans="1:6" ht="12.75">
      <c r="A28" s="23">
        <v>1</v>
      </c>
      <c r="B28" s="15" t="s">
        <v>175</v>
      </c>
      <c r="C28" s="43" t="s">
        <v>58</v>
      </c>
      <c r="D28" s="44" t="s">
        <v>379</v>
      </c>
      <c r="E28" s="44" t="s">
        <v>43</v>
      </c>
      <c r="F28" s="44" t="s">
        <v>193</v>
      </c>
    </row>
    <row r="29" spans="1:6" ht="12.75">
      <c r="A29" s="23">
        <v>2</v>
      </c>
      <c r="B29" s="15" t="s">
        <v>190</v>
      </c>
      <c r="C29" s="43" t="s">
        <v>58</v>
      </c>
      <c r="D29" s="44" t="s">
        <v>380</v>
      </c>
      <c r="E29" s="44" t="s">
        <v>39</v>
      </c>
      <c r="F29" s="44" t="s">
        <v>194</v>
      </c>
    </row>
    <row r="30" spans="1:6" ht="12.75">
      <c r="A30" s="23">
        <v>3</v>
      </c>
      <c r="B30" s="15" t="s">
        <v>172</v>
      </c>
      <c r="C30" s="43" t="s">
        <v>58</v>
      </c>
      <c r="D30" s="44" t="s">
        <v>359</v>
      </c>
      <c r="E30" s="44" t="s">
        <v>174</v>
      </c>
      <c r="F30" s="44" t="s">
        <v>195</v>
      </c>
    </row>
  </sheetData>
  <sheetProtection/>
  <mergeCells count="17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7:M17"/>
    <mergeCell ref="B21:M21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30" sqref="E30"/>
    </sheetView>
  </sheetViews>
  <sheetFormatPr defaultColWidth="8.75390625" defaultRowHeight="12.75"/>
  <cols>
    <col min="1" max="1" width="8.75390625" style="0" customWidth="1"/>
    <col min="2" max="2" width="26.00390625" style="8" bestFit="1" customWidth="1"/>
    <col min="3" max="3" width="28.625" style="8" customWidth="1"/>
    <col min="4" max="4" width="9.00390625" style="8" customWidth="1"/>
    <col min="5" max="5" width="6.875" style="8" bestFit="1" customWidth="1"/>
    <col min="6" max="6" width="22.75390625" style="8" bestFit="1" customWidth="1"/>
    <col min="7" max="7" width="34.625" style="8" bestFit="1" customWidth="1"/>
    <col min="8" max="8" width="5.625" style="8" bestFit="1" customWidth="1"/>
    <col min="9" max="10" width="2.125" style="8" bestFit="1" customWidth="1"/>
    <col min="11" max="11" width="4.625" style="8" bestFit="1" customWidth="1"/>
    <col min="12" max="12" width="11.75390625" style="8" customWidth="1"/>
    <col min="13" max="13" width="6.625" style="8" bestFit="1" customWidth="1"/>
    <col min="14" max="14" width="15.625" style="8" customWidth="1"/>
  </cols>
  <sheetData>
    <row r="1" spans="2:14" s="1" customFormat="1" ht="15" customHeight="1">
      <c r="B1" s="71" t="s">
        <v>486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2:14" s="1" customFormat="1" ht="144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474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1</v>
      </c>
      <c r="I3" s="64"/>
      <c r="J3" s="64"/>
      <c r="K3" s="64"/>
      <c r="L3" s="64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2:13" ht="15.75">
      <c r="B5" s="68" t="s">
        <v>157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4" ht="12.75">
      <c r="B6" s="9" t="s">
        <v>172</v>
      </c>
      <c r="C6" s="9" t="s">
        <v>173</v>
      </c>
      <c r="D6" s="9" t="s">
        <v>275</v>
      </c>
      <c r="E6" s="9" t="str">
        <f>"0,6382"</f>
        <v>0,6382</v>
      </c>
      <c r="F6" s="9" t="s">
        <v>88</v>
      </c>
      <c r="G6" s="9" t="s">
        <v>89</v>
      </c>
      <c r="H6" s="21" t="s">
        <v>142</v>
      </c>
      <c r="I6" s="19"/>
      <c r="J6" s="19"/>
      <c r="K6" s="19"/>
      <c r="L6" s="20">
        <v>0</v>
      </c>
      <c r="M6" s="20" t="s">
        <v>276</v>
      </c>
      <c r="N6" s="9" t="s">
        <v>277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4">
      <selection activeCell="D24" sqref="D24"/>
    </sheetView>
  </sheetViews>
  <sheetFormatPr defaultColWidth="8.75390625" defaultRowHeight="12.75"/>
  <cols>
    <col min="1" max="1" width="9.125" style="23" customWidth="1"/>
    <col min="2" max="3" width="26.0039062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4.625" style="8" bestFit="1" customWidth="1"/>
    <col min="8" max="10" width="5.625" style="8" bestFit="1" customWidth="1"/>
    <col min="11" max="11" width="4.625" style="8" bestFit="1" customWidth="1"/>
    <col min="12" max="14" width="5.625" style="8" bestFit="1" customWidth="1"/>
    <col min="15" max="15" width="4.625" style="8" bestFit="1" customWidth="1"/>
    <col min="16" max="18" width="5.625" style="8" bestFit="1" customWidth="1"/>
    <col min="19" max="19" width="4.625" style="8" bestFit="1" customWidth="1"/>
    <col min="20" max="20" width="7.875" style="41" bestFit="1" customWidth="1"/>
    <col min="21" max="21" width="8.625" style="8" bestFit="1" customWidth="1"/>
    <col min="22" max="22" width="16.25390625" style="8" customWidth="1"/>
  </cols>
  <sheetData>
    <row r="1" spans="1:22" s="1" customFormat="1" ht="15" customHeight="1">
      <c r="A1" s="22"/>
      <c r="B1" s="71" t="s">
        <v>487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</row>
    <row r="2" spans="1:22" s="1" customFormat="1" ht="141.75" customHeight="1" thickBot="1">
      <c r="A2" s="22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2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1</v>
      </c>
      <c r="I3" s="64"/>
      <c r="J3" s="64"/>
      <c r="K3" s="64"/>
      <c r="L3" s="64" t="s">
        <v>2</v>
      </c>
      <c r="M3" s="64"/>
      <c r="N3" s="64"/>
      <c r="O3" s="64"/>
      <c r="P3" s="64" t="s">
        <v>3</v>
      </c>
      <c r="Q3" s="64"/>
      <c r="R3" s="64"/>
      <c r="S3" s="64"/>
      <c r="T3" s="83" t="s">
        <v>4</v>
      </c>
      <c r="U3" s="64" t="s">
        <v>6</v>
      </c>
      <c r="V3" s="66" t="s">
        <v>5</v>
      </c>
    </row>
    <row r="4" spans="1:22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84"/>
      <c r="U4" s="65"/>
      <c r="V4" s="67"/>
    </row>
    <row r="5" spans="2:21" ht="15.75">
      <c r="B5" s="68" t="s">
        <v>69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2" ht="12.75">
      <c r="A6" s="23">
        <v>1</v>
      </c>
      <c r="B6" s="9" t="s">
        <v>70</v>
      </c>
      <c r="C6" s="9" t="s">
        <v>71</v>
      </c>
      <c r="D6" s="9" t="s">
        <v>420</v>
      </c>
      <c r="E6" s="9" t="str">
        <f>"1,1827"</f>
        <v>1,1827</v>
      </c>
      <c r="F6" s="9" t="s">
        <v>72</v>
      </c>
      <c r="G6" s="9" t="s">
        <v>297</v>
      </c>
      <c r="H6" s="30" t="s">
        <v>73</v>
      </c>
      <c r="I6" s="21" t="s">
        <v>74</v>
      </c>
      <c r="J6" s="21" t="s">
        <v>74</v>
      </c>
      <c r="K6" s="19"/>
      <c r="L6" s="30" t="s">
        <v>75</v>
      </c>
      <c r="M6" s="30" t="s">
        <v>16</v>
      </c>
      <c r="N6" s="30" t="s">
        <v>76</v>
      </c>
      <c r="O6" s="19"/>
      <c r="P6" s="30" t="s">
        <v>77</v>
      </c>
      <c r="Q6" s="30" t="s">
        <v>78</v>
      </c>
      <c r="R6" s="21" t="s">
        <v>35</v>
      </c>
      <c r="S6" s="19"/>
      <c r="T6" s="37">
        <v>225</v>
      </c>
      <c r="U6" s="20" t="str">
        <f>"266,1075"</f>
        <v>266,1075</v>
      </c>
      <c r="V6" s="9" t="s">
        <v>298</v>
      </c>
    </row>
    <row r="8" spans="2:21" ht="15.75">
      <c r="B8" s="63" t="s">
        <v>79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2" ht="12.75">
      <c r="A9" s="23">
        <v>1</v>
      </c>
      <c r="B9" s="10" t="s">
        <v>390</v>
      </c>
      <c r="C9" s="10" t="s">
        <v>80</v>
      </c>
      <c r="D9" s="10" t="s">
        <v>381</v>
      </c>
      <c r="E9" s="10" t="str">
        <f>"1,1334"</f>
        <v>1,1334</v>
      </c>
      <c r="F9" s="10" t="s">
        <v>81</v>
      </c>
      <c r="G9" s="10" t="s">
        <v>89</v>
      </c>
      <c r="H9" s="31" t="s">
        <v>82</v>
      </c>
      <c r="I9" s="31" t="s">
        <v>14</v>
      </c>
      <c r="J9" s="35" t="s">
        <v>15</v>
      </c>
      <c r="K9" s="25"/>
      <c r="L9" s="31" t="s">
        <v>16</v>
      </c>
      <c r="M9" s="31" t="s">
        <v>76</v>
      </c>
      <c r="N9" s="31" t="s">
        <v>83</v>
      </c>
      <c r="O9" s="25"/>
      <c r="P9" s="31" t="s">
        <v>73</v>
      </c>
      <c r="Q9" s="31" t="s">
        <v>84</v>
      </c>
      <c r="R9" s="35" t="s">
        <v>85</v>
      </c>
      <c r="S9" s="25"/>
      <c r="T9" s="38">
        <v>195</v>
      </c>
      <c r="U9" s="24" t="str">
        <f>"221,0130"</f>
        <v>221,0130</v>
      </c>
      <c r="V9" s="10" t="s">
        <v>405</v>
      </c>
    </row>
    <row r="10" spans="1:22" ht="12.75">
      <c r="A10" s="23">
        <v>1</v>
      </c>
      <c r="B10" s="11" t="s">
        <v>391</v>
      </c>
      <c r="C10" s="11" t="s">
        <v>87</v>
      </c>
      <c r="D10" s="11" t="s">
        <v>339</v>
      </c>
      <c r="E10" s="11" t="str">
        <f>"1,1076"</f>
        <v>1,1076</v>
      </c>
      <c r="F10" s="11" t="s">
        <v>88</v>
      </c>
      <c r="G10" s="11" t="s">
        <v>89</v>
      </c>
      <c r="H10" s="33" t="s">
        <v>90</v>
      </c>
      <c r="I10" s="34" t="s">
        <v>77</v>
      </c>
      <c r="J10" s="34" t="s">
        <v>91</v>
      </c>
      <c r="K10" s="29"/>
      <c r="L10" s="33" t="s">
        <v>76</v>
      </c>
      <c r="M10" s="33" t="s">
        <v>82</v>
      </c>
      <c r="N10" s="34" t="s">
        <v>14</v>
      </c>
      <c r="O10" s="29"/>
      <c r="P10" s="33" t="s">
        <v>91</v>
      </c>
      <c r="Q10" s="34" t="s">
        <v>35</v>
      </c>
      <c r="R10" s="33" t="s">
        <v>35</v>
      </c>
      <c r="S10" s="29"/>
      <c r="T10" s="40">
        <v>247.5</v>
      </c>
      <c r="U10" s="28" t="str">
        <f>"274,1310"</f>
        <v>274,1310</v>
      </c>
      <c r="V10" s="11" t="s">
        <v>92</v>
      </c>
    </row>
    <row r="12" spans="2:21" ht="15.75">
      <c r="B12" s="63" t="s">
        <v>93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2" ht="12.75">
      <c r="A13" s="23">
        <v>1</v>
      </c>
      <c r="B13" s="10" t="s">
        <v>94</v>
      </c>
      <c r="C13" s="10" t="s">
        <v>95</v>
      </c>
      <c r="D13" s="10" t="s">
        <v>282</v>
      </c>
      <c r="E13" s="10" t="str">
        <f>"1,0545"</f>
        <v>1,0545</v>
      </c>
      <c r="F13" s="10" t="s">
        <v>88</v>
      </c>
      <c r="G13" s="10" t="s">
        <v>89</v>
      </c>
      <c r="H13" s="31" t="s">
        <v>78</v>
      </c>
      <c r="I13" s="35" t="s">
        <v>96</v>
      </c>
      <c r="J13" s="35" t="s">
        <v>97</v>
      </c>
      <c r="K13" s="25"/>
      <c r="L13" s="31" t="s">
        <v>98</v>
      </c>
      <c r="M13" s="31" t="s">
        <v>99</v>
      </c>
      <c r="N13" s="35" t="s">
        <v>14</v>
      </c>
      <c r="O13" s="25"/>
      <c r="P13" s="31" t="s">
        <v>22</v>
      </c>
      <c r="Q13" s="31" t="s">
        <v>100</v>
      </c>
      <c r="R13" s="35" t="s">
        <v>101</v>
      </c>
      <c r="S13" s="25"/>
      <c r="T13" s="38">
        <v>300</v>
      </c>
      <c r="U13" s="24" t="str">
        <f>"316,3500"</f>
        <v>316,3500</v>
      </c>
      <c r="V13" s="10" t="s">
        <v>300</v>
      </c>
    </row>
    <row r="14" spans="1:22" ht="12.75">
      <c r="A14" s="23">
        <v>2</v>
      </c>
      <c r="B14" s="12" t="s">
        <v>326</v>
      </c>
      <c r="C14" s="12" t="s">
        <v>103</v>
      </c>
      <c r="D14" s="12" t="s">
        <v>340</v>
      </c>
      <c r="E14" s="12" t="str">
        <f>"1,0469"</f>
        <v>1,0469</v>
      </c>
      <c r="F14" s="12" t="s">
        <v>13</v>
      </c>
      <c r="G14" s="12" t="s">
        <v>89</v>
      </c>
      <c r="H14" s="32" t="s">
        <v>77</v>
      </c>
      <c r="I14" s="36" t="s">
        <v>91</v>
      </c>
      <c r="J14" s="32" t="s">
        <v>91</v>
      </c>
      <c r="K14" s="26"/>
      <c r="L14" s="32" t="s">
        <v>15</v>
      </c>
      <c r="M14" s="36" t="s">
        <v>104</v>
      </c>
      <c r="N14" s="36" t="s">
        <v>104</v>
      </c>
      <c r="O14" s="26"/>
      <c r="P14" s="32" t="s">
        <v>36</v>
      </c>
      <c r="Q14" s="32" t="s">
        <v>105</v>
      </c>
      <c r="R14" s="26"/>
      <c r="S14" s="26"/>
      <c r="T14" s="39">
        <v>277.5</v>
      </c>
      <c r="U14" s="27" t="str">
        <f>"290,5148"</f>
        <v>290,5148</v>
      </c>
      <c r="V14" s="12" t="s">
        <v>299</v>
      </c>
    </row>
    <row r="15" spans="1:22" ht="12.75">
      <c r="A15" s="23">
        <v>3</v>
      </c>
      <c r="B15" s="11" t="s">
        <v>309</v>
      </c>
      <c r="C15" s="11" t="s">
        <v>107</v>
      </c>
      <c r="D15" s="11" t="s">
        <v>82</v>
      </c>
      <c r="E15" s="11" t="str">
        <f>"1,0591"</f>
        <v>1,0591</v>
      </c>
      <c r="F15" s="11" t="s">
        <v>88</v>
      </c>
      <c r="G15" s="11" t="s">
        <v>89</v>
      </c>
      <c r="H15" s="33" t="s">
        <v>90</v>
      </c>
      <c r="I15" s="33" t="s">
        <v>108</v>
      </c>
      <c r="J15" s="34" t="s">
        <v>17</v>
      </c>
      <c r="K15" s="29"/>
      <c r="L15" s="33" t="s">
        <v>75</v>
      </c>
      <c r="M15" s="33" t="s">
        <v>16</v>
      </c>
      <c r="N15" s="33" t="s">
        <v>76</v>
      </c>
      <c r="O15" s="29"/>
      <c r="P15" s="33" t="s">
        <v>96</v>
      </c>
      <c r="Q15" s="33" t="s">
        <v>105</v>
      </c>
      <c r="R15" s="33" t="s">
        <v>21</v>
      </c>
      <c r="S15" s="29"/>
      <c r="T15" s="40">
        <v>270</v>
      </c>
      <c r="U15" s="28" t="str">
        <f>"285,9570"</f>
        <v>285,9570</v>
      </c>
      <c r="V15" s="11" t="s">
        <v>300</v>
      </c>
    </row>
    <row r="17" spans="2:21" ht="15.75">
      <c r="B17" s="89" t="s">
        <v>18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2" ht="12.75">
      <c r="A18" s="23">
        <v>1</v>
      </c>
      <c r="B18" s="10" t="s">
        <v>392</v>
      </c>
      <c r="C18" s="10" t="s">
        <v>109</v>
      </c>
      <c r="D18" s="10" t="s">
        <v>285</v>
      </c>
      <c r="E18" s="10" t="str">
        <f>"0,9200"</f>
        <v>0,9200</v>
      </c>
      <c r="F18" s="10" t="s">
        <v>13</v>
      </c>
      <c r="G18" s="10" t="s">
        <v>89</v>
      </c>
      <c r="H18" s="31" t="s">
        <v>17</v>
      </c>
      <c r="I18" s="35" t="s">
        <v>97</v>
      </c>
      <c r="J18" s="35" t="s">
        <v>97</v>
      </c>
      <c r="K18" s="25"/>
      <c r="L18" s="31" t="s">
        <v>98</v>
      </c>
      <c r="M18" s="35" t="s">
        <v>99</v>
      </c>
      <c r="N18" s="35" t="s">
        <v>14</v>
      </c>
      <c r="O18" s="25"/>
      <c r="P18" s="31" t="s">
        <v>97</v>
      </c>
      <c r="Q18" s="35" t="s">
        <v>21</v>
      </c>
      <c r="R18" s="31" t="s">
        <v>21</v>
      </c>
      <c r="S18" s="25"/>
      <c r="T18" s="38">
        <v>277.5</v>
      </c>
      <c r="U18" s="24" t="str">
        <f>"255,2861"</f>
        <v>255,2861</v>
      </c>
      <c r="V18" s="10" t="s">
        <v>406</v>
      </c>
    </row>
    <row r="19" spans="1:22" ht="12.75">
      <c r="A19" s="23">
        <v>1</v>
      </c>
      <c r="B19" s="12" t="s">
        <v>393</v>
      </c>
      <c r="C19" s="12" t="s">
        <v>111</v>
      </c>
      <c r="D19" s="12" t="s">
        <v>382</v>
      </c>
      <c r="E19" s="12" t="str">
        <f>"0,9346"</f>
        <v>0,9346</v>
      </c>
      <c r="F19" s="12" t="s">
        <v>88</v>
      </c>
      <c r="G19" s="12" t="s">
        <v>89</v>
      </c>
      <c r="H19" s="32" t="s">
        <v>96</v>
      </c>
      <c r="I19" s="32" t="s">
        <v>20</v>
      </c>
      <c r="J19" s="36" t="s">
        <v>21</v>
      </c>
      <c r="K19" s="26"/>
      <c r="L19" s="32" t="s">
        <v>99</v>
      </c>
      <c r="M19" s="32" t="s">
        <v>112</v>
      </c>
      <c r="N19" s="32" t="s">
        <v>15</v>
      </c>
      <c r="O19" s="26"/>
      <c r="P19" s="32" t="s">
        <v>22</v>
      </c>
      <c r="Q19" s="32" t="s">
        <v>113</v>
      </c>
      <c r="R19" s="36" t="s">
        <v>114</v>
      </c>
      <c r="S19" s="26"/>
      <c r="T19" s="39">
        <v>327.5</v>
      </c>
      <c r="U19" s="27" t="str">
        <f>"306,0815"</f>
        <v>306,0815</v>
      </c>
      <c r="V19" s="12" t="s">
        <v>300</v>
      </c>
    </row>
    <row r="20" spans="1:22" ht="12.75">
      <c r="A20" s="23">
        <v>2</v>
      </c>
      <c r="B20" s="11" t="s">
        <v>115</v>
      </c>
      <c r="C20" s="11" t="s">
        <v>116</v>
      </c>
      <c r="D20" s="11" t="s">
        <v>383</v>
      </c>
      <c r="E20" s="11" t="str">
        <f>"0,9439"</f>
        <v>0,9439</v>
      </c>
      <c r="F20" s="11" t="s">
        <v>81</v>
      </c>
      <c r="G20" s="11" t="s">
        <v>89</v>
      </c>
      <c r="H20" s="33" t="s">
        <v>91</v>
      </c>
      <c r="I20" s="34" t="s">
        <v>17</v>
      </c>
      <c r="J20" s="33" t="s">
        <v>17</v>
      </c>
      <c r="K20" s="29"/>
      <c r="L20" s="34" t="s">
        <v>112</v>
      </c>
      <c r="M20" s="33" t="s">
        <v>15</v>
      </c>
      <c r="N20" s="33" t="s">
        <v>104</v>
      </c>
      <c r="O20" s="29"/>
      <c r="P20" s="33" t="s">
        <v>17</v>
      </c>
      <c r="Q20" s="33" t="s">
        <v>35</v>
      </c>
      <c r="R20" s="33" t="s">
        <v>96</v>
      </c>
      <c r="S20" s="29"/>
      <c r="T20" s="40">
        <v>275</v>
      </c>
      <c r="U20" s="28" t="str">
        <f>"259,5725"</f>
        <v>259,5725</v>
      </c>
      <c r="V20" s="11" t="s">
        <v>407</v>
      </c>
    </row>
    <row r="22" spans="2:21" ht="15.75">
      <c r="B22" s="63" t="s">
        <v>31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2" ht="12.75">
      <c r="A23" s="23">
        <v>1</v>
      </c>
      <c r="B23" s="10" t="s">
        <v>312</v>
      </c>
      <c r="C23" s="10" t="s">
        <v>118</v>
      </c>
      <c r="D23" s="10" t="s">
        <v>286</v>
      </c>
      <c r="E23" s="10" t="str">
        <f>"0,8620"</f>
        <v>0,8620</v>
      </c>
      <c r="F23" s="10" t="s">
        <v>42</v>
      </c>
      <c r="G23" s="10" t="s">
        <v>192</v>
      </c>
      <c r="H23" s="31" t="s">
        <v>74</v>
      </c>
      <c r="I23" s="31" t="s">
        <v>84</v>
      </c>
      <c r="J23" s="31" t="s">
        <v>90</v>
      </c>
      <c r="K23" s="25"/>
      <c r="L23" s="31" t="s">
        <v>119</v>
      </c>
      <c r="M23" s="31" t="s">
        <v>120</v>
      </c>
      <c r="N23" s="35" t="s">
        <v>73</v>
      </c>
      <c r="O23" s="25"/>
      <c r="P23" s="31" t="s">
        <v>121</v>
      </c>
      <c r="Q23" s="31" t="s">
        <v>122</v>
      </c>
      <c r="R23" s="31" t="s">
        <v>23</v>
      </c>
      <c r="S23" s="25"/>
      <c r="T23" s="38">
        <v>305</v>
      </c>
      <c r="U23" s="24" t="str">
        <f>"262,9252"</f>
        <v>262,9252</v>
      </c>
      <c r="V23" s="10" t="s">
        <v>361</v>
      </c>
    </row>
    <row r="24" spans="1:22" ht="12.75">
      <c r="A24" s="23">
        <v>1</v>
      </c>
      <c r="B24" s="11" t="s">
        <v>313</v>
      </c>
      <c r="C24" s="11" t="s">
        <v>124</v>
      </c>
      <c r="D24" s="11" t="s">
        <v>287</v>
      </c>
      <c r="E24" s="11" t="str">
        <f>"0,8391"</f>
        <v>0,8391</v>
      </c>
      <c r="F24" s="11" t="s">
        <v>88</v>
      </c>
      <c r="G24" s="11" t="s">
        <v>89</v>
      </c>
      <c r="H24" s="34" t="s">
        <v>35</v>
      </c>
      <c r="I24" s="33" t="s">
        <v>35</v>
      </c>
      <c r="J24" s="34" t="s">
        <v>36</v>
      </c>
      <c r="K24" s="29"/>
      <c r="L24" s="33" t="s">
        <v>76</v>
      </c>
      <c r="M24" s="33" t="s">
        <v>83</v>
      </c>
      <c r="N24" s="34" t="s">
        <v>98</v>
      </c>
      <c r="O24" s="29"/>
      <c r="P24" s="33" t="s">
        <v>97</v>
      </c>
      <c r="Q24" s="33" t="s">
        <v>121</v>
      </c>
      <c r="R24" s="33" t="s">
        <v>125</v>
      </c>
      <c r="S24" s="29"/>
      <c r="T24" s="40">
        <v>292.5</v>
      </c>
      <c r="U24" s="28" t="str">
        <f>"245,4368"</f>
        <v>245,4368</v>
      </c>
      <c r="V24" s="11" t="s">
        <v>300</v>
      </c>
    </row>
    <row r="26" spans="2:21" ht="15.75">
      <c r="B26" s="63" t="s">
        <v>18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2" ht="12.75">
      <c r="A27" s="23">
        <v>1</v>
      </c>
      <c r="B27" s="10" t="s">
        <v>394</v>
      </c>
      <c r="C27" s="10" t="s">
        <v>127</v>
      </c>
      <c r="D27" s="10" t="s">
        <v>290</v>
      </c>
      <c r="E27" s="10" t="str">
        <f>"0,7712"</f>
        <v>0,7712</v>
      </c>
      <c r="F27" s="10" t="s">
        <v>88</v>
      </c>
      <c r="G27" s="10" t="s">
        <v>89</v>
      </c>
      <c r="H27" s="35" t="s">
        <v>100</v>
      </c>
      <c r="I27" s="35" t="s">
        <v>100</v>
      </c>
      <c r="J27" s="31" t="s">
        <v>100</v>
      </c>
      <c r="K27" s="25"/>
      <c r="L27" s="31" t="s">
        <v>77</v>
      </c>
      <c r="M27" s="35" t="s">
        <v>17</v>
      </c>
      <c r="N27" s="31" t="s">
        <v>78</v>
      </c>
      <c r="O27" s="25"/>
      <c r="P27" s="31" t="s">
        <v>44</v>
      </c>
      <c r="Q27" s="31" t="s">
        <v>45</v>
      </c>
      <c r="R27" s="35" t="s">
        <v>128</v>
      </c>
      <c r="S27" s="25"/>
      <c r="T27" s="38">
        <v>407.5</v>
      </c>
      <c r="U27" s="24" t="str">
        <f>"314,2640"</f>
        <v>314,2640</v>
      </c>
      <c r="V27" s="10" t="s">
        <v>300</v>
      </c>
    </row>
    <row r="28" spans="1:22" ht="12.75">
      <c r="A28" s="23">
        <v>1</v>
      </c>
      <c r="B28" s="12" t="s">
        <v>395</v>
      </c>
      <c r="C28" s="12" t="s">
        <v>129</v>
      </c>
      <c r="D28" s="12" t="s">
        <v>384</v>
      </c>
      <c r="E28" s="12" t="str">
        <f>"0,7581"</f>
        <v>0,7581</v>
      </c>
      <c r="F28" s="12" t="s">
        <v>13</v>
      </c>
      <c r="G28" s="12" t="s">
        <v>89</v>
      </c>
      <c r="H28" s="32" t="s">
        <v>43</v>
      </c>
      <c r="I28" s="32" t="s">
        <v>130</v>
      </c>
      <c r="J28" s="32" t="s">
        <v>29</v>
      </c>
      <c r="K28" s="26"/>
      <c r="L28" s="32" t="s">
        <v>21</v>
      </c>
      <c r="M28" s="32" t="s">
        <v>122</v>
      </c>
      <c r="N28" s="36" t="s">
        <v>113</v>
      </c>
      <c r="O28" s="26"/>
      <c r="P28" s="32" t="s">
        <v>131</v>
      </c>
      <c r="Q28" s="32" t="s">
        <v>51</v>
      </c>
      <c r="R28" s="32" t="s">
        <v>132</v>
      </c>
      <c r="S28" s="26"/>
      <c r="T28" s="39">
        <v>585</v>
      </c>
      <c r="U28" s="27" t="str">
        <f>"443,4593"</f>
        <v>443,4593</v>
      </c>
      <c r="V28" s="12" t="s">
        <v>30</v>
      </c>
    </row>
    <row r="29" spans="1:22" ht="12.75">
      <c r="A29" s="23">
        <v>2</v>
      </c>
      <c r="B29" s="11" t="s">
        <v>316</v>
      </c>
      <c r="C29" s="11" t="s">
        <v>134</v>
      </c>
      <c r="D29" s="11" t="s">
        <v>104</v>
      </c>
      <c r="E29" s="11" t="str">
        <f>"0,7484"</f>
        <v>0,7484</v>
      </c>
      <c r="F29" s="11" t="s">
        <v>88</v>
      </c>
      <c r="G29" s="11" t="s">
        <v>89</v>
      </c>
      <c r="H29" s="33" t="s">
        <v>100</v>
      </c>
      <c r="I29" s="34" t="s">
        <v>44</v>
      </c>
      <c r="J29" s="33" t="s">
        <v>114</v>
      </c>
      <c r="K29" s="29"/>
      <c r="L29" s="33" t="s">
        <v>78</v>
      </c>
      <c r="M29" s="33" t="s">
        <v>96</v>
      </c>
      <c r="N29" s="33" t="s">
        <v>135</v>
      </c>
      <c r="O29" s="29"/>
      <c r="P29" s="33" t="s">
        <v>25</v>
      </c>
      <c r="Q29" s="33" t="s">
        <v>37</v>
      </c>
      <c r="R29" s="33" t="s">
        <v>43</v>
      </c>
      <c r="S29" s="29"/>
      <c r="T29" s="40">
        <v>455</v>
      </c>
      <c r="U29" s="28" t="str">
        <f>"340,5220"</f>
        <v>340,5220</v>
      </c>
      <c r="V29" s="11" t="s">
        <v>300</v>
      </c>
    </row>
    <row r="31" spans="2:21" ht="15.75">
      <c r="B31" s="63" t="s">
        <v>31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2" ht="12.75">
      <c r="A32" s="23">
        <v>1</v>
      </c>
      <c r="B32" s="10" t="s">
        <v>396</v>
      </c>
      <c r="C32" s="10" t="s">
        <v>136</v>
      </c>
      <c r="D32" s="10" t="s">
        <v>385</v>
      </c>
      <c r="E32" s="10" t="str">
        <f>"0,7086"</f>
        <v>0,7086</v>
      </c>
      <c r="F32" s="10" t="s">
        <v>81</v>
      </c>
      <c r="G32" s="10" t="s">
        <v>89</v>
      </c>
      <c r="H32" s="35" t="s">
        <v>17</v>
      </c>
      <c r="I32" s="31" t="s">
        <v>17</v>
      </c>
      <c r="J32" s="31" t="s">
        <v>97</v>
      </c>
      <c r="K32" s="25"/>
      <c r="L32" s="31" t="s">
        <v>77</v>
      </c>
      <c r="M32" s="31" t="s">
        <v>91</v>
      </c>
      <c r="N32" s="31" t="s">
        <v>17</v>
      </c>
      <c r="O32" s="25"/>
      <c r="P32" s="31" t="s">
        <v>91</v>
      </c>
      <c r="Q32" s="31" t="s">
        <v>35</v>
      </c>
      <c r="R32" s="31" t="s">
        <v>36</v>
      </c>
      <c r="S32" s="25"/>
      <c r="T32" s="38">
        <v>325</v>
      </c>
      <c r="U32" s="24" t="str">
        <f>"230,3112"</f>
        <v>230,3112</v>
      </c>
      <c r="V32" s="10" t="s">
        <v>407</v>
      </c>
    </row>
    <row r="33" spans="1:22" ht="12.75">
      <c r="A33" s="23">
        <v>1</v>
      </c>
      <c r="B33" s="11" t="s">
        <v>397</v>
      </c>
      <c r="C33" s="11" t="s">
        <v>137</v>
      </c>
      <c r="D33" s="11" t="s">
        <v>386</v>
      </c>
      <c r="E33" s="11" t="str">
        <f>"0,7288"</f>
        <v>0,7288</v>
      </c>
      <c r="F33" s="11" t="s">
        <v>42</v>
      </c>
      <c r="G33" s="11" t="s">
        <v>89</v>
      </c>
      <c r="H33" s="33" t="s">
        <v>100</v>
      </c>
      <c r="I33" s="34" t="s">
        <v>44</v>
      </c>
      <c r="J33" s="33" t="s">
        <v>44</v>
      </c>
      <c r="K33" s="29"/>
      <c r="L33" s="33" t="s">
        <v>74</v>
      </c>
      <c r="M33" s="33" t="s">
        <v>77</v>
      </c>
      <c r="N33" s="34" t="s">
        <v>91</v>
      </c>
      <c r="O33" s="29"/>
      <c r="P33" s="33" t="s">
        <v>44</v>
      </c>
      <c r="Q33" s="33" t="s">
        <v>25</v>
      </c>
      <c r="R33" s="33" t="s">
        <v>45</v>
      </c>
      <c r="S33" s="29"/>
      <c r="T33" s="40">
        <v>405</v>
      </c>
      <c r="U33" s="28" t="str">
        <f>"295,1640"</f>
        <v>295,1640</v>
      </c>
      <c r="V33" s="11" t="s">
        <v>408</v>
      </c>
    </row>
    <row r="35" spans="2:21" ht="15.75">
      <c r="B35" s="63" t="s">
        <v>138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2" ht="12.75">
      <c r="A36" s="23">
        <v>1</v>
      </c>
      <c r="B36" s="10" t="s">
        <v>317</v>
      </c>
      <c r="C36" s="10" t="s">
        <v>139</v>
      </c>
      <c r="D36" s="10" t="s">
        <v>293</v>
      </c>
      <c r="E36" s="10" t="str">
        <f>"0,6561"</f>
        <v>0,6561</v>
      </c>
      <c r="F36" s="10" t="s">
        <v>81</v>
      </c>
      <c r="G36" s="10" t="s">
        <v>89</v>
      </c>
      <c r="H36" s="31" t="s">
        <v>128</v>
      </c>
      <c r="I36" s="31" t="s">
        <v>140</v>
      </c>
      <c r="J36" s="31" t="s">
        <v>141</v>
      </c>
      <c r="K36" s="25"/>
      <c r="L36" s="31" t="s">
        <v>97</v>
      </c>
      <c r="M36" s="31" t="s">
        <v>36</v>
      </c>
      <c r="N36" s="31" t="s">
        <v>20</v>
      </c>
      <c r="O36" s="25"/>
      <c r="P36" s="31" t="s">
        <v>142</v>
      </c>
      <c r="Q36" s="31" t="s">
        <v>29</v>
      </c>
      <c r="R36" s="31" t="s">
        <v>143</v>
      </c>
      <c r="S36" s="25"/>
      <c r="T36" s="38">
        <v>535</v>
      </c>
      <c r="U36" s="24" t="str">
        <f>"351,0402"</f>
        <v>351,0402</v>
      </c>
      <c r="V36" s="10" t="s">
        <v>299</v>
      </c>
    </row>
    <row r="37" spans="1:22" ht="12.75">
      <c r="A37" s="23">
        <v>1</v>
      </c>
      <c r="B37" s="12" t="s">
        <v>398</v>
      </c>
      <c r="C37" s="12" t="s">
        <v>144</v>
      </c>
      <c r="D37" s="12" t="s">
        <v>74</v>
      </c>
      <c r="E37" s="12" t="str">
        <f>"0,6578"</f>
        <v>0,6578</v>
      </c>
      <c r="F37" s="12" t="s">
        <v>88</v>
      </c>
      <c r="G37" s="12" t="s">
        <v>89</v>
      </c>
      <c r="H37" s="32" t="s">
        <v>100</v>
      </c>
      <c r="I37" s="36" t="s">
        <v>44</v>
      </c>
      <c r="J37" s="36" t="s">
        <v>44</v>
      </c>
      <c r="K37" s="26"/>
      <c r="L37" s="32" t="s">
        <v>105</v>
      </c>
      <c r="M37" s="32" t="s">
        <v>145</v>
      </c>
      <c r="N37" s="32" t="s">
        <v>146</v>
      </c>
      <c r="O37" s="26"/>
      <c r="P37" s="32" t="s">
        <v>25</v>
      </c>
      <c r="Q37" s="32" t="s">
        <v>34</v>
      </c>
      <c r="R37" s="32" t="s">
        <v>147</v>
      </c>
      <c r="S37" s="26"/>
      <c r="T37" s="39">
        <v>445</v>
      </c>
      <c r="U37" s="27" t="str">
        <f>"292,7210"</f>
        <v>292,7210</v>
      </c>
      <c r="V37" s="12" t="s">
        <v>363</v>
      </c>
    </row>
    <row r="38" spans="1:22" ht="12.75">
      <c r="A38" s="23">
        <v>1</v>
      </c>
      <c r="B38" s="12" t="s">
        <v>148</v>
      </c>
      <c r="C38" s="12" t="s">
        <v>149</v>
      </c>
      <c r="D38" s="12" t="s">
        <v>387</v>
      </c>
      <c r="E38" s="12" t="str">
        <f>"0,6467"</f>
        <v>0,6467</v>
      </c>
      <c r="F38" s="12" t="s">
        <v>72</v>
      </c>
      <c r="G38" s="12" t="s">
        <v>89</v>
      </c>
      <c r="H38" s="32" t="s">
        <v>43</v>
      </c>
      <c r="I38" s="32" t="s">
        <v>142</v>
      </c>
      <c r="J38" s="32" t="s">
        <v>29</v>
      </c>
      <c r="K38" s="26"/>
      <c r="L38" s="36" t="s">
        <v>100</v>
      </c>
      <c r="M38" s="32" t="s">
        <v>100</v>
      </c>
      <c r="N38" s="32" t="s">
        <v>23</v>
      </c>
      <c r="O38" s="26"/>
      <c r="P38" s="32" t="s">
        <v>47</v>
      </c>
      <c r="Q38" s="36" t="s">
        <v>150</v>
      </c>
      <c r="R38" s="26"/>
      <c r="S38" s="26"/>
      <c r="T38" s="39">
        <v>590</v>
      </c>
      <c r="U38" s="27" t="str">
        <f>"381,5235"</f>
        <v>381,5235</v>
      </c>
      <c r="V38" s="12" t="s">
        <v>298</v>
      </c>
    </row>
    <row r="39" spans="1:22" ht="12.75">
      <c r="A39" s="23">
        <v>2</v>
      </c>
      <c r="B39" s="12" t="s">
        <v>399</v>
      </c>
      <c r="C39" s="12" t="s">
        <v>152</v>
      </c>
      <c r="D39" s="12" t="s">
        <v>345</v>
      </c>
      <c r="E39" s="12" t="str">
        <f>"0,6471"</f>
        <v>0,6471</v>
      </c>
      <c r="F39" s="12" t="s">
        <v>42</v>
      </c>
      <c r="G39" s="12" t="s">
        <v>89</v>
      </c>
      <c r="H39" s="32" t="s">
        <v>34</v>
      </c>
      <c r="I39" s="32" t="s">
        <v>37</v>
      </c>
      <c r="J39" s="32" t="s">
        <v>43</v>
      </c>
      <c r="K39" s="26"/>
      <c r="L39" s="32" t="s">
        <v>100</v>
      </c>
      <c r="M39" s="32" t="s">
        <v>44</v>
      </c>
      <c r="N39" s="32" t="s">
        <v>24</v>
      </c>
      <c r="O39" s="26"/>
      <c r="P39" s="32" t="s">
        <v>39</v>
      </c>
      <c r="Q39" s="32" t="s">
        <v>131</v>
      </c>
      <c r="R39" s="32" t="s">
        <v>153</v>
      </c>
      <c r="S39" s="26"/>
      <c r="T39" s="39">
        <v>567.5</v>
      </c>
      <c r="U39" s="27" t="str">
        <f>"367,2576"</f>
        <v>367,2576</v>
      </c>
      <c r="V39" s="12" t="s">
        <v>299</v>
      </c>
    </row>
    <row r="40" spans="1:22" ht="12.75">
      <c r="A40" s="23">
        <v>3</v>
      </c>
      <c r="B40" s="12" t="s">
        <v>400</v>
      </c>
      <c r="C40" s="12" t="s">
        <v>155</v>
      </c>
      <c r="D40" s="12" t="s">
        <v>346</v>
      </c>
      <c r="E40" s="12" t="str">
        <f>"0,6557"</f>
        <v>0,6557</v>
      </c>
      <c r="F40" s="12" t="s">
        <v>88</v>
      </c>
      <c r="G40" s="12" t="s">
        <v>89</v>
      </c>
      <c r="H40" s="36" t="s">
        <v>45</v>
      </c>
      <c r="I40" s="32" t="s">
        <v>45</v>
      </c>
      <c r="J40" s="32" t="s">
        <v>128</v>
      </c>
      <c r="K40" s="26"/>
      <c r="L40" s="32" t="s">
        <v>113</v>
      </c>
      <c r="M40" s="32" t="s">
        <v>44</v>
      </c>
      <c r="N40" s="36" t="s">
        <v>114</v>
      </c>
      <c r="O40" s="26"/>
      <c r="P40" s="32" t="s">
        <v>140</v>
      </c>
      <c r="Q40" s="36" t="s">
        <v>141</v>
      </c>
      <c r="R40" s="36" t="s">
        <v>141</v>
      </c>
      <c r="S40" s="26"/>
      <c r="T40" s="39">
        <v>510</v>
      </c>
      <c r="U40" s="27" t="str">
        <f>"334,3815"</f>
        <v>334,3815</v>
      </c>
      <c r="V40" s="12" t="s">
        <v>363</v>
      </c>
    </row>
    <row r="41" spans="1:22" ht="12.75">
      <c r="A41" s="23">
        <v>4</v>
      </c>
      <c r="B41" s="11" t="s">
        <v>401</v>
      </c>
      <c r="C41" s="11" t="s">
        <v>156</v>
      </c>
      <c r="D41" s="11" t="s">
        <v>345</v>
      </c>
      <c r="E41" s="11" t="str">
        <f>"0,6471"</f>
        <v>0,6471</v>
      </c>
      <c r="F41" s="11" t="s">
        <v>13</v>
      </c>
      <c r="G41" s="11" t="s">
        <v>89</v>
      </c>
      <c r="H41" s="34" t="s">
        <v>34</v>
      </c>
      <c r="I41" s="33" t="s">
        <v>34</v>
      </c>
      <c r="J41" s="34" t="s">
        <v>140</v>
      </c>
      <c r="K41" s="29"/>
      <c r="L41" s="33" t="s">
        <v>97</v>
      </c>
      <c r="M41" s="33" t="s">
        <v>20</v>
      </c>
      <c r="N41" s="34" t="s">
        <v>121</v>
      </c>
      <c r="O41" s="29"/>
      <c r="P41" s="33" t="s">
        <v>43</v>
      </c>
      <c r="Q41" s="33" t="s">
        <v>39</v>
      </c>
      <c r="R41" s="34" t="s">
        <v>131</v>
      </c>
      <c r="S41" s="29"/>
      <c r="T41" s="40">
        <v>495</v>
      </c>
      <c r="U41" s="28" t="str">
        <f>"320,3392"</f>
        <v>320,3392</v>
      </c>
      <c r="V41" s="11" t="s">
        <v>409</v>
      </c>
    </row>
    <row r="43" spans="2:21" ht="15.75">
      <c r="B43" s="63" t="s">
        <v>157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2" ht="12.75">
      <c r="A44" s="23">
        <v>1</v>
      </c>
      <c r="B44" s="10" t="s">
        <v>402</v>
      </c>
      <c r="C44" s="10" t="s">
        <v>158</v>
      </c>
      <c r="D44" s="10" t="s">
        <v>388</v>
      </c>
      <c r="E44" s="10" t="str">
        <f>"0,6222"</f>
        <v>0,6222</v>
      </c>
      <c r="F44" s="10" t="s">
        <v>13</v>
      </c>
      <c r="G44" s="10" t="s">
        <v>89</v>
      </c>
      <c r="H44" s="31" t="s">
        <v>20</v>
      </c>
      <c r="I44" s="31" t="s">
        <v>121</v>
      </c>
      <c r="J44" s="35" t="s">
        <v>125</v>
      </c>
      <c r="K44" s="25"/>
      <c r="L44" s="31" t="s">
        <v>74</v>
      </c>
      <c r="M44" s="31" t="s">
        <v>90</v>
      </c>
      <c r="N44" s="35" t="s">
        <v>77</v>
      </c>
      <c r="O44" s="25"/>
      <c r="P44" s="31" t="s">
        <v>100</v>
      </c>
      <c r="Q44" s="31" t="s">
        <v>101</v>
      </c>
      <c r="R44" s="31" t="s">
        <v>114</v>
      </c>
      <c r="S44" s="25"/>
      <c r="T44" s="38">
        <v>370</v>
      </c>
      <c r="U44" s="24" t="str">
        <f>"230,1955"</f>
        <v>230,1955</v>
      </c>
      <c r="V44" s="10" t="s">
        <v>324</v>
      </c>
    </row>
    <row r="45" spans="1:22" ht="12.75">
      <c r="A45" s="23">
        <v>1</v>
      </c>
      <c r="B45" s="11" t="s">
        <v>403</v>
      </c>
      <c r="C45" s="11" t="s">
        <v>160</v>
      </c>
      <c r="D45" s="11" t="s">
        <v>389</v>
      </c>
      <c r="E45" s="11" t="str">
        <f>"0,6153"</f>
        <v>0,6153</v>
      </c>
      <c r="F45" s="11" t="s">
        <v>88</v>
      </c>
      <c r="G45" s="11" t="s">
        <v>89</v>
      </c>
      <c r="H45" s="33" t="s">
        <v>25</v>
      </c>
      <c r="I45" s="34" t="s">
        <v>37</v>
      </c>
      <c r="J45" s="33" t="s">
        <v>37</v>
      </c>
      <c r="K45" s="29"/>
      <c r="L45" s="33" t="s">
        <v>44</v>
      </c>
      <c r="M45" s="33" t="s">
        <v>25</v>
      </c>
      <c r="N45" s="34" t="s">
        <v>161</v>
      </c>
      <c r="O45" s="29"/>
      <c r="P45" s="33" t="s">
        <v>34</v>
      </c>
      <c r="Q45" s="33" t="s">
        <v>38</v>
      </c>
      <c r="R45" s="34" t="s">
        <v>39</v>
      </c>
      <c r="S45" s="29"/>
      <c r="T45" s="40">
        <v>532.5</v>
      </c>
      <c r="U45" s="28" t="str">
        <f>"327,6472"</f>
        <v>327,6472</v>
      </c>
      <c r="V45" s="11" t="s">
        <v>300</v>
      </c>
    </row>
    <row r="47" spans="2:3" ht="18">
      <c r="B47" s="13" t="s">
        <v>56</v>
      </c>
      <c r="C47" s="13"/>
    </row>
    <row r="48" spans="2:3" ht="15.75">
      <c r="B48" s="14" t="s">
        <v>57</v>
      </c>
      <c r="C48" s="14"/>
    </row>
    <row r="49" spans="2:3" ht="13.5">
      <c r="B49" s="16"/>
      <c r="C49" s="17" t="s">
        <v>475</v>
      </c>
    </row>
    <row r="50" spans="2:6" ht="13.5">
      <c r="B50" s="18" t="s">
        <v>59</v>
      </c>
      <c r="C50" s="18" t="s">
        <v>60</v>
      </c>
      <c r="D50" s="18" t="s">
        <v>61</v>
      </c>
      <c r="E50" s="18" t="s">
        <v>62</v>
      </c>
      <c r="F50" s="18" t="s">
        <v>63</v>
      </c>
    </row>
    <row r="51" spans="1:6" ht="12.75">
      <c r="A51" s="23">
        <v>1</v>
      </c>
      <c r="B51" s="15" t="s">
        <v>94</v>
      </c>
      <c r="C51" s="43" t="s">
        <v>58</v>
      </c>
      <c r="D51" s="44" t="s">
        <v>404</v>
      </c>
      <c r="E51" s="44" t="s">
        <v>55</v>
      </c>
      <c r="F51" s="44" t="s">
        <v>163</v>
      </c>
    </row>
    <row r="52" spans="1:6" ht="12.75">
      <c r="A52" s="23">
        <v>2</v>
      </c>
      <c r="B52" s="15" t="s">
        <v>110</v>
      </c>
      <c r="C52" s="43" t="s">
        <v>58</v>
      </c>
      <c r="D52" s="44" t="s">
        <v>336</v>
      </c>
      <c r="E52" s="44" t="s">
        <v>164</v>
      </c>
      <c r="F52" s="44" t="s">
        <v>165</v>
      </c>
    </row>
    <row r="53" spans="1:6" ht="12.75">
      <c r="A53" s="23">
        <v>3</v>
      </c>
      <c r="B53" s="15" t="s">
        <v>102</v>
      </c>
      <c r="C53" s="43" t="s">
        <v>58</v>
      </c>
      <c r="D53" s="44" t="s">
        <v>404</v>
      </c>
      <c r="E53" s="44" t="s">
        <v>162</v>
      </c>
      <c r="F53" s="44" t="s">
        <v>166</v>
      </c>
    </row>
    <row r="55" spans="2:3" ht="15.75">
      <c r="B55" s="14" t="s">
        <v>65</v>
      </c>
      <c r="C55" s="14"/>
    </row>
    <row r="56" spans="2:3" ht="13.5">
      <c r="B56" s="16"/>
      <c r="C56" s="17" t="s">
        <v>475</v>
      </c>
    </row>
    <row r="57" spans="2:6" ht="13.5">
      <c r="B57" s="18" t="s">
        <v>59</v>
      </c>
      <c r="C57" s="18" t="s">
        <v>60</v>
      </c>
      <c r="D57" s="18" t="s">
        <v>61</v>
      </c>
      <c r="E57" s="18" t="s">
        <v>62</v>
      </c>
      <c r="F57" s="18" t="s">
        <v>63</v>
      </c>
    </row>
    <row r="58" spans="1:6" ht="12.75">
      <c r="A58" s="23">
        <v>1</v>
      </c>
      <c r="B58" s="15" t="s">
        <v>26</v>
      </c>
      <c r="C58" s="43" t="s">
        <v>58</v>
      </c>
      <c r="D58" s="44" t="s">
        <v>336</v>
      </c>
      <c r="E58" s="44" t="s">
        <v>167</v>
      </c>
      <c r="F58" s="44" t="s">
        <v>168</v>
      </c>
    </row>
    <row r="59" spans="1:6" ht="12.75">
      <c r="A59" s="23">
        <v>2</v>
      </c>
      <c r="B59" s="15" t="s">
        <v>148</v>
      </c>
      <c r="C59" s="43" t="s">
        <v>58</v>
      </c>
      <c r="D59" s="44" t="s">
        <v>359</v>
      </c>
      <c r="E59" s="44" t="s">
        <v>67</v>
      </c>
      <c r="F59" s="44" t="s">
        <v>169</v>
      </c>
    </row>
    <row r="60" spans="1:6" ht="12.75">
      <c r="A60" s="23">
        <v>3</v>
      </c>
      <c r="B60" s="15" t="s">
        <v>151</v>
      </c>
      <c r="C60" s="43" t="s">
        <v>58</v>
      </c>
      <c r="D60" s="44" t="s">
        <v>359</v>
      </c>
      <c r="E60" s="44" t="s">
        <v>170</v>
      </c>
      <c r="F60" s="44" t="s">
        <v>171</v>
      </c>
    </row>
  </sheetData>
  <sheetProtection/>
  <mergeCells count="23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B43:U43"/>
    <mergeCell ref="B12:U12"/>
    <mergeCell ref="B17:U17"/>
    <mergeCell ref="B22:U22"/>
    <mergeCell ref="B26:U26"/>
    <mergeCell ref="B31:U31"/>
    <mergeCell ref="B35:U35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C3">
      <selection activeCell="F34" sqref="F34"/>
    </sheetView>
  </sheetViews>
  <sheetFormatPr defaultColWidth="9.125" defaultRowHeight="12.75"/>
  <cols>
    <col min="1" max="1" width="6.875" style="22" customWidth="1"/>
    <col min="2" max="2" width="18.375" style="47" customWidth="1"/>
    <col min="3" max="3" width="26.00390625" style="5" bestFit="1" customWidth="1"/>
    <col min="4" max="4" width="10.625" style="5" bestFit="1" customWidth="1"/>
    <col min="5" max="5" width="8.375" style="5" bestFit="1" customWidth="1"/>
    <col min="6" max="6" width="14.875" style="5" customWidth="1"/>
    <col min="7" max="7" width="33.625" style="5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8.625" style="1" bestFit="1" customWidth="1"/>
    <col min="22" max="22" width="16.125" style="5" customWidth="1"/>
    <col min="23" max="16384" width="9.125" style="1" customWidth="1"/>
  </cols>
  <sheetData>
    <row r="1" spans="2:22" ht="15" customHeight="1">
      <c r="B1" s="71" t="s">
        <v>488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</row>
    <row r="2" spans="2:22" ht="112.5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2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87" t="s">
        <v>9</v>
      </c>
      <c r="F3" s="64" t="s">
        <v>7</v>
      </c>
      <c r="G3" s="81" t="s">
        <v>274</v>
      </c>
      <c r="H3" s="64" t="s">
        <v>1</v>
      </c>
      <c r="I3" s="64"/>
      <c r="J3" s="64"/>
      <c r="K3" s="64"/>
      <c r="L3" s="64" t="s">
        <v>2</v>
      </c>
      <c r="M3" s="64"/>
      <c r="N3" s="64"/>
      <c r="O3" s="64"/>
      <c r="P3" s="64" t="s">
        <v>3</v>
      </c>
      <c r="Q3" s="64"/>
      <c r="R3" s="64"/>
      <c r="S3" s="64"/>
      <c r="T3" s="64" t="s">
        <v>4</v>
      </c>
      <c r="U3" s="64" t="s">
        <v>6</v>
      </c>
      <c r="V3" s="66" t="s">
        <v>5</v>
      </c>
    </row>
    <row r="4" spans="1:22" s="2" customFormat="1" ht="21" customHeight="1" thickBot="1">
      <c r="A4" s="70"/>
      <c r="B4" s="78"/>
      <c r="C4" s="80"/>
      <c r="D4" s="80"/>
      <c r="E4" s="80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5"/>
      <c r="U4" s="65"/>
      <c r="V4" s="67"/>
    </row>
    <row r="5" spans="2:21" ht="15.75">
      <c r="B5" s="85" t="s">
        <v>10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2:22" ht="12.75">
      <c r="B6" s="46" t="s">
        <v>11</v>
      </c>
      <c r="C6" s="7" t="s">
        <v>12</v>
      </c>
      <c r="D6" s="7" t="s">
        <v>417</v>
      </c>
      <c r="E6" s="7" t="str">
        <f>"0,9942"</f>
        <v>0,9942</v>
      </c>
      <c r="F6" s="7" t="s">
        <v>13</v>
      </c>
      <c r="G6" s="7" t="s">
        <v>89</v>
      </c>
      <c r="H6" s="50" t="s">
        <v>14</v>
      </c>
      <c r="I6" s="50" t="s">
        <v>15</v>
      </c>
      <c r="J6" s="50" t="s">
        <v>15</v>
      </c>
      <c r="K6" s="48"/>
      <c r="L6" s="48"/>
      <c r="M6" s="48"/>
      <c r="N6" s="48"/>
      <c r="O6" s="48"/>
      <c r="P6" s="48"/>
      <c r="Q6" s="48"/>
      <c r="R6" s="48"/>
      <c r="S6" s="48"/>
      <c r="T6" s="49" t="s">
        <v>276</v>
      </c>
      <c r="U6" s="49" t="s">
        <v>276</v>
      </c>
      <c r="V6" s="7" t="s">
        <v>301</v>
      </c>
    </row>
    <row r="8" spans="2:21" ht="15.75">
      <c r="B8" s="86" t="s">
        <v>18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2" ht="12.75">
      <c r="A9" s="22" t="s">
        <v>413</v>
      </c>
      <c r="B9" s="46" t="s">
        <v>321</v>
      </c>
      <c r="C9" s="7" t="s">
        <v>19</v>
      </c>
      <c r="D9" s="7" t="s">
        <v>323</v>
      </c>
      <c r="E9" s="7" t="str">
        <f>"0,9178"</f>
        <v>0,9178</v>
      </c>
      <c r="F9" s="7" t="s">
        <v>13</v>
      </c>
      <c r="G9" s="7" t="s">
        <v>89</v>
      </c>
      <c r="H9" s="30" t="s">
        <v>20</v>
      </c>
      <c r="I9" s="30" t="s">
        <v>21</v>
      </c>
      <c r="J9" s="50" t="s">
        <v>22</v>
      </c>
      <c r="K9" s="48"/>
      <c r="L9" s="30" t="s">
        <v>14</v>
      </c>
      <c r="M9" s="50" t="s">
        <v>15</v>
      </c>
      <c r="N9" s="50" t="s">
        <v>15</v>
      </c>
      <c r="O9" s="48"/>
      <c r="P9" s="30" t="s">
        <v>23</v>
      </c>
      <c r="Q9" s="30" t="s">
        <v>24</v>
      </c>
      <c r="R9" s="30" t="s">
        <v>25</v>
      </c>
      <c r="S9" s="48"/>
      <c r="T9" s="49" t="s">
        <v>64</v>
      </c>
      <c r="U9" s="49" t="str">
        <f>"316,6410"</f>
        <v>316,6410</v>
      </c>
      <c r="V9" s="7" t="s">
        <v>324</v>
      </c>
    </row>
    <row r="11" spans="2:21" ht="15.75">
      <c r="B11" s="86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2:22" ht="12.75">
      <c r="B12" s="46" t="s">
        <v>26</v>
      </c>
      <c r="C12" s="7" t="s">
        <v>27</v>
      </c>
      <c r="D12" s="7" t="s">
        <v>384</v>
      </c>
      <c r="E12" s="7" t="str">
        <f>"0,7581"</f>
        <v>0,7581</v>
      </c>
      <c r="F12" s="7" t="s">
        <v>13</v>
      </c>
      <c r="G12" s="7" t="s">
        <v>89</v>
      </c>
      <c r="H12" s="48" t="s">
        <v>28</v>
      </c>
      <c r="I12" s="48"/>
      <c r="J12" s="48"/>
      <c r="K12" s="48"/>
      <c r="L12" s="48" t="s">
        <v>28</v>
      </c>
      <c r="M12" s="48"/>
      <c r="N12" s="48"/>
      <c r="O12" s="48"/>
      <c r="P12" s="50" t="s">
        <v>29</v>
      </c>
      <c r="Q12" s="48"/>
      <c r="R12" s="48"/>
      <c r="S12" s="48"/>
      <c r="T12" s="49" t="s">
        <v>276</v>
      </c>
      <c r="U12" s="49" t="s">
        <v>276</v>
      </c>
      <c r="V12" s="7" t="s">
        <v>30</v>
      </c>
    </row>
    <row r="14" spans="2:21" ht="15.75">
      <c r="B14" s="86" t="s">
        <v>31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2" ht="12.75">
      <c r="A15" s="22" t="s">
        <v>413</v>
      </c>
      <c r="B15" s="46" t="s">
        <v>32</v>
      </c>
      <c r="C15" s="7" t="s">
        <v>33</v>
      </c>
      <c r="D15" s="7" t="s">
        <v>286</v>
      </c>
      <c r="E15" s="7" t="str">
        <f>"0,7125"</f>
        <v>0,7125</v>
      </c>
      <c r="F15" s="7" t="s">
        <v>13</v>
      </c>
      <c r="G15" s="7" t="s">
        <v>89</v>
      </c>
      <c r="H15" s="30" t="s">
        <v>25</v>
      </c>
      <c r="I15" s="50" t="s">
        <v>34</v>
      </c>
      <c r="J15" s="50" t="s">
        <v>34</v>
      </c>
      <c r="K15" s="48"/>
      <c r="L15" s="30" t="s">
        <v>35</v>
      </c>
      <c r="M15" s="50" t="s">
        <v>36</v>
      </c>
      <c r="N15" s="30" t="s">
        <v>20</v>
      </c>
      <c r="O15" s="48"/>
      <c r="P15" s="30" t="s">
        <v>37</v>
      </c>
      <c r="Q15" s="30" t="s">
        <v>38</v>
      </c>
      <c r="R15" s="30" t="s">
        <v>39</v>
      </c>
      <c r="S15" s="48"/>
      <c r="T15" s="49" t="s">
        <v>68</v>
      </c>
      <c r="U15" s="49" t="str">
        <f>"345,5625"</f>
        <v>345,5625</v>
      </c>
      <c r="V15" s="7" t="s">
        <v>409</v>
      </c>
    </row>
    <row r="17" spans="2:21" ht="15.75">
      <c r="B17" s="86" t="s">
        <v>40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2" ht="12.75">
      <c r="A18" s="22" t="s">
        <v>413</v>
      </c>
      <c r="B18" s="46" t="s">
        <v>410</v>
      </c>
      <c r="C18" s="7" t="s">
        <v>41</v>
      </c>
      <c r="D18" s="7" t="s">
        <v>418</v>
      </c>
      <c r="E18" s="7" t="str">
        <f>"0,5831"</f>
        <v>0,5831</v>
      </c>
      <c r="F18" s="7" t="s">
        <v>42</v>
      </c>
      <c r="G18" s="7" t="s">
        <v>89</v>
      </c>
      <c r="H18" s="50" t="s">
        <v>37</v>
      </c>
      <c r="I18" s="50" t="s">
        <v>43</v>
      </c>
      <c r="J18" s="30" t="s">
        <v>43</v>
      </c>
      <c r="K18" s="48"/>
      <c r="L18" s="30" t="s">
        <v>44</v>
      </c>
      <c r="M18" s="30" t="s">
        <v>25</v>
      </c>
      <c r="N18" s="30" t="s">
        <v>45</v>
      </c>
      <c r="O18" s="48"/>
      <c r="P18" s="30" t="s">
        <v>29</v>
      </c>
      <c r="Q18" s="30" t="s">
        <v>46</v>
      </c>
      <c r="R18" s="30" t="s">
        <v>47</v>
      </c>
      <c r="S18" s="48"/>
      <c r="T18" s="49" t="s">
        <v>67</v>
      </c>
      <c r="U18" s="49" t="str">
        <f>"343,9995"</f>
        <v>343,9995</v>
      </c>
      <c r="V18" s="7" t="s">
        <v>299</v>
      </c>
    </row>
    <row r="20" spans="2:21" ht="15.75">
      <c r="B20" s="86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2" ht="12.75">
      <c r="A21" s="22" t="s">
        <v>413</v>
      </c>
      <c r="B21" s="46" t="s">
        <v>411</v>
      </c>
      <c r="C21" s="7" t="s">
        <v>49</v>
      </c>
      <c r="D21" s="7" t="s">
        <v>419</v>
      </c>
      <c r="E21" s="7" t="str">
        <f>"0,5545"</f>
        <v>0,5545</v>
      </c>
      <c r="F21" s="7" t="s">
        <v>13</v>
      </c>
      <c r="G21" s="7" t="s">
        <v>50</v>
      </c>
      <c r="H21" s="50" t="s">
        <v>51</v>
      </c>
      <c r="I21" s="30" t="s">
        <v>51</v>
      </c>
      <c r="J21" s="50" t="s">
        <v>52</v>
      </c>
      <c r="K21" s="48"/>
      <c r="L21" s="50" t="s">
        <v>25</v>
      </c>
      <c r="M21" s="30" t="s">
        <v>25</v>
      </c>
      <c r="N21" s="48"/>
      <c r="O21" s="48"/>
      <c r="P21" s="30" t="s">
        <v>53</v>
      </c>
      <c r="Q21" s="30" t="s">
        <v>54</v>
      </c>
      <c r="R21" s="50" t="s">
        <v>55</v>
      </c>
      <c r="S21" s="48"/>
      <c r="T21" s="49" t="s">
        <v>66</v>
      </c>
      <c r="U21" s="49" t="str">
        <f>"374,2875"</f>
        <v>374,2875</v>
      </c>
      <c r="V21" s="7" t="s">
        <v>412</v>
      </c>
    </row>
  </sheetData>
  <sheetProtection/>
  <mergeCells count="20">
    <mergeCell ref="A3:A4"/>
    <mergeCell ref="T3:T4"/>
    <mergeCell ref="U3:U4"/>
    <mergeCell ref="B1:V2"/>
    <mergeCell ref="H3:K3"/>
    <mergeCell ref="L3:O3"/>
    <mergeCell ref="P3:S3"/>
    <mergeCell ref="B3:B4"/>
    <mergeCell ref="C3:C4"/>
    <mergeCell ref="D3:D4"/>
    <mergeCell ref="B14:U14"/>
    <mergeCell ref="B17:U17"/>
    <mergeCell ref="B20:U20"/>
    <mergeCell ref="V3:V4"/>
    <mergeCell ref="G3:G4"/>
    <mergeCell ref="F3:F4"/>
    <mergeCell ref="B5:U5"/>
    <mergeCell ref="B8:U8"/>
    <mergeCell ref="B11:U11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F33" sqref="F33"/>
    </sheetView>
  </sheetViews>
  <sheetFormatPr defaultColWidth="8.75390625" defaultRowHeight="12.75"/>
  <cols>
    <col min="1" max="1" width="8.75390625" style="0" customWidth="1"/>
    <col min="2" max="2" width="26.00390625" style="8" bestFit="1" customWidth="1"/>
    <col min="3" max="3" width="25.25390625" style="8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5.125" style="8" customWidth="1"/>
    <col min="8" max="10" width="5.625" style="8" bestFit="1" customWidth="1"/>
    <col min="11" max="11" width="4.625" style="8" bestFit="1" customWidth="1"/>
    <col min="12" max="12" width="12.75390625" style="8" customWidth="1"/>
    <col min="13" max="13" width="8.625" style="8" bestFit="1" customWidth="1"/>
    <col min="14" max="14" width="20.75390625" style="8" bestFit="1" customWidth="1"/>
  </cols>
  <sheetData>
    <row r="1" spans="2:14" s="1" customFormat="1" ht="15" customHeight="1">
      <c r="B1" s="71" t="s">
        <v>477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2:14" s="1" customFormat="1" ht="114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3</v>
      </c>
      <c r="I3" s="64"/>
      <c r="J3" s="64"/>
      <c r="K3" s="64"/>
      <c r="L3" s="64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2:13" ht="15.75">
      <c r="B5" s="68" t="s">
        <v>18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3">
        <v>1</v>
      </c>
      <c r="B6" s="9" t="s">
        <v>321</v>
      </c>
      <c r="C6" s="9" t="s">
        <v>19</v>
      </c>
      <c r="D6" s="9" t="s">
        <v>323</v>
      </c>
      <c r="E6" s="9" t="str">
        <f>"0,9178"</f>
        <v>0,9178</v>
      </c>
      <c r="F6" s="9" t="s">
        <v>13</v>
      </c>
      <c r="G6" s="9" t="s">
        <v>297</v>
      </c>
      <c r="H6" s="30" t="s">
        <v>25</v>
      </c>
      <c r="I6" s="19"/>
      <c r="J6" s="19"/>
      <c r="K6" s="19"/>
      <c r="L6" s="20" t="s">
        <v>25</v>
      </c>
      <c r="M6" s="20" t="str">
        <f>"146,8480"</f>
        <v>146,8480</v>
      </c>
      <c r="N6" s="9" t="s">
        <v>324</v>
      </c>
    </row>
    <row r="8" spans="2:13" ht="15.75">
      <c r="B8" s="63" t="s">
        <v>31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2.75">
      <c r="A9" s="23">
        <v>1</v>
      </c>
      <c r="B9" s="9" t="s">
        <v>322</v>
      </c>
      <c r="C9" s="9" t="s">
        <v>248</v>
      </c>
      <c r="D9" s="9" t="s">
        <v>73</v>
      </c>
      <c r="E9" s="9" t="str">
        <f>"0,6885"</f>
        <v>0,6885</v>
      </c>
      <c r="F9" s="9" t="s">
        <v>42</v>
      </c>
      <c r="G9" s="9" t="s">
        <v>249</v>
      </c>
      <c r="H9" s="30" t="s">
        <v>51</v>
      </c>
      <c r="I9" s="30" t="s">
        <v>250</v>
      </c>
      <c r="J9" s="21" t="s">
        <v>251</v>
      </c>
      <c r="K9" s="19"/>
      <c r="L9" s="20">
        <v>237.5</v>
      </c>
      <c r="M9" s="20" t="str">
        <f>"163,5306"</f>
        <v>163,5306</v>
      </c>
      <c r="N9" s="9" t="s">
        <v>299</v>
      </c>
    </row>
    <row r="27" ht="12.75">
      <c r="F27" s="8" t="s">
        <v>475</v>
      </c>
    </row>
  </sheetData>
  <sheetProtection/>
  <mergeCells count="14">
    <mergeCell ref="H3:K3"/>
    <mergeCell ref="A3:A4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24" sqref="F24"/>
    </sheetView>
  </sheetViews>
  <sheetFormatPr defaultColWidth="9.125" defaultRowHeight="12.75"/>
  <cols>
    <col min="1" max="1" width="9.125" style="1" customWidth="1"/>
    <col min="2" max="2" width="23.75390625" style="47" customWidth="1"/>
    <col min="3" max="3" width="26.875" style="5" bestFit="1" customWidth="1"/>
    <col min="4" max="4" width="10.625" style="5" bestFit="1" customWidth="1"/>
    <col min="5" max="5" width="8.375" style="1" bestFit="1" customWidth="1"/>
    <col min="6" max="6" width="22.75390625" style="5" bestFit="1" customWidth="1"/>
    <col min="7" max="7" width="33.625" style="5" customWidth="1"/>
    <col min="8" max="8" width="4.625" style="1" bestFit="1" customWidth="1"/>
    <col min="9" max="9" width="10.625" style="1" customWidth="1"/>
    <col min="10" max="10" width="9.25390625" style="4" customWidth="1"/>
    <col min="11" max="11" width="9.625" style="1" bestFit="1" customWidth="1"/>
    <col min="12" max="12" width="22.375" style="5" bestFit="1" customWidth="1"/>
    <col min="13" max="16384" width="9.125" style="1" customWidth="1"/>
  </cols>
  <sheetData>
    <row r="1" spans="2:12" ht="15" customHeight="1">
      <c r="B1" s="71" t="s">
        <v>478</v>
      </c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2:12" ht="112.5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87" t="s">
        <v>9</v>
      </c>
      <c r="F3" s="64" t="s">
        <v>7</v>
      </c>
      <c r="G3" s="81" t="s">
        <v>274</v>
      </c>
      <c r="H3" s="64" t="s">
        <v>2</v>
      </c>
      <c r="I3" s="64"/>
      <c r="J3" s="64" t="s">
        <v>433</v>
      </c>
      <c r="K3" s="64" t="s">
        <v>6</v>
      </c>
      <c r="L3" s="66" t="s">
        <v>5</v>
      </c>
    </row>
    <row r="4" spans="1:12" s="2" customFormat="1" ht="21" customHeight="1" thickBot="1">
      <c r="A4" s="70"/>
      <c r="B4" s="78"/>
      <c r="C4" s="80"/>
      <c r="D4" s="80"/>
      <c r="E4" s="80"/>
      <c r="F4" s="65"/>
      <c r="G4" s="82"/>
      <c r="H4" s="3" t="s">
        <v>431</v>
      </c>
      <c r="I4" s="3" t="s">
        <v>432</v>
      </c>
      <c r="J4" s="65"/>
      <c r="K4" s="65"/>
      <c r="L4" s="67"/>
    </row>
    <row r="5" spans="2:11" ht="15.75">
      <c r="B5" s="85" t="s">
        <v>31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2.75">
      <c r="A6" s="22" t="s">
        <v>413</v>
      </c>
      <c r="B6" s="46" t="s">
        <v>435</v>
      </c>
      <c r="C6" s="7" t="s">
        <v>436</v>
      </c>
      <c r="D6" s="7" t="s">
        <v>119</v>
      </c>
      <c r="E6" s="6" t="str">
        <f>"0,7262"</f>
        <v>0,7262</v>
      </c>
      <c r="F6" s="7" t="s">
        <v>42</v>
      </c>
      <c r="G6" s="7" t="s">
        <v>207</v>
      </c>
      <c r="H6" s="49" t="s">
        <v>119</v>
      </c>
      <c r="I6" s="49" t="s">
        <v>446</v>
      </c>
      <c r="J6" s="49" t="s">
        <v>440</v>
      </c>
      <c r="K6" s="49" t="str">
        <f>"1880,9875"</f>
        <v>1880,9875</v>
      </c>
      <c r="L6" s="7" t="s">
        <v>443</v>
      </c>
    </row>
    <row r="8" spans="2:11" ht="15.75">
      <c r="B8" s="86" t="s">
        <v>138</v>
      </c>
      <c r="C8" s="63"/>
      <c r="D8" s="63"/>
      <c r="E8" s="63"/>
      <c r="F8" s="63"/>
      <c r="G8" s="63"/>
      <c r="H8" s="63"/>
      <c r="I8" s="63"/>
      <c r="J8" s="63"/>
      <c r="K8" s="63"/>
    </row>
    <row r="9" spans="1:12" ht="12.75">
      <c r="A9" s="22" t="s">
        <v>413</v>
      </c>
      <c r="B9" s="55" t="s">
        <v>437</v>
      </c>
      <c r="C9" s="52" t="s">
        <v>438</v>
      </c>
      <c r="D9" s="52" t="s">
        <v>445</v>
      </c>
      <c r="E9" s="51" t="str">
        <f>"0,6635"</f>
        <v>0,6635</v>
      </c>
      <c r="F9" s="52" t="s">
        <v>42</v>
      </c>
      <c r="G9" s="52" t="s">
        <v>425</v>
      </c>
      <c r="H9" s="57" t="s">
        <v>74</v>
      </c>
      <c r="I9" s="57" t="s">
        <v>447</v>
      </c>
      <c r="J9" s="57" t="s">
        <v>441</v>
      </c>
      <c r="K9" s="57" t="str">
        <f>"1327,0000"</f>
        <v>1327,0000</v>
      </c>
      <c r="L9" s="52" t="s">
        <v>444</v>
      </c>
    </row>
    <row r="10" spans="1:12" ht="12.75">
      <c r="A10" s="22" t="s">
        <v>413</v>
      </c>
      <c r="B10" s="56" t="s">
        <v>220</v>
      </c>
      <c r="C10" s="54" t="s">
        <v>439</v>
      </c>
      <c r="D10" s="54" t="s">
        <v>347</v>
      </c>
      <c r="E10" s="53" t="str">
        <f>"0,6518"</f>
        <v>0,6518</v>
      </c>
      <c r="F10" s="54" t="s">
        <v>42</v>
      </c>
      <c r="G10" s="54" t="s">
        <v>89</v>
      </c>
      <c r="H10" s="58" t="s">
        <v>214</v>
      </c>
      <c r="I10" s="58" t="s">
        <v>448</v>
      </c>
      <c r="J10" s="58" t="s">
        <v>442</v>
      </c>
      <c r="K10" s="58" t="str">
        <f>"1963,1522"</f>
        <v>1963,1522</v>
      </c>
      <c r="L10" s="54" t="s">
        <v>299</v>
      </c>
    </row>
  </sheetData>
  <sheetProtection/>
  <mergeCells count="14">
    <mergeCell ref="B8:K8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27" sqref="F27"/>
    </sheetView>
  </sheetViews>
  <sheetFormatPr defaultColWidth="8.75390625" defaultRowHeight="12.75"/>
  <cols>
    <col min="1" max="1" width="9.125" style="23" customWidth="1"/>
    <col min="2" max="2" width="26.00390625" style="8" bestFit="1" customWidth="1"/>
    <col min="3" max="3" width="26.87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4.00390625" style="8" customWidth="1"/>
    <col min="8" max="8" width="4.75390625" style="8" bestFit="1" customWidth="1"/>
    <col min="9" max="9" width="9.625" style="8" bestFit="1" customWidth="1"/>
    <col min="10" max="10" width="8.625" style="8" customWidth="1"/>
    <col min="11" max="11" width="9.625" style="8" bestFit="1" customWidth="1"/>
    <col min="12" max="12" width="22.375" style="8" bestFit="1" customWidth="1"/>
  </cols>
  <sheetData>
    <row r="1" spans="1:12" s="1" customFormat="1" ht="15" customHeight="1">
      <c r="A1" s="22"/>
      <c r="B1" s="71" t="s">
        <v>479</v>
      </c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1" customFormat="1" ht="103.5" customHeight="1" thickBot="1">
      <c r="A2" s="22"/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87" t="s">
        <v>9</v>
      </c>
      <c r="F3" s="64" t="s">
        <v>7</v>
      </c>
      <c r="G3" s="81" t="s">
        <v>274</v>
      </c>
      <c r="H3" s="64" t="s">
        <v>2</v>
      </c>
      <c r="I3" s="64"/>
      <c r="J3" s="64" t="s">
        <v>433</v>
      </c>
      <c r="K3" s="64" t="s">
        <v>6</v>
      </c>
      <c r="L3" s="66" t="s">
        <v>5</v>
      </c>
    </row>
    <row r="4" spans="1:12" s="2" customFormat="1" ht="21" customHeight="1" thickBot="1">
      <c r="A4" s="70"/>
      <c r="B4" s="78"/>
      <c r="C4" s="80"/>
      <c r="D4" s="80"/>
      <c r="E4" s="80"/>
      <c r="F4" s="65"/>
      <c r="G4" s="82"/>
      <c r="H4" s="3" t="s">
        <v>431</v>
      </c>
      <c r="I4" s="3" t="s">
        <v>432</v>
      </c>
      <c r="J4" s="65"/>
      <c r="K4" s="65"/>
      <c r="L4" s="67"/>
    </row>
    <row r="5" spans="2:11" ht="15.75">
      <c r="B5" s="68" t="s">
        <v>31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2.75">
      <c r="A6" s="23">
        <v>1</v>
      </c>
      <c r="B6" s="9" t="s">
        <v>449</v>
      </c>
      <c r="C6" s="9" t="s">
        <v>450</v>
      </c>
      <c r="D6" s="9" t="s">
        <v>463</v>
      </c>
      <c r="E6" s="9" t="str">
        <f>"0,7297"</f>
        <v>0,7297</v>
      </c>
      <c r="F6" s="9" t="s">
        <v>42</v>
      </c>
      <c r="G6" s="9" t="s">
        <v>451</v>
      </c>
      <c r="H6" s="20" t="s">
        <v>119</v>
      </c>
      <c r="I6" s="20" t="s">
        <v>468</v>
      </c>
      <c r="J6" s="20" t="s">
        <v>461</v>
      </c>
      <c r="K6" s="20" t="str">
        <f>"1819,1051"</f>
        <v>1819,1051</v>
      </c>
      <c r="L6" s="9" t="s">
        <v>299</v>
      </c>
    </row>
    <row r="8" spans="2:11" ht="15.75">
      <c r="B8" s="63" t="s">
        <v>138</v>
      </c>
      <c r="C8" s="63"/>
      <c r="D8" s="63"/>
      <c r="E8" s="63"/>
      <c r="F8" s="63"/>
      <c r="G8" s="63"/>
      <c r="H8" s="63"/>
      <c r="I8" s="63"/>
      <c r="J8" s="63"/>
      <c r="K8" s="63"/>
    </row>
    <row r="9" spans="1:12" ht="12.75">
      <c r="A9" s="23">
        <v>1</v>
      </c>
      <c r="B9" s="9" t="s">
        <v>452</v>
      </c>
      <c r="C9" s="9" t="s">
        <v>453</v>
      </c>
      <c r="D9" s="9" t="s">
        <v>464</v>
      </c>
      <c r="E9" s="9" t="str">
        <f>"0,6658"</f>
        <v>0,6658</v>
      </c>
      <c r="F9" s="9" t="s">
        <v>42</v>
      </c>
      <c r="G9" s="9" t="s">
        <v>425</v>
      </c>
      <c r="H9" s="20" t="s">
        <v>74</v>
      </c>
      <c r="I9" s="20" t="s">
        <v>469</v>
      </c>
      <c r="J9" s="20" t="s">
        <v>459</v>
      </c>
      <c r="K9" s="20" t="str">
        <f>"1438,2360"</f>
        <v>1438,2360</v>
      </c>
      <c r="L9" s="9" t="s">
        <v>444</v>
      </c>
    </row>
    <row r="11" spans="2:11" ht="15.75">
      <c r="B11" s="63" t="s">
        <v>157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2" ht="12.75">
      <c r="A12" s="23">
        <v>1</v>
      </c>
      <c r="B12" s="10" t="s">
        <v>454</v>
      </c>
      <c r="C12" s="10" t="s">
        <v>455</v>
      </c>
      <c r="D12" s="10" t="s">
        <v>465</v>
      </c>
      <c r="E12" s="10" t="str">
        <f>"0,6238"</f>
        <v>0,6238</v>
      </c>
      <c r="F12" s="10" t="s">
        <v>42</v>
      </c>
      <c r="G12" s="10" t="s">
        <v>425</v>
      </c>
      <c r="H12" s="24" t="s">
        <v>90</v>
      </c>
      <c r="I12" s="24" t="s">
        <v>470</v>
      </c>
      <c r="J12" s="24">
        <v>3412.5</v>
      </c>
      <c r="K12" s="24" t="str">
        <f>"2128,8881"</f>
        <v>2128,8881</v>
      </c>
      <c r="L12" s="10" t="s">
        <v>444</v>
      </c>
    </row>
    <row r="13" spans="1:12" ht="12.75">
      <c r="A13" s="23">
        <v>1</v>
      </c>
      <c r="B13" s="11" t="s">
        <v>456</v>
      </c>
      <c r="C13" s="11" t="s">
        <v>457</v>
      </c>
      <c r="D13" s="11" t="s">
        <v>466</v>
      </c>
      <c r="E13" s="11" t="str">
        <f>"0,6122"</f>
        <v>0,6122</v>
      </c>
      <c r="F13" s="11" t="s">
        <v>42</v>
      </c>
      <c r="G13" s="11" t="s">
        <v>467</v>
      </c>
      <c r="H13" s="28" t="s">
        <v>77</v>
      </c>
      <c r="I13" s="28" t="s">
        <v>471</v>
      </c>
      <c r="J13" s="28" t="s">
        <v>462</v>
      </c>
      <c r="K13" s="28" t="str">
        <f>"1494,2695"</f>
        <v>1494,2695</v>
      </c>
      <c r="L13" s="11" t="s">
        <v>299</v>
      </c>
    </row>
    <row r="15" spans="2:11" ht="15.75">
      <c r="B15" s="63" t="s">
        <v>40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2" ht="12.75">
      <c r="A16" s="23">
        <v>1</v>
      </c>
      <c r="B16" s="10" t="s">
        <v>423</v>
      </c>
      <c r="C16" s="10" t="s">
        <v>424</v>
      </c>
      <c r="D16" s="10" t="s">
        <v>427</v>
      </c>
      <c r="E16" s="10" t="str">
        <f>"0,5917"</f>
        <v>0,5917</v>
      </c>
      <c r="F16" s="10" t="s">
        <v>42</v>
      </c>
      <c r="G16" s="10" t="s">
        <v>425</v>
      </c>
      <c r="H16" s="24" t="s">
        <v>108</v>
      </c>
      <c r="I16" s="24" t="s">
        <v>472</v>
      </c>
      <c r="J16" s="24" t="s">
        <v>458</v>
      </c>
      <c r="K16" s="24" t="str">
        <f>"1269,0893"</f>
        <v>1269,0893</v>
      </c>
      <c r="L16" s="10" t="s">
        <v>299</v>
      </c>
    </row>
    <row r="17" spans="1:12" ht="12.75">
      <c r="A17" s="23">
        <v>1</v>
      </c>
      <c r="B17" s="12" t="s">
        <v>423</v>
      </c>
      <c r="C17" s="12" t="s">
        <v>426</v>
      </c>
      <c r="D17" s="12" t="s">
        <v>427</v>
      </c>
      <c r="E17" s="12" t="str">
        <f>"0,5917"</f>
        <v>0,5917</v>
      </c>
      <c r="F17" s="12" t="s">
        <v>42</v>
      </c>
      <c r="G17" s="12" t="s">
        <v>425</v>
      </c>
      <c r="H17" s="27" t="s">
        <v>108</v>
      </c>
      <c r="I17" s="27" t="s">
        <v>472</v>
      </c>
      <c r="J17" s="27" t="s">
        <v>458</v>
      </c>
      <c r="K17" s="27" t="str">
        <f>"1269,0893"</f>
        <v>1269,0893</v>
      </c>
      <c r="L17" s="12" t="s">
        <v>299</v>
      </c>
    </row>
    <row r="18" spans="1:12" ht="12.75">
      <c r="A18" s="23">
        <v>2</v>
      </c>
      <c r="B18" s="11" t="s">
        <v>179</v>
      </c>
      <c r="C18" s="11" t="s">
        <v>180</v>
      </c>
      <c r="D18" s="11" t="s">
        <v>372</v>
      </c>
      <c r="E18" s="11" t="str">
        <f>"0,6115"</f>
        <v>0,6115</v>
      </c>
      <c r="F18" s="11" t="s">
        <v>42</v>
      </c>
      <c r="G18" s="11" t="s">
        <v>297</v>
      </c>
      <c r="H18" s="28" t="s">
        <v>85</v>
      </c>
      <c r="I18" s="28" t="s">
        <v>473</v>
      </c>
      <c r="J18" s="28" t="s">
        <v>460</v>
      </c>
      <c r="K18" s="28" t="str">
        <f>"905,0200"</f>
        <v>905,0200</v>
      </c>
      <c r="L18" s="11" t="s">
        <v>299</v>
      </c>
    </row>
  </sheetData>
  <sheetProtection/>
  <mergeCells count="16">
    <mergeCell ref="L3:L4"/>
    <mergeCell ref="B5:K5"/>
    <mergeCell ref="B8:K8"/>
    <mergeCell ref="B11:K11"/>
    <mergeCell ref="B15:K15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D20" sqref="D20"/>
    </sheetView>
  </sheetViews>
  <sheetFormatPr defaultColWidth="8.75390625" defaultRowHeight="12.75"/>
  <cols>
    <col min="1" max="1" width="8.75390625" style="0" customWidth="1"/>
    <col min="2" max="2" width="26.00390625" style="8" bestFit="1" customWidth="1"/>
    <col min="3" max="3" width="25.375" style="8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2.75390625" style="8" customWidth="1"/>
    <col min="8" max="8" width="4.625" style="8" bestFit="1" customWidth="1"/>
    <col min="9" max="9" width="9.625" style="8" customWidth="1"/>
    <col min="10" max="10" width="9.00390625" style="8" customWidth="1"/>
    <col min="11" max="11" width="8.625" style="8" bestFit="1" customWidth="1"/>
    <col min="12" max="12" width="20.00390625" style="8" bestFit="1" customWidth="1"/>
  </cols>
  <sheetData>
    <row r="1" spans="2:12" s="1" customFormat="1" ht="15" customHeight="1">
      <c r="B1" s="71" t="s">
        <v>480</v>
      </c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2:12" s="1" customFormat="1" ht="111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87" t="s">
        <v>9</v>
      </c>
      <c r="F3" s="64" t="s">
        <v>7</v>
      </c>
      <c r="G3" s="81" t="s">
        <v>274</v>
      </c>
      <c r="H3" s="64" t="s">
        <v>2</v>
      </c>
      <c r="I3" s="64"/>
      <c r="J3" s="64" t="s">
        <v>433</v>
      </c>
      <c r="K3" s="64" t="s">
        <v>6</v>
      </c>
      <c r="L3" s="66" t="s">
        <v>5</v>
      </c>
    </row>
    <row r="4" spans="1:12" s="2" customFormat="1" ht="21" customHeight="1" thickBot="1">
      <c r="A4" s="70"/>
      <c r="B4" s="78"/>
      <c r="C4" s="80"/>
      <c r="D4" s="80"/>
      <c r="E4" s="80"/>
      <c r="F4" s="65"/>
      <c r="G4" s="82"/>
      <c r="H4" s="3" t="s">
        <v>431</v>
      </c>
      <c r="I4" s="3" t="s">
        <v>432</v>
      </c>
      <c r="J4" s="65"/>
      <c r="K4" s="65"/>
      <c r="L4" s="67"/>
    </row>
    <row r="5" spans="2:11" ht="15.75">
      <c r="B5" s="68" t="s">
        <v>79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2.75">
      <c r="A6" s="23">
        <v>1</v>
      </c>
      <c r="B6" s="9" t="s">
        <v>489</v>
      </c>
      <c r="C6" s="9" t="s">
        <v>428</v>
      </c>
      <c r="D6" s="9" t="s">
        <v>83</v>
      </c>
      <c r="E6" s="9" t="str">
        <f>"1,1423"</f>
        <v>1,1423</v>
      </c>
      <c r="F6" s="9" t="s">
        <v>81</v>
      </c>
      <c r="G6" s="9" t="s">
        <v>89</v>
      </c>
      <c r="H6" s="20" t="s">
        <v>429</v>
      </c>
      <c r="I6" s="20" t="s">
        <v>434</v>
      </c>
      <c r="J6" s="20" t="s">
        <v>430</v>
      </c>
      <c r="K6" s="20" t="str">
        <f>"942,3975"</f>
        <v>942,3975</v>
      </c>
      <c r="L6" s="9" t="s">
        <v>405</v>
      </c>
    </row>
  </sheetData>
  <sheetProtection/>
  <mergeCells count="13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A3:A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22" sqref="D2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00390625" style="1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9.875" style="5" bestFit="1" customWidth="1"/>
    <col min="8" max="10" width="5.625" style="1" bestFit="1" customWidth="1"/>
    <col min="11" max="11" width="4.625" style="1" bestFit="1" customWidth="1"/>
    <col min="12" max="12" width="10.875" style="4" customWidth="1"/>
    <col min="13" max="13" width="8.625" style="1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71" t="s">
        <v>481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2:14" ht="103.5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87" t="s">
        <v>9</v>
      </c>
      <c r="F3" s="64" t="s">
        <v>7</v>
      </c>
      <c r="G3" s="81" t="s">
        <v>274</v>
      </c>
      <c r="H3" s="64" t="s">
        <v>2</v>
      </c>
      <c r="I3" s="64"/>
      <c r="J3" s="64"/>
      <c r="K3" s="64"/>
      <c r="L3" s="64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80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2:13" ht="15.75">
      <c r="B5" s="88" t="s">
        <v>40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2" t="s">
        <v>413</v>
      </c>
      <c r="B6" s="55" t="s">
        <v>423</v>
      </c>
      <c r="C6" s="52" t="s">
        <v>424</v>
      </c>
      <c r="D6" s="52" t="s">
        <v>427</v>
      </c>
      <c r="E6" s="52" t="str">
        <f>"0,5917"</f>
        <v>0,5917</v>
      </c>
      <c r="F6" s="52" t="s">
        <v>42</v>
      </c>
      <c r="G6" s="52" t="s">
        <v>425</v>
      </c>
      <c r="H6" s="31" t="s">
        <v>37</v>
      </c>
      <c r="I6" s="31" t="s">
        <v>43</v>
      </c>
      <c r="J6" s="61" t="s">
        <v>142</v>
      </c>
      <c r="K6" s="59"/>
      <c r="L6" s="57" t="s">
        <v>43</v>
      </c>
      <c r="M6" s="57" t="str">
        <f>"112,4135"</f>
        <v>112,4135</v>
      </c>
      <c r="N6" s="52" t="s">
        <v>299</v>
      </c>
    </row>
    <row r="7" spans="1:14" ht="12.75">
      <c r="A7" s="22" t="s">
        <v>413</v>
      </c>
      <c r="B7" s="56" t="s">
        <v>423</v>
      </c>
      <c r="C7" s="54" t="s">
        <v>426</v>
      </c>
      <c r="D7" s="54" t="s">
        <v>427</v>
      </c>
      <c r="E7" s="54" t="str">
        <f>"0,5917"</f>
        <v>0,5917</v>
      </c>
      <c r="F7" s="54" t="s">
        <v>42</v>
      </c>
      <c r="G7" s="54" t="s">
        <v>425</v>
      </c>
      <c r="H7" s="33" t="s">
        <v>37</v>
      </c>
      <c r="I7" s="33" t="s">
        <v>43</v>
      </c>
      <c r="J7" s="62" t="s">
        <v>142</v>
      </c>
      <c r="K7" s="60"/>
      <c r="L7" s="58" t="s">
        <v>43</v>
      </c>
      <c r="M7" s="58" t="str">
        <f>"112,4135"</f>
        <v>112,4135</v>
      </c>
      <c r="N7" s="54" t="s">
        <v>299</v>
      </c>
    </row>
  </sheetData>
  <sheetProtection/>
  <mergeCells count="13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A3:A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31" sqref="F31"/>
    </sheetView>
  </sheetViews>
  <sheetFormatPr defaultColWidth="8.75390625" defaultRowHeight="12.75"/>
  <cols>
    <col min="1" max="1" width="9.125" style="23" customWidth="1"/>
    <col min="2" max="2" width="20.00390625" style="8" customWidth="1"/>
    <col min="3" max="3" width="26.87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4.625" style="8" bestFit="1" customWidth="1"/>
    <col min="8" max="10" width="5.625" style="8" bestFit="1" customWidth="1"/>
    <col min="11" max="11" width="4.625" style="8" bestFit="1" customWidth="1"/>
    <col min="12" max="12" width="12.25390625" style="8" customWidth="1"/>
    <col min="13" max="13" width="8.625" style="8" bestFit="1" customWidth="1"/>
    <col min="14" max="14" width="15.125" style="8" bestFit="1" customWidth="1"/>
  </cols>
  <sheetData>
    <row r="1" spans="1:14" s="1" customFormat="1" ht="15" customHeight="1">
      <c r="A1" s="22"/>
      <c r="B1" s="71" t="s">
        <v>482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1" customFormat="1" ht="109.5" customHeight="1" thickBot="1">
      <c r="A2" s="22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87" t="s">
        <v>9</v>
      </c>
      <c r="F3" s="64" t="s">
        <v>7</v>
      </c>
      <c r="G3" s="81" t="s">
        <v>274</v>
      </c>
      <c r="H3" s="64" t="s">
        <v>2</v>
      </c>
      <c r="I3" s="64"/>
      <c r="J3" s="64"/>
      <c r="K3" s="64"/>
      <c r="L3" s="64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80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2:13" ht="15.75">
      <c r="B5" s="68" t="s">
        <v>69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3">
        <v>1</v>
      </c>
      <c r="B6" s="9" t="s">
        <v>414</v>
      </c>
      <c r="C6" s="9" t="s">
        <v>415</v>
      </c>
      <c r="D6" s="9" t="s">
        <v>420</v>
      </c>
      <c r="E6" s="9" t="str">
        <f>"1,1827"</f>
        <v>1,1827</v>
      </c>
      <c r="F6" s="9" t="s">
        <v>88</v>
      </c>
      <c r="G6" s="9" t="s">
        <v>297</v>
      </c>
      <c r="H6" s="30" t="s">
        <v>99</v>
      </c>
      <c r="I6" s="21" t="s">
        <v>104</v>
      </c>
      <c r="J6" s="21" t="s">
        <v>104</v>
      </c>
      <c r="K6" s="19"/>
      <c r="L6" s="20">
        <v>57.5</v>
      </c>
      <c r="M6" s="20" t="str">
        <f>"73,5817"</f>
        <v>73,5817</v>
      </c>
      <c r="N6" s="9" t="s">
        <v>305</v>
      </c>
    </row>
    <row r="8" spans="2:13" ht="15.75">
      <c r="B8" s="63" t="s">
        <v>93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2.75">
      <c r="A9" s="23">
        <v>1</v>
      </c>
      <c r="B9" s="10" t="s">
        <v>254</v>
      </c>
      <c r="C9" s="10" t="s">
        <v>255</v>
      </c>
      <c r="D9" s="10" t="s">
        <v>281</v>
      </c>
      <c r="E9" s="10" t="str">
        <f>"1,0575"</f>
        <v>1,0575</v>
      </c>
      <c r="F9" s="10" t="s">
        <v>416</v>
      </c>
      <c r="G9" s="10" t="s">
        <v>297</v>
      </c>
      <c r="H9" s="31" t="s">
        <v>76</v>
      </c>
      <c r="I9" s="35" t="s">
        <v>82</v>
      </c>
      <c r="J9" s="35" t="s">
        <v>82</v>
      </c>
      <c r="K9" s="25"/>
      <c r="L9" s="24">
        <v>47.5</v>
      </c>
      <c r="M9" s="24" t="str">
        <f>"50,2313"</f>
        <v>50,2313</v>
      </c>
      <c r="N9" s="10" t="s">
        <v>305</v>
      </c>
    </row>
    <row r="10" spans="1:14" ht="12.75">
      <c r="A10" s="23">
        <v>1</v>
      </c>
      <c r="B10" s="11" t="s">
        <v>106</v>
      </c>
      <c r="C10" s="11" t="s">
        <v>107</v>
      </c>
      <c r="D10" s="11" t="s">
        <v>82</v>
      </c>
      <c r="E10" s="11" t="str">
        <f>"1,0591"</f>
        <v>1,0591</v>
      </c>
      <c r="F10" s="11" t="s">
        <v>88</v>
      </c>
      <c r="G10" s="11" t="s">
        <v>89</v>
      </c>
      <c r="H10" s="33" t="s">
        <v>112</v>
      </c>
      <c r="I10" s="33" t="s">
        <v>119</v>
      </c>
      <c r="J10" s="34" t="s">
        <v>214</v>
      </c>
      <c r="K10" s="29"/>
      <c r="L10" s="28" t="s">
        <v>119</v>
      </c>
      <c r="M10" s="28" t="str">
        <f>"74,1370"</f>
        <v>74,1370</v>
      </c>
      <c r="N10" s="11" t="s">
        <v>305</v>
      </c>
    </row>
    <row r="12" spans="2:13" ht="15.75">
      <c r="B12" s="63" t="s">
        <v>31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4" ht="12.75">
      <c r="A13" s="23">
        <v>1</v>
      </c>
      <c r="B13" s="9" t="s">
        <v>123</v>
      </c>
      <c r="C13" s="9" t="s">
        <v>124</v>
      </c>
      <c r="D13" s="9" t="s">
        <v>287</v>
      </c>
      <c r="E13" s="9" t="str">
        <f>"0,8391"</f>
        <v>0,8391</v>
      </c>
      <c r="F13" s="9" t="s">
        <v>88</v>
      </c>
      <c r="G13" s="9" t="s">
        <v>422</v>
      </c>
      <c r="H13" s="30" t="s">
        <v>74</v>
      </c>
      <c r="I13" s="21" t="s">
        <v>85</v>
      </c>
      <c r="J13" s="21" t="s">
        <v>85</v>
      </c>
      <c r="K13" s="19"/>
      <c r="L13" s="20" t="s">
        <v>74</v>
      </c>
      <c r="M13" s="20" t="str">
        <f>"67,1280"</f>
        <v>67,1280</v>
      </c>
      <c r="N13" s="9" t="s">
        <v>305</v>
      </c>
    </row>
    <row r="15" spans="2:13" ht="15.75">
      <c r="B15" s="63" t="s">
        <v>18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4" ht="12.75">
      <c r="A16" s="23">
        <v>1</v>
      </c>
      <c r="B16" s="9" t="s">
        <v>133</v>
      </c>
      <c r="C16" s="9" t="s">
        <v>134</v>
      </c>
      <c r="D16" s="9" t="s">
        <v>104</v>
      </c>
      <c r="E16" s="9" t="str">
        <f>"0,7484"</f>
        <v>0,7484</v>
      </c>
      <c r="F16" s="9" t="s">
        <v>88</v>
      </c>
      <c r="G16" s="9" t="s">
        <v>89</v>
      </c>
      <c r="H16" s="30" t="s">
        <v>105</v>
      </c>
      <c r="I16" s="30" t="s">
        <v>146</v>
      </c>
      <c r="J16" s="21" t="s">
        <v>122</v>
      </c>
      <c r="K16" s="19"/>
      <c r="L16" s="20">
        <v>127.5</v>
      </c>
      <c r="M16" s="20" t="str">
        <f>"95,4210"</f>
        <v>95,4210</v>
      </c>
      <c r="N16" s="9" t="s">
        <v>305</v>
      </c>
    </row>
    <row r="18" spans="2:13" ht="15.75">
      <c r="B18" s="63" t="s">
        <v>157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4" ht="12.75">
      <c r="A19" s="23">
        <v>1</v>
      </c>
      <c r="B19" s="9" t="s">
        <v>172</v>
      </c>
      <c r="C19" s="9" t="s">
        <v>173</v>
      </c>
      <c r="D19" s="9" t="s">
        <v>275</v>
      </c>
      <c r="E19" s="9" t="str">
        <f>"0,6382"</f>
        <v>0,6382</v>
      </c>
      <c r="F19" s="9" t="s">
        <v>88</v>
      </c>
      <c r="G19" s="9" t="s">
        <v>89</v>
      </c>
      <c r="H19" s="30" t="s">
        <v>34</v>
      </c>
      <c r="I19" s="30" t="s">
        <v>262</v>
      </c>
      <c r="J19" s="19"/>
      <c r="K19" s="19"/>
      <c r="L19" s="20">
        <v>182.5</v>
      </c>
      <c r="M19" s="20" t="str">
        <f>"116,4715"</f>
        <v>116,4715</v>
      </c>
      <c r="N19" s="9" t="s">
        <v>277</v>
      </c>
    </row>
    <row r="21" spans="2:13" ht="15.75">
      <c r="B21" s="63" t="s">
        <v>40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4" ht="12.75">
      <c r="A22" s="23">
        <v>1</v>
      </c>
      <c r="B22" s="9" t="s">
        <v>159</v>
      </c>
      <c r="C22" s="9" t="s">
        <v>160</v>
      </c>
      <c r="D22" s="9" t="s">
        <v>421</v>
      </c>
      <c r="E22" s="9" t="str">
        <f>"0,6090"</f>
        <v>0,6090</v>
      </c>
      <c r="F22" s="9" t="s">
        <v>88</v>
      </c>
      <c r="G22" s="9" t="s">
        <v>89</v>
      </c>
      <c r="H22" s="30" t="s">
        <v>34</v>
      </c>
      <c r="I22" s="30" t="s">
        <v>37</v>
      </c>
      <c r="J22" s="21" t="s">
        <v>43</v>
      </c>
      <c r="K22" s="19"/>
      <c r="L22" s="20" t="s">
        <v>37</v>
      </c>
      <c r="M22" s="20" t="str">
        <f>"109,6110"</f>
        <v>109,6110</v>
      </c>
      <c r="N22" s="9" t="s">
        <v>305</v>
      </c>
    </row>
  </sheetData>
  <sheetProtection/>
  <mergeCells count="18">
    <mergeCell ref="B18:M18"/>
    <mergeCell ref="B21:M21"/>
    <mergeCell ref="M3:M4"/>
    <mergeCell ref="N3:N4"/>
    <mergeCell ref="B5:M5"/>
    <mergeCell ref="B8:M8"/>
    <mergeCell ref="B12:M12"/>
    <mergeCell ref="B15:M15"/>
    <mergeCell ref="B1:N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18" sqref="E18"/>
    </sheetView>
  </sheetViews>
  <sheetFormatPr defaultColWidth="8.75390625" defaultRowHeight="12.75"/>
  <cols>
    <col min="1" max="1" width="8.75390625" style="0" customWidth="1"/>
    <col min="2" max="2" width="26.00390625" style="8" bestFit="1" customWidth="1"/>
    <col min="3" max="3" width="25.875" style="8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3.125" style="8" customWidth="1"/>
    <col min="8" max="10" width="5.625" style="8" bestFit="1" customWidth="1"/>
    <col min="11" max="11" width="4.625" style="8" bestFit="1" customWidth="1"/>
    <col min="12" max="12" width="11.00390625" style="8" customWidth="1"/>
    <col min="13" max="13" width="8.625" style="8" bestFit="1" customWidth="1"/>
    <col min="14" max="14" width="19.875" style="8" bestFit="1" customWidth="1"/>
  </cols>
  <sheetData>
    <row r="1" spans="2:14" s="1" customFormat="1" ht="15" customHeight="1">
      <c r="B1" s="71" t="s">
        <v>483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2:14" s="1" customFormat="1" ht="144" customHeight="1" thickBot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2</v>
      </c>
      <c r="I3" s="64"/>
      <c r="J3" s="64"/>
      <c r="K3" s="64"/>
      <c r="L3" s="64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2:13" ht="15.75">
      <c r="B5" s="68" t="s">
        <v>157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3">
        <v>1</v>
      </c>
      <c r="B6" s="9" t="s">
        <v>325</v>
      </c>
      <c r="C6" s="9" t="s">
        <v>245</v>
      </c>
      <c r="D6" s="9" t="s">
        <v>77</v>
      </c>
      <c r="E6" s="9" t="str">
        <f>"0,6119"</f>
        <v>0,6119</v>
      </c>
      <c r="F6" s="9" t="s">
        <v>42</v>
      </c>
      <c r="G6" s="9" t="s">
        <v>89</v>
      </c>
      <c r="H6" s="30" t="s">
        <v>142</v>
      </c>
      <c r="I6" s="30" t="s">
        <v>246</v>
      </c>
      <c r="J6" s="30" t="s">
        <v>143</v>
      </c>
      <c r="K6" s="19"/>
      <c r="L6" s="20" t="s">
        <v>143</v>
      </c>
      <c r="M6" s="20" t="str">
        <f>"134,6070"</f>
        <v>134,6070</v>
      </c>
      <c r="N6" s="9" t="s">
        <v>247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E23" sqref="E23"/>
    </sheetView>
  </sheetViews>
  <sheetFormatPr defaultColWidth="8.75390625" defaultRowHeight="12.75"/>
  <cols>
    <col min="1" max="1" width="9.125" style="23" customWidth="1"/>
    <col min="2" max="2" width="26.375" style="8" bestFit="1" customWidth="1"/>
    <col min="3" max="3" width="26.87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34.625" style="8" bestFit="1" customWidth="1"/>
    <col min="8" max="10" width="5.625" style="8" bestFit="1" customWidth="1"/>
    <col min="11" max="11" width="4.625" style="8" bestFit="1" customWidth="1"/>
    <col min="12" max="12" width="12.375" style="41" customWidth="1"/>
    <col min="13" max="13" width="8.625" style="8" bestFit="1" customWidth="1"/>
    <col min="14" max="14" width="19.125" style="8" customWidth="1"/>
  </cols>
  <sheetData>
    <row r="1" spans="1:14" s="1" customFormat="1" ht="15" customHeight="1">
      <c r="A1" s="22"/>
      <c r="B1" s="71" t="s">
        <v>484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1" customFormat="1" ht="141.75" customHeight="1" thickBot="1">
      <c r="A2" s="22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2" customFormat="1" ht="12.75" customHeight="1">
      <c r="A3" s="69" t="s">
        <v>271</v>
      </c>
      <c r="B3" s="77" t="s">
        <v>0</v>
      </c>
      <c r="C3" s="79" t="s">
        <v>272</v>
      </c>
      <c r="D3" s="79" t="s">
        <v>273</v>
      </c>
      <c r="E3" s="64" t="s">
        <v>9</v>
      </c>
      <c r="F3" s="64" t="s">
        <v>7</v>
      </c>
      <c r="G3" s="81" t="s">
        <v>274</v>
      </c>
      <c r="H3" s="64" t="s">
        <v>2</v>
      </c>
      <c r="I3" s="64"/>
      <c r="J3" s="64"/>
      <c r="K3" s="64"/>
      <c r="L3" s="83" t="s">
        <v>278</v>
      </c>
      <c r="M3" s="64" t="s">
        <v>6</v>
      </c>
      <c r="N3" s="66" t="s">
        <v>5</v>
      </c>
    </row>
    <row r="4" spans="1:14" s="2" customFormat="1" ht="21" customHeight="1" thickBot="1">
      <c r="A4" s="70"/>
      <c r="B4" s="78"/>
      <c r="C4" s="80"/>
      <c r="D4" s="80"/>
      <c r="E4" s="65"/>
      <c r="F4" s="65"/>
      <c r="G4" s="82"/>
      <c r="H4" s="3">
        <v>1</v>
      </c>
      <c r="I4" s="3">
        <v>2</v>
      </c>
      <c r="J4" s="3">
        <v>3</v>
      </c>
      <c r="K4" s="3" t="s">
        <v>8</v>
      </c>
      <c r="L4" s="84"/>
      <c r="M4" s="65"/>
      <c r="N4" s="67"/>
    </row>
    <row r="5" spans="2:13" ht="15.75">
      <c r="B5" s="68" t="s">
        <v>69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3">
        <v>1</v>
      </c>
      <c r="B6" s="9" t="s">
        <v>197</v>
      </c>
      <c r="C6" s="9" t="s">
        <v>198</v>
      </c>
      <c r="D6" s="9" t="s">
        <v>338</v>
      </c>
      <c r="E6" s="9" t="str">
        <f>"1,1790"</f>
        <v>1,1790</v>
      </c>
      <c r="F6" s="9" t="s">
        <v>199</v>
      </c>
      <c r="G6" s="9" t="s">
        <v>297</v>
      </c>
      <c r="H6" s="30" t="s">
        <v>200</v>
      </c>
      <c r="I6" s="21" t="s">
        <v>16</v>
      </c>
      <c r="J6" s="21" t="s">
        <v>16</v>
      </c>
      <c r="K6" s="19"/>
      <c r="L6" s="37">
        <v>40</v>
      </c>
      <c r="M6" s="20" t="str">
        <f>"47,1600"</f>
        <v>47,1600</v>
      </c>
      <c r="N6" s="9" t="s">
        <v>360</v>
      </c>
    </row>
    <row r="8" spans="2:13" ht="15.75">
      <c r="B8" s="63" t="s">
        <v>79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2.75">
      <c r="A9" s="23">
        <v>1</v>
      </c>
      <c r="B9" s="9" t="s">
        <v>86</v>
      </c>
      <c r="C9" s="9" t="s">
        <v>87</v>
      </c>
      <c r="D9" s="9" t="s">
        <v>339</v>
      </c>
      <c r="E9" s="9" t="str">
        <f>"1,1076"</f>
        <v>1,1076</v>
      </c>
      <c r="F9" s="9" t="s">
        <v>88</v>
      </c>
      <c r="G9" s="9" t="s">
        <v>89</v>
      </c>
      <c r="H9" s="30" t="s">
        <v>82</v>
      </c>
      <c r="I9" s="19"/>
      <c r="J9" s="19"/>
      <c r="K9" s="19"/>
      <c r="L9" s="37">
        <v>55</v>
      </c>
      <c r="M9" s="20" t="str">
        <f>"60,9180"</f>
        <v>60,9180</v>
      </c>
      <c r="N9" s="9" t="s">
        <v>305</v>
      </c>
    </row>
    <row r="11" spans="2:13" ht="15.75">
      <c r="B11" s="63" t="s">
        <v>93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4" ht="12.75">
      <c r="A12" s="23">
        <v>1</v>
      </c>
      <c r="B12" s="10" t="s">
        <v>201</v>
      </c>
      <c r="C12" s="10" t="s">
        <v>202</v>
      </c>
      <c r="D12" s="10" t="s">
        <v>280</v>
      </c>
      <c r="E12" s="10" t="str">
        <f>"1,0701"</f>
        <v>1,0701</v>
      </c>
      <c r="F12" s="10" t="s">
        <v>42</v>
      </c>
      <c r="G12" s="10" t="s">
        <v>89</v>
      </c>
      <c r="H12" s="31" t="s">
        <v>76</v>
      </c>
      <c r="I12" s="31" t="s">
        <v>83</v>
      </c>
      <c r="J12" s="31" t="s">
        <v>98</v>
      </c>
      <c r="K12" s="25"/>
      <c r="L12" s="38">
        <v>52.5</v>
      </c>
      <c r="M12" s="24" t="str">
        <f>"56,1802"</f>
        <v>56,1802</v>
      </c>
      <c r="N12" s="10" t="s">
        <v>299</v>
      </c>
    </row>
    <row r="13" spans="1:14" ht="12.75">
      <c r="A13" s="23">
        <v>1</v>
      </c>
      <c r="B13" s="11" t="s">
        <v>326</v>
      </c>
      <c r="C13" s="11" t="s">
        <v>103</v>
      </c>
      <c r="D13" s="11" t="s">
        <v>340</v>
      </c>
      <c r="E13" s="11" t="str">
        <f>"1,0469"</f>
        <v>1,0469</v>
      </c>
      <c r="F13" s="11" t="s">
        <v>13</v>
      </c>
      <c r="G13" s="11" t="s">
        <v>89</v>
      </c>
      <c r="H13" s="33" t="s">
        <v>15</v>
      </c>
      <c r="I13" s="29"/>
      <c r="J13" s="29"/>
      <c r="K13" s="29"/>
      <c r="L13" s="40">
        <v>65</v>
      </c>
      <c r="M13" s="28" t="str">
        <f>"68,0485"</f>
        <v>68,0485</v>
      </c>
      <c r="N13" s="11" t="s">
        <v>299</v>
      </c>
    </row>
    <row r="15" spans="2:13" ht="15.75">
      <c r="B15" s="63" t="s">
        <v>10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4" ht="12.75">
      <c r="A16" s="23">
        <v>1</v>
      </c>
      <c r="B16" s="9" t="s">
        <v>310</v>
      </c>
      <c r="C16" s="9" t="s">
        <v>12</v>
      </c>
      <c r="D16" s="9" t="s">
        <v>283</v>
      </c>
      <c r="E16" s="9" t="str">
        <f>"0,9984"</f>
        <v>0,9984</v>
      </c>
      <c r="F16" s="9" t="s">
        <v>13</v>
      </c>
      <c r="G16" s="9" t="s">
        <v>89</v>
      </c>
      <c r="H16" s="30" t="s">
        <v>200</v>
      </c>
      <c r="I16" s="30" t="s">
        <v>75</v>
      </c>
      <c r="J16" s="30" t="s">
        <v>16</v>
      </c>
      <c r="K16" s="19"/>
      <c r="L16" s="37">
        <v>45</v>
      </c>
      <c r="M16" s="20" t="str">
        <f>"44,9258"</f>
        <v>44,9258</v>
      </c>
      <c r="N16" s="9" t="s">
        <v>301</v>
      </c>
    </row>
    <row r="18" spans="2:13" ht="15.75">
      <c r="B18" s="63" t="s">
        <v>31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4" ht="12.75">
      <c r="A19" s="23">
        <v>1</v>
      </c>
      <c r="B19" s="9" t="s">
        <v>117</v>
      </c>
      <c r="C19" s="9" t="s">
        <v>118</v>
      </c>
      <c r="D19" s="9" t="s">
        <v>286</v>
      </c>
      <c r="E19" s="9" t="str">
        <f>"0,8620"</f>
        <v>0,8620</v>
      </c>
      <c r="F19" s="9" t="s">
        <v>42</v>
      </c>
      <c r="G19" s="9" t="s">
        <v>192</v>
      </c>
      <c r="H19" s="30" t="s">
        <v>120</v>
      </c>
      <c r="I19" s="19"/>
      <c r="J19" s="19"/>
      <c r="K19" s="19"/>
      <c r="L19" s="37">
        <v>72.5</v>
      </c>
      <c r="M19" s="20" t="str">
        <f>"62,4986"</f>
        <v>62,4986</v>
      </c>
      <c r="N19" s="9" t="s">
        <v>361</v>
      </c>
    </row>
    <row r="21" spans="2:13" ht="15.75">
      <c r="B21" s="63" t="s">
        <v>18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4" ht="12.75">
      <c r="A22" s="23">
        <v>1</v>
      </c>
      <c r="B22" s="10" t="s">
        <v>203</v>
      </c>
      <c r="C22" s="10" t="s">
        <v>204</v>
      </c>
      <c r="D22" s="10" t="s">
        <v>341</v>
      </c>
      <c r="E22" s="10" t="str">
        <f>"0,7743"</f>
        <v>0,7743</v>
      </c>
      <c r="F22" s="10" t="s">
        <v>42</v>
      </c>
      <c r="G22" s="10" t="s">
        <v>89</v>
      </c>
      <c r="H22" s="31" t="s">
        <v>36</v>
      </c>
      <c r="I22" s="31" t="s">
        <v>20</v>
      </c>
      <c r="J22" s="35" t="s">
        <v>21</v>
      </c>
      <c r="K22" s="25"/>
      <c r="L22" s="38">
        <v>120</v>
      </c>
      <c r="M22" s="24" t="str">
        <f>"92,9160"</f>
        <v>92,9160</v>
      </c>
      <c r="N22" s="10" t="s">
        <v>299</v>
      </c>
    </row>
    <row r="23" spans="1:14" ht="12.75">
      <c r="A23" s="23">
        <v>1</v>
      </c>
      <c r="B23" s="11" t="s">
        <v>219</v>
      </c>
      <c r="C23" s="11" t="s">
        <v>206</v>
      </c>
      <c r="D23" s="11" t="s">
        <v>291</v>
      </c>
      <c r="E23" s="11" t="str">
        <f>"0,7610"</f>
        <v>0,7610</v>
      </c>
      <c r="F23" s="11" t="s">
        <v>42</v>
      </c>
      <c r="G23" s="11" t="s">
        <v>207</v>
      </c>
      <c r="H23" s="33" t="s">
        <v>17</v>
      </c>
      <c r="I23" s="33" t="s">
        <v>96</v>
      </c>
      <c r="J23" s="29"/>
      <c r="K23" s="29"/>
      <c r="L23" s="40">
        <v>107.5</v>
      </c>
      <c r="M23" s="28" t="str">
        <f>"81,8021"</f>
        <v>81,8021</v>
      </c>
      <c r="N23" s="11" t="s">
        <v>299</v>
      </c>
    </row>
    <row r="25" spans="2:13" ht="15.75">
      <c r="B25" s="63" t="s">
        <v>31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4" ht="12.75">
      <c r="A26" s="23">
        <v>1</v>
      </c>
      <c r="B26" s="10" t="s">
        <v>327</v>
      </c>
      <c r="C26" s="10" t="s">
        <v>209</v>
      </c>
      <c r="D26" s="10" t="s">
        <v>342</v>
      </c>
      <c r="E26" s="10" t="str">
        <f>"0,6955"</f>
        <v>0,6955</v>
      </c>
      <c r="F26" s="10" t="s">
        <v>210</v>
      </c>
      <c r="G26" s="10" t="s">
        <v>89</v>
      </c>
      <c r="H26" s="31" t="s">
        <v>100</v>
      </c>
      <c r="I26" s="31" t="s">
        <v>44</v>
      </c>
      <c r="J26" s="35" t="s">
        <v>24</v>
      </c>
      <c r="K26" s="25"/>
      <c r="L26" s="38">
        <v>150</v>
      </c>
      <c r="M26" s="24" t="str">
        <f>"104,3175"</f>
        <v>104,3175</v>
      </c>
      <c r="N26" s="10" t="s">
        <v>362</v>
      </c>
    </row>
    <row r="27" spans="1:14" ht="12.75">
      <c r="A27" s="23">
        <v>1</v>
      </c>
      <c r="B27" s="12" t="s">
        <v>208</v>
      </c>
      <c r="C27" s="12" t="s">
        <v>211</v>
      </c>
      <c r="D27" s="12" t="s">
        <v>287</v>
      </c>
      <c r="E27" s="12" t="str">
        <f>"0,6913"</f>
        <v>0,6913</v>
      </c>
      <c r="F27" s="12" t="s">
        <v>210</v>
      </c>
      <c r="G27" s="12" t="s">
        <v>89</v>
      </c>
      <c r="H27" s="32" t="s">
        <v>100</v>
      </c>
      <c r="I27" s="32" t="s">
        <v>44</v>
      </c>
      <c r="J27" s="36" t="s">
        <v>24</v>
      </c>
      <c r="K27" s="26"/>
      <c r="L27" s="39">
        <v>150</v>
      </c>
      <c r="M27" s="27" t="str">
        <f>"103,6875"</f>
        <v>103,6875</v>
      </c>
      <c r="N27" s="12" t="s">
        <v>362</v>
      </c>
    </row>
    <row r="28" spans="1:14" ht="12.75">
      <c r="A28" s="23">
        <v>2</v>
      </c>
      <c r="B28" s="11" t="s">
        <v>212</v>
      </c>
      <c r="C28" s="11" t="s">
        <v>213</v>
      </c>
      <c r="D28" s="11" t="s">
        <v>343</v>
      </c>
      <c r="E28" s="11" t="str">
        <f>"0,7221"</f>
        <v>0,7221</v>
      </c>
      <c r="F28" s="11" t="s">
        <v>42</v>
      </c>
      <c r="G28" s="11" t="s">
        <v>89</v>
      </c>
      <c r="H28" s="33" t="s">
        <v>73</v>
      </c>
      <c r="I28" s="34" t="s">
        <v>214</v>
      </c>
      <c r="J28" s="34" t="s">
        <v>214</v>
      </c>
      <c r="K28" s="29"/>
      <c r="L28" s="40">
        <v>75</v>
      </c>
      <c r="M28" s="28" t="str">
        <f>"54,1575"</f>
        <v>54,1575</v>
      </c>
      <c r="N28" s="11" t="s">
        <v>299</v>
      </c>
    </row>
    <row r="30" spans="2:13" ht="15.75">
      <c r="B30" s="63" t="s">
        <v>138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2:14" ht="12.75">
      <c r="B31" s="10" t="s">
        <v>215</v>
      </c>
      <c r="C31" s="10" t="s">
        <v>216</v>
      </c>
      <c r="D31" s="10" t="s">
        <v>344</v>
      </c>
      <c r="E31" s="10" t="str">
        <f>"0,6524"</f>
        <v>0,6524</v>
      </c>
      <c r="F31" s="10" t="s">
        <v>210</v>
      </c>
      <c r="G31" s="10" t="s">
        <v>89</v>
      </c>
      <c r="H31" s="35" t="s">
        <v>23</v>
      </c>
      <c r="I31" s="35" t="s">
        <v>23</v>
      </c>
      <c r="J31" s="35" t="s">
        <v>23</v>
      </c>
      <c r="K31" s="25"/>
      <c r="L31" s="45">
        <v>0</v>
      </c>
      <c r="M31" s="24" t="s">
        <v>276</v>
      </c>
      <c r="N31" s="10" t="s">
        <v>362</v>
      </c>
    </row>
    <row r="32" spans="1:14" ht="12.75">
      <c r="A32" s="23">
        <v>1</v>
      </c>
      <c r="B32" s="12" t="s">
        <v>151</v>
      </c>
      <c r="C32" s="12" t="s">
        <v>152</v>
      </c>
      <c r="D32" s="12" t="s">
        <v>345</v>
      </c>
      <c r="E32" s="12" t="str">
        <f>"0,6471"</f>
        <v>0,6471</v>
      </c>
      <c r="F32" s="12" t="s">
        <v>42</v>
      </c>
      <c r="G32" s="12" t="s">
        <v>89</v>
      </c>
      <c r="H32" s="32" t="s">
        <v>24</v>
      </c>
      <c r="I32" s="26"/>
      <c r="J32" s="26"/>
      <c r="K32" s="26"/>
      <c r="L32" s="39">
        <v>155</v>
      </c>
      <c r="M32" s="27" t="str">
        <f>"100,3082"</f>
        <v>100,3082</v>
      </c>
      <c r="N32" s="12" t="s">
        <v>299</v>
      </c>
    </row>
    <row r="33" spans="1:14" ht="12.75">
      <c r="A33" s="23">
        <v>2</v>
      </c>
      <c r="B33" s="12" t="s">
        <v>154</v>
      </c>
      <c r="C33" s="12" t="s">
        <v>155</v>
      </c>
      <c r="D33" s="12" t="s">
        <v>346</v>
      </c>
      <c r="E33" s="12" t="str">
        <f>"0,6557"</f>
        <v>0,6557</v>
      </c>
      <c r="F33" s="12" t="s">
        <v>88</v>
      </c>
      <c r="G33" s="12" t="s">
        <v>89</v>
      </c>
      <c r="H33" s="32" t="s">
        <v>44</v>
      </c>
      <c r="I33" s="26"/>
      <c r="J33" s="26"/>
      <c r="K33" s="26"/>
      <c r="L33" s="39">
        <v>150</v>
      </c>
      <c r="M33" s="27" t="str">
        <f>"98,3475"</f>
        <v>98,3475</v>
      </c>
      <c r="N33" s="12" t="s">
        <v>363</v>
      </c>
    </row>
    <row r="34" spans="1:14" ht="12.75">
      <c r="A34" s="23">
        <v>3</v>
      </c>
      <c r="B34" s="12" t="s">
        <v>217</v>
      </c>
      <c r="C34" s="12" t="s">
        <v>218</v>
      </c>
      <c r="D34" s="12" t="s">
        <v>294</v>
      </c>
      <c r="E34" s="12" t="str">
        <f>"0,6487"</f>
        <v>0,6487</v>
      </c>
      <c r="F34" s="12" t="s">
        <v>42</v>
      </c>
      <c r="G34" s="12" t="s">
        <v>207</v>
      </c>
      <c r="H34" s="32" t="s">
        <v>121</v>
      </c>
      <c r="I34" s="36" t="s">
        <v>122</v>
      </c>
      <c r="J34" s="32" t="s">
        <v>122</v>
      </c>
      <c r="K34" s="26"/>
      <c r="L34" s="39">
        <v>135</v>
      </c>
      <c r="M34" s="27" t="str">
        <f>"87,5745"</f>
        <v>87,5745</v>
      </c>
      <c r="N34" s="12" t="s">
        <v>364</v>
      </c>
    </row>
    <row r="35" spans="1:14" ht="12.75">
      <c r="A35" s="23">
        <v>1</v>
      </c>
      <c r="B35" s="11" t="s">
        <v>328</v>
      </c>
      <c r="C35" s="11" t="s">
        <v>221</v>
      </c>
      <c r="D35" s="11" t="s">
        <v>347</v>
      </c>
      <c r="E35" s="11" t="str">
        <f>"0,6518"</f>
        <v>0,6518</v>
      </c>
      <c r="F35" s="11" t="s">
        <v>42</v>
      </c>
      <c r="G35" s="11" t="s">
        <v>89</v>
      </c>
      <c r="H35" s="33" t="s">
        <v>44</v>
      </c>
      <c r="I35" s="34" t="s">
        <v>25</v>
      </c>
      <c r="J35" s="34" t="s">
        <v>25</v>
      </c>
      <c r="K35" s="29"/>
      <c r="L35" s="40">
        <v>150</v>
      </c>
      <c r="M35" s="28" t="str">
        <f>"101,9819"</f>
        <v>101,9819</v>
      </c>
      <c r="N35" s="11" t="s">
        <v>299</v>
      </c>
    </row>
    <row r="37" spans="2:13" ht="15.75">
      <c r="B37" s="63" t="s">
        <v>157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4" ht="12.75">
      <c r="A38" s="23">
        <v>1</v>
      </c>
      <c r="B38" s="10" t="s">
        <v>222</v>
      </c>
      <c r="C38" s="10" t="s">
        <v>223</v>
      </c>
      <c r="D38" s="10" t="s">
        <v>348</v>
      </c>
      <c r="E38" s="10" t="str">
        <f>"0,6290"</f>
        <v>0,6290</v>
      </c>
      <c r="F38" s="10" t="s">
        <v>42</v>
      </c>
      <c r="G38" s="10" t="s">
        <v>297</v>
      </c>
      <c r="H38" s="31" t="s">
        <v>22</v>
      </c>
      <c r="I38" s="31" t="s">
        <v>125</v>
      </c>
      <c r="J38" s="31" t="s">
        <v>100</v>
      </c>
      <c r="K38" s="25"/>
      <c r="L38" s="38">
        <v>140</v>
      </c>
      <c r="M38" s="24" t="str">
        <f>"88,0600"</f>
        <v>88,0600</v>
      </c>
      <c r="N38" s="10" t="s">
        <v>299</v>
      </c>
    </row>
    <row r="39" spans="1:14" ht="12.75">
      <c r="A39" s="23">
        <v>1</v>
      </c>
      <c r="B39" s="12" t="s">
        <v>329</v>
      </c>
      <c r="C39" s="12" t="s">
        <v>224</v>
      </c>
      <c r="D39" s="12" t="s">
        <v>349</v>
      </c>
      <c r="E39" s="12" t="str">
        <f>"0,6169"</f>
        <v>0,6169</v>
      </c>
      <c r="F39" s="12" t="s">
        <v>225</v>
      </c>
      <c r="G39" s="12" t="s">
        <v>89</v>
      </c>
      <c r="H39" s="32" t="s">
        <v>25</v>
      </c>
      <c r="I39" s="36" t="s">
        <v>34</v>
      </c>
      <c r="J39" s="36" t="s">
        <v>128</v>
      </c>
      <c r="K39" s="26"/>
      <c r="L39" s="39">
        <v>160</v>
      </c>
      <c r="M39" s="27" t="str">
        <f>"98,6960"</f>
        <v>98,6960</v>
      </c>
      <c r="N39" s="12" t="s">
        <v>299</v>
      </c>
    </row>
    <row r="40" spans="1:14" ht="12.75">
      <c r="A40" s="23">
        <v>2</v>
      </c>
      <c r="B40" s="12" t="s">
        <v>330</v>
      </c>
      <c r="C40" s="12" t="s">
        <v>226</v>
      </c>
      <c r="D40" s="12" t="s">
        <v>350</v>
      </c>
      <c r="E40" s="12" t="str">
        <f>"0,6165"</f>
        <v>0,6165</v>
      </c>
      <c r="F40" s="12" t="s">
        <v>227</v>
      </c>
      <c r="G40" s="12" t="s">
        <v>89</v>
      </c>
      <c r="H40" s="32" t="s">
        <v>23</v>
      </c>
      <c r="I40" s="36" t="s">
        <v>114</v>
      </c>
      <c r="J40" s="36" t="s">
        <v>114</v>
      </c>
      <c r="K40" s="26"/>
      <c r="L40" s="39">
        <v>145</v>
      </c>
      <c r="M40" s="27" t="str">
        <f>"89,3853"</f>
        <v>89,3853</v>
      </c>
      <c r="N40" s="12" t="s">
        <v>365</v>
      </c>
    </row>
    <row r="41" spans="1:14" ht="12.75">
      <c r="A41" s="23">
        <v>3</v>
      </c>
      <c r="B41" s="11" t="s">
        <v>228</v>
      </c>
      <c r="C41" s="11" t="s">
        <v>229</v>
      </c>
      <c r="D41" s="11" t="s">
        <v>351</v>
      </c>
      <c r="E41" s="11" t="str">
        <f>"0,6157"</f>
        <v>0,6157</v>
      </c>
      <c r="F41" s="11" t="s">
        <v>42</v>
      </c>
      <c r="G41" s="11" t="s">
        <v>89</v>
      </c>
      <c r="H41" s="33" t="s">
        <v>20</v>
      </c>
      <c r="I41" s="33" t="s">
        <v>22</v>
      </c>
      <c r="J41" s="34" t="s">
        <v>122</v>
      </c>
      <c r="K41" s="29"/>
      <c r="L41" s="40">
        <v>132.5</v>
      </c>
      <c r="M41" s="28" t="str">
        <f>"81,5803"</f>
        <v>81,5803</v>
      </c>
      <c r="N41" s="11" t="s">
        <v>299</v>
      </c>
    </row>
    <row r="43" spans="2:13" ht="15.75">
      <c r="B43" s="63" t="s">
        <v>40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4" ht="12.75">
      <c r="A44" s="23">
        <v>1</v>
      </c>
      <c r="B44" s="10" t="s">
        <v>230</v>
      </c>
      <c r="C44" s="10" t="s">
        <v>231</v>
      </c>
      <c r="D44" s="10" t="s">
        <v>352</v>
      </c>
      <c r="E44" s="10" t="str">
        <f>"0,5882"</f>
        <v>0,5882</v>
      </c>
      <c r="F44" s="10" t="s">
        <v>210</v>
      </c>
      <c r="G44" s="10" t="s">
        <v>89</v>
      </c>
      <c r="H44" s="31" t="s">
        <v>100</v>
      </c>
      <c r="I44" s="31" t="s">
        <v>44</v>
      </c>
      <c r="J44" s="35" t="s">
        <v>25</v>
      </c>
      <c r="K44" s="25"/>
      <c r="L44" s="38">
        <v>150</v>
      </c>
      <c r="M44" s="24" t="str">
        <f>"88,2375"</f>
        <v>88,2375</v>
      </c>
      <c r="N44" s="10" t="s">
        <v>362</v>
      </c>
    </row>
    <row r="45" spans="1:14" ht="12.75">
      <c r="A45" s="23">
        <v>1</v>
      </c>
      <c r="B45" s="12" t="s">
        <v>232</v>
      </c>
      <c r="C45" s="12" t="s">
        <v>233</v>
      </c>
      <c r="D45" s="12" t="s">
        <v>353</v>
      </c>
      <c r="E45" s="12" t="str">
        <f>"0,5875"</f>
        <v>0,5875</v>
      </c>
      <c r="F45" s="12" t="s">
        <v>81</v>
      </c>
      <c r="G45" s="12" t="s">
        <v>89</v>
      </c>
      <c r="H45" s="32" t="s">
        <v>37</v>
      </c>
      <c r="I45" s="32" t="s">
        <v>140</v>
      </c>
      <c r="J45" s="32" t="s">
        <v>234</v>
      </c>
      <c r="K45" s="26"/>
      <c r="L45" s="39">
        <v>187.5</v>
      </c>
      <c r="M45" s="27" t="str">
        <f>"110,1469"</f>
        <v>110,1469</v>
      </c>
      <c r="N45" s="12" t="s">
        <v>366</v>
      </c>
    </row>
    <row r="46" spans="1:14" ht="12.75">
      <c r="A46" s="23">
        <v>2</v>
      </c>
      <c r="B46" s="12" t="s">
        <v>331</v>
      </c>
      <c r="C46" s="12" t="s">
        <v>235</v>
      </c>
      <c r="D46" s="12" t="s">
        <v>354</v>
      </c>
      <c r="E46" s="12" t="str">
        <f>"0,5838"</f>
        <v>0,5838</v>
      </c>
      <c r="F46" s="12" t="s">
        <v>42</v>
      </c>
      <c r="G46" s="12" t="s">
        <v>236</v>
      </c>
      <c r="H46" s="32" t="s">
        <v>237</v>
      </c>
      <c r="I46" s="32" t="s">
        <v>34</v>
      </c>
      <c r="J46" s="36" t="s">
        <v>128</v>
      </c>
      <c r="K46" s="26"/>
      <c r="L46" s="39">
        <v>170</v>
      </c>
      <c r="M46" s="27" t="str">
        <f>"99,2460"</f>
        <v>99,2460</v>
      </c>
      <c r="N46" s="12" t="s">
        <v>299</v>
      </c>
    </row>
    <row r="47" spans="1:14" ht="12.75">
      <c r="A47" s="23">
        <v>3</v>
      </c>
      <c r="B47" s="12" t="s">
        <v>332</v>
      </c>
      <c r="C47" s="12" t="s">
        <v>238</v>
      </c>
      <c r="D47" s="12" t="s">
        <v>355</v>
      </c>
      <c r="E47" s="12" t="str">
        <f>"0,5935"</f>
        <v>0,5935</v>
      </c>
      <c r="F47" s="12" t="s">
        <v>81</v>
      </c>
      <c r="G47" s="12" t="s">
        <v>89</v>
      </c>
      <c r="H47" s="32" t="s">
        <v>122</v>
      </c>
      <c r="I47" s="36" t="s">
        <v>100</v>
      </c>
      <c r="J47" s="36" t="s">
        <v>100</v>
      </c>
      <c r="K47" s="26"/>
      <c r="L47" s="39">
        <v>135</v>
      </c>
      <c r="M47" s="27" t="str">
        <f>"80,1158"</f>
        <v>80,1158</v>
      </c>
      <c r="N47" s="12" t="s">
        <v>299</v>
      </c>
    </row>
    <row r="48" spans="1:14" ht="12.75">
      <c r="A48" s="23">
        <v>4</v>
      </c>
      <c r="B48" s="11" t="s">
        <v>333</v>
      </c>
      <c r="C48" s="11" t="s">
        <v>239</v>
      </c>
      <c r="D48" s="11" t="s">
        <v>356</v>
      </c>
      <c r="E48" s="11" t="str">
        <f>"0,5821"</f>
        <v>0,5821</v>
      </c>
      <c r="F48" s="11" t="s">
        <v>13</v>
      </c>
      <c r="G48" s="11" t="s">
        <v>89</v>
      </c>
      <c r="H48" s="33" t="s">
        <v>20</v>
      </c>
      <c r="I48" s="33" t="s">
        <v>121</v>
      </c>
      <c r="J48" s="34" t="s">
        <v>100</v>
      </c>
      <c r="K48" s="29"/>
      <c r="L48" s="40">
        <v>130</v>
      </c>
      <c r="M48" s="28" t="str">
        <f>"75,6665"</f>
        <v>75,6665</v>
      </c>
      <c r="N48" s="11" t="s">
        <v>367</v>
      </c>
    </row>
    <row r="50" spans="2:13" ht="15.75">
      <c r="B50" s="63" t="s">
        <v>184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4" ht="12.75">
      <c r="A51" s="23">
        <v>1</v>
      </c>
      <c r="B51" s="10" t="s">
        <v>334</v>
      </c>
      <c r="C51" s="10" t="s">
        <v>240</v>
      </c>
      <c r="D51" s="10" t="s">
        <v>97</v>
      </c>
      <c r="E51" s="10" t="str">
        <f>"0,5625"</f>
        <v>0,5625</v>
      </c>
      <c r="F51" s="10" t="s">
        <v>81</v>
      </c>
      <c r="G51" s="10" t="s">
        <v>89</v>
      </c>
      <c r="H51" s="31" t="s">
        <v>23</v>
      </c>
      <c r="I51" s="31" t="s">
        <v>44</v>
      </c>
      <c r="J51" s="31" t="s">
        <v>24</v>
      </c>
      <c r="K51" s="25"/>
      <c r="L51" s="38">
        <v>155</v>
      </c>
      <c r="M51" s="24" t="str">
        <f>"87,1875"</f>
        <v>87,1875</v>
      </c>
      <c r="N51" s="10" t="s">
        <v>366</v>
      </c>
    </row>
    <row r="52" spans="1:14" ht="12.75">
      <c r="A52" s="23">
        <v>2</v>
      </c>
      <c r="B52" s="11" t="s">
        <v>335</v>
      </c>
      <c r="C52" s="11" t="s">
        <v>241</v>
      </c>
      <c r="D52" s="11" t="s">
        <v>357</v>
      </c>
      <c r="E52" s="11" t="str">
        <f>"0,5701"</f>
        <v>0,5701</v>
      </c>
      <c r="F52" s="11" t="s">
        <v>42</v>
      </c>
      <c r="G52" s="11" t="s">
        <v>89</v>
      </c>
      <c r="H52" s="33" t="s">
        <v>100</v>
      </c>
      <c r="I52" s="34" t="s">
        <v>23</v>
      </c>
      <c r="J52" s="33" t="s">
        <v>23</v>
      </c>
      <c r="K52" s="29"/>
      <c r="L52" s="40">
        <v>145</v>
      </c>
      <c r="M52" s="28" t="str">
        <f>"83,4911"</f>
        <v>83,4911</v>
      </c>
      <c r="N52" s="11" t="s">
        <v>299</v>
      </c>
    </row>
    <row r="54" spans="2:3" ht="18">
      <c r="B54" s="13" t="s">
        <v>56</v>
      </c>
      <c r="C54" s="13"/>
    </row>
    <row r="55" spans="2:3" ht="15.75">
      <c r="B55" s="14" t="s">
        <v>65</v>
      </c>
      <c r="C55" s="14"/>
    </row>
    <row r="56" spans="2:3" ht="13.5">
      <c r="B56" s="16"/>
      <c r="C56" s="17" t="s">
        <v>475</v>
      </c>
    </row>
    <row r="57" spans="2:6" ht="13.5">
      <c r="B57" s="18" t="s">
        <v>59</v>
      </c>
      <c r="C57" s="18" t="s">
        <v>60</v>
      </c>
      <c r="D57" s="18" t="s">
        <v>61</v>
      </c>
      <c r="E57" s="18" t="s">
        <v>62</v>
      </c>
      <c r="F57" s="18" t="s">
        <v>63</v>
      </c>
    </row>
    <row r="58" spans="1:6" ht="12.75">
      <c r="A58" s="23">
        <v>1</v>
      </c>
      <c r="B58" s="15" t="s">
        <v>232</v>
      </c>
      <c r="C58" s="43" t="s">
        <v>58</v>
      </c>
      <c r="D58" s="44" t="s">
        <v>358</v>
      </c>
      <c r="E58" s="44" t="s">
        <v>234</v>
      </c>
      <c r="F58" s="44" t="s">
        <v>242</v>
      </c>
    </row>
    <row r="59" spans="1:6" ht="12.75">
      <c r="A59" s="23">
        <v>2</v>
      </c>
      <c r="B59" s="15" t="s">
        <v>208</v>
      </c>
      <c r="C59" s="43" t="s">
        <v>58</v>
      </c>
      <c r="D59" s="44" t="s">
        <v>337</v>
      </c>
      <c r="E59" s="44" t="s">
        <v>44</v>
      </c>
      <c r="F59" s="44" t="s">
        <v>243</v>
      </c>
    </row>
    <row r="60" spans="1:6" ht="12.75">
      <c r="A60" s="23">
        <v>3</v>
      </c>
      <c r="B60" s="15" t="s">
        <v>151</v>
      </c>
      <c r="C60" s="43" t="s">
        <v>58</v>
      </c>
      <c r="D60" s="44" t="s">
        <v>359</v>
      </c>
      <c r="E60" s="44" t="s">
        <v>24</v>
      </c>
      <c r="F60" s="44" t="s">
        <v>244</v>
      </c>
    </row>
  </sheetData>
  <sheetProtection/>
  <mergeCells count="23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  <mergeCell ref="B43:M43"/>
    <mergeCell ref="B50:M50"/>
    <mergeCell ref="B15:M15"/>
    <mergeCell ref="B18:M18"/>
    <mergeCell ref="B21:M21"/>
    <mergeCell ref="B25:M25"/>
    <mergeCell ref="B30:M30"/>
    <mergeCell ref="B37:M3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2016-05-02T13:25:02Z</dcterms:modified>
  <cp:category/>
  <cp:version/>
  <cp:contentType/>
  <cp:contentStatus/>
</cp:coreProperties>
</file>