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340" windowHeight="9700" activeTab="0"/>
  </bookViews>
  <sheets>
    <sheet name="Становая тяга без экипировки ДК" sheetId="1" r:id="rId1"/>
    <sheet name="Становая тяга без экипировки" sheetId="2" r:id="rId2"/>
    <sheet name="Народный жим 1 вес  ДК" sheetId="3" r:id="rId3"/>
    <sheet name="Народный жим 1 вес" sheetId="4" r:id="rId4"/>
    <sheet name="Народный жим 1_2 вес ДК" sheetId="5" r:id="rId5"/>
    <sheet name="Жим лежа СФО" sheetId="6" r:id="rId6"/>
    <sheet name="Жим лежа без экипировки ДК" sheetId="7" r:id="rId7"/>
    <sheet name="Жим лежа без экипировки" sheetId="8" r:id="rId8"/>
    <sheet name="Пауэрлифтинг в бинтах ДК" sheetId="9" r:id="rId9"/>
    <sheet name="Пауэрлифтинг в бинтах" sheetId="10" r:id="rId10"/>
  </sheets>
  <definedNames/>
  <calcPr fullCalcOnLoad="1" refMode="R1C1"/>
</workbook>
</file>

<file path=xl/sharedStrings.xml><?xml version="1.0" encoding="utf-8"?>
<sst xmlns="http://schemas.openxmlformats.org/spreadsheetml/2006/main" count="1455" uniqueCount="563">
  <si>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</si>
  <si>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</si>
  <si>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</si>
  <si>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</si>
  <si>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</si>
  <si>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</si>
  <si>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</si>
  <si>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</si>
  <si>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</si>
  <si>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</si>
  <si>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</si>
  <si>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Каразия Сергей</t>
  </si>
  <si>
    <t>Open (30.11.1987)/28</t>
  </si>
  <si>
    <t>60,60</t>
  </si>
  <si>
    <t xml:space="preserve">Серпухов/Московская область </t>
  </si>
  <si>
    <t>150,0</t>
  </si>
  <si>
    <t>155,0</t>
  </si>
  <si>
    <t>157,5</t>
  </si>
  <si>
    <t>165,0</t>
  </si>
  <si>
    <t>ВЕСОВАЯ КАТЕГОРИЯ   82.5</t>
  </si>
  <si>
    <t>Чаров Михаил</t>
  </si>
  <si>
    <t>Open (01.02.1989)/27</t>
  </si>
  <si>
    <t>78,10</t>
  </si>
  <si>
    <t xml:space="preserve">Лично </t>
  </si>
  <si>
    <t xml:space="preserve">Москва </t>
  </si>
  <si>
    <t>132,5</t>
  </si>
  <si>
    <t>142,5</t>
  </si>
  <si>
    <t>ВЕСОВАЯ КАТЕГОРИЯ   90</t>
  </si>
  <si>
    <t>Самусенков Иван</t>
  </si>
  <si>
    <t>Juniors 20-23 (22.03.1993)/22</t>
  </si>
  <si>
    <t>89,40</t>
  </si>
  <si>
    <t>170,0</t>
  </si>
  <si>
    <t>180,0</t>
  </si>
  <si>
    <t>195,0</t>
  </si>
  <si>
    <t>Новиков Роберт</t>
  </si>
  <si>
    <t>Open (15.08.1989)/26</t>
  </si>
  <si>
    <t>89,60</t>
  </si>
  <si>
    <t>175,0</t>
  </si>
  <si>
    <t>Кузаков Константин</t>
  </si>
  <si>
    <t>Open (03.05.1985)/30</t>
  </si>
  <si>
    <t>85,30</t>
  </si>
  <si>
    <t xml:space="preserve">Конаково/Тверская область </t>
  </si>
  <si>
    <t>140,0</t>
  </si>
  <si>
    <t>147,5</t>
  </si>
  <si>
    <t>ВЕСОВАЯ КАТЕГОРИЯ   100</t>
  </si>
  <si>
    <t>Свинцов Максим</t>
  </si>
  <si>
    <t>Open (08.11.1987)/28</t>
  </si>
  <si>
    <t>98,10</t>
  </si>
  <si>
    <t>210,0</t>
  </si>
  <si>
    <t>220,0</t>
  </si>
  <si>
    <t>230,0</t>
  </si>
  <si>
    <t>Чмиревский Михаил</t>
  </si>
  <si>
    <t>Open (18.01.1978)/38</t>
  </si>
  <si>
    <t>93,60</t>
  </si>
  <si>
    <t>Новоселов Станислав</t>
  </si>
  <si>
    <t>Open (25.08.1987)/28</t>
  </si>
  <si>
    <t>94,50</t>
  </si>
  <si>
    <t xml:space="preserve">Смурфики </t>
  </si>
  <si>
    <t>160,0</t>
  </si>
  <si>
    <t>167,5</t>
  </si>
  <si>
    <t>185,0</t>
  </si>
  <si>
    <t>Урсу Аурел</t>
  </si>
  <si>
    <t>Open (28.08.1989)/26</t>
  </si>
  <si>
    <t>97,30</t>
  </si>
  <si>
    <t>145,0</t>
  </si>
  <si>
    <t>Мельников Алексей</t>
  </si>
  <si>
    <t>Open (22.10.1987)/28</t>
  </si>
  <si>
    <t>96,50</t>
  </si>
  <si>
    <t>190,0</t>
  </si>
  <si>
    <t>Челышев Андрей</t>
  </si>
  <si>
    <t>Masters 50-54 (29.11.1963)/52</t>
  </si>
  <si>
    <t>98,70</t>
  </si>
  <si>
    <t>100,0</t>
  </si>
  <si>
    <t>107,5</t>
  </si>
  <si>
    <t xml:space="preserve">Самостоятельно </t>
  </si>
  <si>
    <t>ВЕСОВАЯ КАТЕГОРИЯ   110</t>
  </si>
  <si>
    <t>Чиликин Антон</t>
  </si>
  <si>
    <t>Juniors 20-23 (25.03.1992)/23</t>
  </si>
  <si>
    <t>106,60</t>
  </si>
  <si>
    <t>Гоголев Андрей</t>
  </si>
  <si>
    <t>Open (14.05.1987)/28</t>
  </si>
  <si>
    <t>104,90</t>
  </si>
  <si>
    <t xml:space="preserve">Дмитров/Московская область </t>
  </si>
  <si>
    <t>200,0</t>
  </si>
  <si>
    <t>205,0</t>
  </si>
  <si>
    <t>Шумбасов Валерий</t>
  </si>
  <si>
    <t>Open (28.04.1982)/33</t>
  </si>
  <si>
    <t>108,20</t>
  </si>
  <si>
    <t>Чехов Николай</t>
  </si>
  <si>
    <t>Open (26.03.1979)/36</t>
  </si>
  <si>
    <t>106,50</t>
  </si>
  <si>
    <t>192,5</t>
  </si>
  <si>
    <t>Лисицкий Владимир</t>
  </si>
  <si>
    <t>Masters 45-49 (08.01.1970)/46</t>
  </si>
  <si>
    <t>107,30</t>
  </si>
  <si>
    <t xml:space="preserve">MAX GYM </t>
  </si>
  <si>
    <t>Дмитриев Александр</t>
  </si>
  <si>
    <t>Masters 50-54 (01.08.1964)/51</t>
  </si>
  <si>
    <t>105,70</t>
  </si>
  <si>
    <t xml:space="preserve">Сергиев Посад/Московская область </t>
  </si>
  <si>
    <t>0,0</t>
  </si>
  <si>
    <t>Усков Евгений</t>
  </si>
  <si>
    <t>Masters 50-54 (18.01.1964)/52</t>
  </si>
  <si>
    <t>101,10</t>
  </si>
  <si>
    <t>162,5</t>
  </si>
  <si>
    <t>ВЕСОВАЯ КАТЕГОРИЯ   125</t>
  </si>
  <si>
    <t>Громов Максим</t>
  </si>
  <si>
    <t>Juniors 20-23 (01.12.1993)/22</t>
  </si>
  <si>
    <t>115,10</t>
  </si>
  <si>
    <t>Никандров Артем</t>
  </si>
  <si>
    <t>Open (10.07.1983)/32</t>
  </si>
  <si>
    <t>119,50</t>
  </si>
  <si>
    <t xml:space="preserve">Великие Луки/Псковская область </t>
  </si>
  <si>
    <t>Шувалов Сергей</t>
  </si>
  <si>
    <t>Open (03.06.1979)/36</t>
  </si>
  <si>
    <t>118,60</t>
  </si>
  <si>
    <t>Святский Алексей</t>
  </si>
  <si>
    <t>Open (19.07.1989)/26</t>
  </si>
  <si>
    <t>112,10</t>
  </si>
  <si>
    <t>ВЕСОВАЯ КАТЕГОРИЯ   140</t>
  </si>
  <si>
    <t>Морозов Александр</t>
  </si>
  <si>
    <t>Open (16.06.1987)/28</t>
  </si>
  <si>
    <t>129,40</t>
  </si>
  <si>
    <t>Кучинский Алексей</t>
  </si>
  <si>
    <t>Open (09.07.1976)/39</t>
  </si>
  <si>
    <t>135,50</t>
  </si>
  <si>
    <t>152,5</t>
  </si>
  <si>
    <t>ВЕСОВАЯ КАТЕГОРИЯ   140+</t>
  </si>
  <si>
    <t>Цуканов Максим</t>
  </si>
  <si>
    <t>Open (09.12.1980)/35</t>
  </si>
  <si>
    <t>143,50</t>
  </si>
  <si>
    <t>Пантелеев Юрий</t>
  </si>
  <si>
    <t>Masters 40-44 (23.09.1975)/40</t>
  </si>
  <si>
    <t>151,50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</si>
  <si>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</si>
  <si>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</si>
  <si>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</si>
  <si>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</si>
  <si>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</si>
  <si>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</si>
  <si>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</si>
  <si>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90 </t>
  </si>
  <si>
    <t xml:space="preserve">110 </t>
  </si>
  <si>
    <t xml:space="preserve">Открытая </t>
  </si>
  <si>
    <t xml:space="preserve">100 </t>
  </si>
  <si>
    <t>141,0820</t>
  </si>
  <si>
    <t>133,1190</t>
  </si>
  <si>
    <t>122,5490</t>
  </si>
  <si>
    <t xml:space="preserve">140+ </t>
  </si>
  <si>
    <t xml:space="preserve">Мастера </t>
  </si>
  <si>
    <t xml:space="preserve">Мастера 45 - 49 </t>
  </si>
  <si>
    <t>121,4992</t>
  </si>
  <si>
    <t xml:space="preserve">Мастера 40 - 44 </t>
  </si>
  <si>
    <t>116,0250</t>
  </si>
  <si>
    <t xml:space="preserve">Мастера 50 - 54 </t>
  </si>
  <si>
    <t>113,2932</t>
  </si>
  <si>
    <t>ВЕСОВАЯ КАТЕГОРИЯ   56</t>
  </si>
  <si>
    <t>Войнова Екатерина</t>
  </si>
  <si>
    <t>Open (22.09.1990)/25</t>
  </si>
  <si>
    <t>54,70</t>
  </si>
  <si>
    <t>62,5</t>
  </si>
  <si>
    <t>65,0</t>
  </si>
  <si>
    <t>ВЕСОВАЯ КАТЕГОРИЯ   60</t>
  </si>
  <si>
    <t>Павловская Ольга</t>
  </si>
  <si>
    <t>Open (06.05.1974)/41</t>
  </si>
  <si>
    <t>59,00</t>
  </si>
  <si>
    <t xml:space="preserve">Витязь </t>
  </si>
  <si>
    <t>40,0</t>
  </si>
  <si>
    <t>ВЕСОВАЯ КАТЕГОРИЯ   75</t>
  </si>
  <si>
    <t>Байдур Анастасия</t>
  </si>
  <si>
    <t>Juniors 20-23 (13.12.1992)/23</t>
  </si>
  <si>
    <t>73,60</t>
  </si>
  <si>
    <t>70,0</t>
  </si>
  <si>
    <t>75,0</t>
  </si>
  <si>
    <t>Козинец Алексей</t>
  </si>
  <si>
    <t>Open (10.09.1986)/29</t>
  </si>
  <si>
    <t>65,90</t>
  </si>
  <si>
    <t xml:space="preserve">Джангл </t>
  </si>
  <si>
    <t>112,5</t>
  </si>
  <si>
    <t>Мизонов Никита</t>
  </si>
  <si>
    <t>Teenage 15-19 (22.05.1999)/16</t>
  </si>
  <si>
    <t>74,30</t>
  </si>
  <si>
    <t>82,5</t>
  </si>
  <si>
    <t>85,0</t>
  </si>
  <si>
    <t>Добросоцкий Евгений</t>
  </si>
  <si>
    <t>Open (26.03.1985)/30</t>
  </si>
  <si>
    <t>73,90</t>
  </si>
  <si>
    <t>117,5</t>
  </si>
  <si>
    <t>125,0</t>
  </si>
  <si>
    <t>127,5</t>
  </si>
  <si>
    <t>Самара Станислав</t>
  </si>
  <si>
    <t>Open (14.03.1989)/26</t>
  </si>
  <si>
    <t>71,10</t>
  </si>
  <si>
    <t>115,0</t>
  </si>
  <si>
    <t>120,0</t>
  </si>
  <si>
    <t>Куценко Денис</t>
  </si>
  <si>
    <t>Open (17.08.1988)/27</t>
  </si>
  <si>
    <t>73,50</t>
  </si>
  <si>
    <t>95,0</t>
  </si>
  <si>
    <t>Кириллов Антон</t>
  </si>
  <si>
    <t>Open (11.06.1984)/31</t>
  </si>
  <si>
    <t>81,90</t>
  </si>
  <si>
    <t>Дегтев Валерий</t>
  </si>
  <si>
    <t>Open (18.02.1982)/34</t>
  </si>
  <si>
    <t>82,50</t>
  </si>
  <si>
    <t>Акимов Денис</t>
  </si>
  <si>
    <t>Open (28.07.1988)/27</t>
  </si>
  <si>
    <t>82,00</t>
  </si>
  <si>
    <t>110,0</t>
  </si>
  <si>
    <t>Прусов Иван</t>
  </si>
  <si>
    <t>Open (16.09.1983)/32</t>
  </si>
  <si>
    <t>87,90</t>
  </si>
  <si>
    <t>Ильгов Андрей</t>
  </si>
  <si>
    <t>Open (25.07.1982)/33</t>
  </si>
  <si>
    <t>89,70</t>
  </si>
  <si>
    <t>135,0</t>
  </si>
  <si>
    <t>Антонов Павел</t>
  </si>
  <si>
    <t>Open (19.06.1988)/27</t>
  </si>
  <si>
    <t>96,10</t>
  </si>
  <si>
    <t xml:space="preserve">Тула/Тульская область </t>
  </si>
  <si>
    <t>Авилов Евгений</t>
  </si>
  <si>
    <t>Open (28.08.1988)/27</t>
  </si>
  <si>
    <t>92,50</t>
  </si>
  <si>
    <t>Юнанов Александр</t>
  </si>
  <si>
    <t>Masters 40-44 (17.09.1974)/41</t>
  </si>
  <si>
    <t>99,80</t>
  </si>
  <si>
    <t>Бочарников Вадим</t>
  </si>
  <si>
    <t>Open (25.11.1986)/29</t>
  </si>
  <si>
    <t>103,10</t>
  </si>
  <si>
    <t>Глухов Андрей</t>
  </si>
  <si>
    <t>Open (02.04.1978)/37</t>
  </si>
  <si>
    <t>108,80</t>
  </si>
  <si>
    <t>177,5</t>
  </si>
  <si>
    <t>182,5</t>
  </si>
  <si>
    <t>Степанов Владимир</t>
  </si>
  <si>
    <t>Open (15.09.1970)/45</t>
  </si>
  <si>
    <t>108,10</t>
  </si>
  <si>
    <t xml:space="preserve">Макстум </t>
  </si>
  <si>
    <t>172,5</t>
  </si>
  <si>
    <t>Журавлев Александр</t>
  </si>
  <si>
    <t>Masters 40-44 (23.06.1972)/43</t>
  </si>
  <si>
    <t>Соловьев Александр</t>
  </si>
  <si>
    <t>Open (14.06.1977)/38</t>
  </si>
  <si>
    <t>113,20</t>
  </si>
  <si>
    <t>Кесаев Авдей</t>
  </si>
  <si>
    <t>Open (28.11.1987)/28</t>
  </si>
  <si>
    <t>122,30</t>
  </si>
  <si>
    <t xml:space="preserve">Женщины </t>
  </si>
  <si>
    <t>114,2850</t>
  </si>
  <si>
    <t>109,2425</t>
  </si>
  <si>
    <t>107,6640</t>
  </si>
  <si>
    <t>Чернышов Вадим</t>
  </si>
  <si>
    <t>Juniors 20-23 (30.01.1995)/21</t>
  </si>
  <si>
    <t>57,20</t>
  </si>
  <si>
    <t>80,0</t>
  </si>
  <si>
    <t>87,5</t>
  </si>
  <si>
    <t>Авершин Егор</t>
  </si>
  <si>
    <t>Open (22.07.1990)/25</t>
  </si>
  <si>
    <t>57,30</t>
  </si>
  <si>
    <t>45,0</t>
  </si>
  <si>
    <t>47,5</t>
  </si>
  <si>
    <t>50,0</t>
  </si>
  <si>
    <t>Баравин Павел</t>
  </si>
  <si>
    <t>Open (11.07.1982)/33</t>
  </si>
  <si>
    <t>67,30</t>
  </si>
  <si>
    <t>90,0</t>
  </si>
  <si>
    <t xml:space="preserve">Богданов К. </t>
  </si>
  <si>
    <t>Абдалов Дмитрий</t>
  </si>
  <si>
    <t>Open (28.02.1989)/27</t>
  </si>
  <si>
    <t>77,90</t>
  </si>
  <si>
    <t>Колосов Сергей</t>
  </si>
  <si>
    <t>Open (23.07.1988)/27</t>
  </si>
  <si>
    <t>96,20</t>
  </si>
  <si>
    <t>72,5</t>
  </si>
  <si>
    <t>Сапунов Александр</t>
  </si>
  <si>
    <t>Open (09.08.1988)/27</t>
  </si>
  <si>
    <t>65,10</t>
  </si>
  <si>
    <t xml:space="preserve">Видное/Московская область </t>
  </si>
  <si>
    <t>Банк Василий</t>
  </si>
  <si>
    <t>Open (25.04.1992)/23</t>
  </si>
  <si>
    <t>250,0</t>
  </si>
  <si>
    <t>260,0</t>
  </si>
  <si>
    <t>Можаев Сергей</t>
  </si>
  <si>
    <t>Open (16.04.1988)/27</t>
  </si>
  <si>
    <t>84,00</t>
  </si>
  <si>
    <t>225,0</t>
  </si>
  <si>
    <t>Кудинов Владимир</t>
  </si>
  <si>
    <t>Masters 45-49 (25.06.1970)/45</t>
  </si>
  <si>
    <t>85,50</t>
  </si>
  <si>
    <t>130,0</t>
  </si>
  <si>
    <t>137,5</t>
  </si>
  <si>
    <t>Пихтовиков Алексей</t>
  </si>
  <si>
    <t>Open (11.04.1985)/30</t>
  </si>
  <si>
    <t>98,90</t>
  </si>
  <si>
    <t>240,0</t>
  </si>
  <si>
    <t>255,0</t>
  </si>
  <si>
    <t>267,5</t>
  </si>
  <si>
    <t>237,5</t>
  </si>
  <si>
    <t>247,5</t>
  </si>
  <si>
    <t>290,0</t>
  </si>
  <si>
    <t>310,0</t>
  </si>
  <si>
    <t>320,0</t>
  </si>
  <si>
    <t>330,0</t>
  </si>
  <si>
    <t>340,0</t>
  </si>
  <si>
    <t>Мингалов Николай</t>
  </si>
  <si>
    <t>Open (15.06.1981)/34</t>
  </si>
  <si>
    <t>107,50</t>
  </si>
  <si>
    <t>235,0</t>
  </si>
  <si>
    <t>245,0</t>
  </si>
  <si>
    <t>Бунин Олег</t>
  </si>
  <si>
    <t>Open (20.05.1979)/36</t>
  </si>
  <si>
    <t>117,50</t>
  </si>
  <si>
    <t xml:space="preserve">Мортадель </t>
  </si>
  <si>
    <t>280,0</t>
  </si>
  <si>
    <t>Пирогов Александр</t>
  </si>
  <si>
    <t>Open (16.09.1984)/31</t>
  </si>
  <si>
    <t>141,20</t>
  </si>
  <si>
    <t>315,0</t>
  </si>
  <si>
    <t>860,0</t>
  </si>
  <si>
    <t>508,7760</t>
  </si>
  <si>
    <t>680,0</t>
  </si>
  <si>
    <t>415,6840</t>
  </si>
  <si>
    <t>620,0</t>
  </si>
  <si>
    <t>396,4900</t>
  </si>
  <si>
    <t>ВЕСОВАЯ КАТЕГОРИЯ   52</t>
  </si>
  <si>
    <t>Ненартович Юлия</t>
  </si>
  <si>
    <t>Open (03.01.1988)/28</t>
  </si>
  <si>
    <t>51,10</t>
  </si>
  <si>
    <t>42,5</t>
  </si>
  <si>
    <t>Добря Кристина</t>
  </si>
  <si>
    <t>Open (20.04.1989)/26</t>
  </si>
  <si>
    <t>56,50</t>
  </si>
  <si>
    <t>Рямаева Людмила</t>
  </si>
  <si>
    <t>Open (12.01.1980)/36</t>
  </si>
  <si>
    <t>63,00</t>
  </si>
  <si>
    <t>102,5</t>
  </si>
  <si>
    <t>55,0</t>
  </si>
  <si>
    <t>ВЕСОВАЯ КАТЕГОРИЯ   90+</t>
  </si>
  <si>
    <t>Уколова Вероника</t>
  </si>
  <si>
    <t>Open (17.06.1997)/18</t>
  </si>
  <si>
    <t>116,50</t>
  </si>
  <si>
    <t>Черкасова Наталья</t>
  </si>
  <si>
    <t>Open (30.05.1976)/39</t>
  </si>
  <si>
    <t>71,20</t>
  </si>
  <si>
    <t>57,5</t>
  </si>
  <si>
    <t>60,0</t>
  </si>
  <si>
    <t>Федорков Александр</t>
  </si>
  <si>
    <t>Teenage 15-19 (08.10.1996)/19</t>
  </si>
  <si>
    <t>Завьялов Александр</t>
  </si>
  <si>
    <t>Open (16.03.1979)/36</t>
  </si>
  <si>
    <t>88,10</t>
  </si>
  <si>
    <t xml:space="preserve">Всплеск </t>
  </si>
  <si>
    <t>215,0</t>
  </si>
  <si>
    <t>232,5</t>
  </si>
  <si>
    <t>Рубашнев Алексей</t>
  </si>
  <si>
    <t>Open (09.02.1988)/28</t>
  </si>
  <si>
    <t>87,20</t>
  </si>
  <si>
    <t>Клинцова Мария</t>
  </si>
  <si>
    <t>Open (31.01.1987)/29</t>
  </si>
  <si>
    <t>74,40</t>
  </si>
  <si>
    <t>Прокаев Николай</t>
  </si>
  <si>
    <t>Open (17.06.1987)/28</t>
  </si>
  <si>
    <t>65,60</t>
  </si>
  <si>
    <t>242,5</t>
  </si>
  <si>
    <t>Авдяков Сергей</t>
  </si>
  <si>
    <t>Open (02.11.1991)/24</t>
  </si>
  <si>
    <t>88,60</t>
  </si>
  <si>
    <t>270,0</t>
  </si>
  <si>
    <t>Худолеев Евгений</t>
  </si>
  <si>
    <t>Masters 65-69 (10.09.1946)/69</t>
  </si>
  <si>
    <t>90,00</t>
  </si>
  <si>
    <t>Алиев Эмиль</t>
  </si>
  <si>
    <t>Teenage 15-19 (20.11.1996)/19</t>
  </si>
  <si>
    <t>98,40</t>
  </si>
  <si>
    <t>Белкин Юрий</t>
  </si>
  <si>
    <t>Open (05.12.1990)/25</t>
  </si>
  <si>
    <t>99,40</t>
  </si>
  <si>
    <t xml:space="preserve">Хабаровск/Хабаровский край </t>
  </si>
  <si>
    <t>355,0</t>
  </si>
  <si>
    <t>372,5</t>
  </si>
  <si>
    <t>380,0</t>
  </si>
  <si>
    <t>300,0</t>
  </si>
  <si>
    <t>Ананьин Алексей</t>
  </si>
  <si>
    <t>Open (28.09.1976)/39</t>
  </si>
  <si>
    <t>97,70</t>
  </si>
  <si>
    <t>285,0</t>
  </si>
  <si>
    <t>295,0</t>
  </si>
  <si>
    <t>302,5</t>
  </si>
  <si>
    <t>Славинский Иван</t>
  </si>
  <si>
    <t>Open (08.12.1983)/32</t>
  </si>
  <si>
    <t>265,0</t>
  </si>
  <si>
    <t>275,0</t>
  </si>
  <si>
    <t>Ефремов Валентин</t>
  </si>
  <si>
    <t>Open (13.02.1986)/30</t>
  </si>
  <si>
    <t>97,20</t>
  </si>
  <si>
    <t xml:space="preserve">Домодедово/Московская область </t>
  </si>
  <si>
    <t>Лившиц Олег</t>
  </si>
  <si>
    <t>Open (03.10.1973)/42</t>
  </si>
  <si>
    <t>133,30</t>
  </si>
  <si>
    <t xml:space="preserve">Лосино-Петровский/Московская область </t>
  </si>
  <si>
    <t>360,0</t>
  </si>
  <si>
    <t>370,0</t>
  </si>
  <si>
    <t>227,2622</t>
  </si>
  <si>
    <t>208,5560</t>
  </si>
  <si>
    <t>208,3470</t>
  </si>
  <si>
    <t>ВЕСОВАЯ КАТЕГОРИЯ   48</t>
  </si>
  <si>
    <t>Авдеева Юлия</t>
  </si>
  <si>
    <t>Teenage 15-19 (14.03.1998)/17</t>
  </si>
  <si>
    <t>47,60</t>
  </si>
  <si>
    <t>77,5</t>
  </si>
  <si>
    <t>Маркова Анастасия</t>
  </si>
  <si>
    <t>Open (22.11.1991)/24</t>
  </si>
  <si>
    <t>55,40</t>
  </si>
  <si>
    <t>Хлебодарова Алина</t>
  </si>
  <si>
    <t>Open (18.08.1989)/26</t>
  </si>
  <si>
    <t>66,00</t>
  </si>
  <si>
    <t>122,5</t>
  </si>
  <si>
    <t>Белоруссова Инна</t>
  </si>
  <si>
    <t>Open (13.02.1992)/24</t>
  </si>
  <si>
    <t>66,70</t>
  </si>
  <si>
    <t>Молоканов Евгений</t>
  </si>
  <si>
    <t>Open (31.01.1986)/30</t>
  </si>
  <si>
    <t>59,90</t>
  </si>
  <si>
    <t>Шурыгин Дмитрий</t>
  </si>
  <si>
    <t>Teenage 15-19 (22.03.1998)/17</t>
  </si>
  <si>
    <t>Золотарев Николай</t>
  </si>
  <si>
    <t>Juniors 20-23 (14.02.1995)/21</t>
  </si>
  <si>
    <t>63,60</t>
  </si>
  <si>
    <t>Open (14.02.1995)/21</t>
  </si>
  <si>
    <t>Евсеев Сергей</t>
  </si>
  <si>
    <t>Open (09.10.1990)/25</t>
  </si>
  <si>
    <t>81,80</t>
  </si>
  <si>
    <t>202,5</t>
  </si>
  <si>
    <t>Пресняков Владимир</t>
  </si>
  <si>
    <t>Open (29.04.1989)/26</t>
  </si>
  <si>
    <t>95,10</t>
  </si>
  <si>
    <t>Баранов Александр</t>
  </si>
  <si>
    <t>Open (15.01.1986)/30</t>
  </si>
  <si>
    <t>108,40</t>
  </si>
  <si>
    <t>154,8130</t>
  </si>
  <si>
    <t>139,6200</t>
  </si>
  <si>
    <t>114,1140</t>
  </si>
  <si>
    <t>175,0840</t>
  </si>
  <si>
    <t>149,2930</t>
  </si>
  <si>
    <t>134,2950</t>
  </si>
  <si>
    <t>1</t>
  </si>
  <si>
    <t>2</t>
  </si>
  <si>
    <t>3</t>
  </si>
  <si>
    <t>Gloss</t>
  </si>
  <si>
    <t>Хорев Артур</t>
  </si>
  <si>
    <t>Open (14.10.1986)/29</t>
  </si>
  <si>
    <t>76,80</t>
  </si>
  <si>
    <t>0,6768</t>
  </si>
  <si>
    <t xml:space="preserve">Лыткарино/Московская область </t>
  </si>
  <si>
    <t>2557,50</t>
  </si>
  <si>
    <t>1730,7881</t>
  </si>
  <si>
    <t>0,6029</t>
  </si>
  <si>
    <t>92,5</t>
  </si>
  <si>
    <t>2405,00</t>
  </si>
  <si>
    <t>1450,0947</t>
  </si>
  <si>
    <t>Masters 40-49 (17.09.1974)/41</t>
  </si>
  <si>
    <t>0,5818</t>
  </si>
  <si>
    <t>1900,00</t>
  </si>
  <si>
    <t>1116,4742</t>
  </si>
  <si>
    <t>0,5486</t>
  </si>
  <si>
    <t>1715,00</t>
  </si>
  <si>
    <t>940,7633</t>
  </si>
  <si>
    <t>Вес</t>
  </si>
  <si>
    <t>0,7671</t>
  </si>
  <si>
    <t>67,5</t>
  </si>
  <si>
    <t>0</t>
  </si>
  <si>
    <t>0,5964</t>
  </si>
  <si>
    <t>1529,8942</t>
  </si>
  <si>
    <t>Собств. вес</t>
  </si>
  <si>
    <t>Пудров Вадим</t>
  </si>
  <si>
    <t>Teen 13-19 (28.04.2001)/14</t>
  </si>
  <si>
    <t>64,10</t>
  </si>
  <si>
    <t>0,7829</t>
  </si>
  <si>
    <t>32,5</t>
  </si>
  <si>
    <t>763,3762</t>
  </si>
  <si>
    <t>Молчанов Александр</t>
  </si>
  <si>
    <t>Teen 13-19 (15.10.1999)/16</t>
  </si>
  <si>
    <t>61,70</t>
  </si>
  <si>
    <t>0,8109</t>
  </si>
  <si>
    <t>Весовая категория               Дата рождения/возраст</t>
  </si>
  <si>
    <t>Город/ область</t>
  </si>
  <si>
    <t>Москва/Московская область</t>
  </si>
  <si>
    <t xml:space="preserve">Москва/Московская область </t>
  </si>
  <si>
    <t>Мосвка/Московская область</t>
  </si>
  <si>
    <t>Результат</t>
  </si>
  <si>
    <t xml:space="preserve">82,5 </t>
  </si>
  <si>
    <t>Можаев С.</t>
  </si>
  <si>
    <t>Евсеев М.</t>
  </si>
  <si>
    <t>Ненартович Д.</t>
  </si>
  <si>
    <t>Мельников А.</t>
  </si>
  <si>
    <t>Кондаков А.</t>
  </si>
  <si>
    <t>Место</t>
  </si>
  <si>
    <t xml:space="preserve">Москва/Московкая область </t>
  </si>
  <si>
    <t>Кошуба А.</t>
  </si>
  <si>
    <t xml:space="preserve">Буганов С. </t>
  </si>
  <si>
    <t xml:space="preserve">Длужневский С. </t>
  </si>
  <si>
    <t xml:space="preserve">Ненартович Д. </t>
  </si>
  <si>
    <t>Пресняков В.</t>
  </si>
  <si>
    <t xml:space="preserve">Мохов С. </t>
  </si>
  <si>
    <t xml:space="preserve">Фонбет </t>
  </si>
  <si>
    <t xml:space="preserve">Золотаренок А. </t>
  </si>
  <si>
    <t>Ушанов С.</t>
  </si>
  <si>
    <t>Пантелеев Ю.</t>
  </si>
  <si>
    <t>Пономарев В.</t>
  </si>
  <si>
    <t xml:space="preserve">Московский центр боевых искусств </t>
  </si>
  <si>
    <t>Могилев/Беларусь</t>
  </si>
  <si>
    <t>Москва/Москоская область</t>
  </si>
  <si>
    <t>Войнов Д.</t>
  </si>
  <si>
    <t>Авсеев Е.</t>
  </si>
  <si>
    <t>Свитков В.</t>
  </si>
  <si>
    <t>Авилов Е.</t>
  </si>
  <si>
    <t>Вартабедьян Ю.</t>
  </si>
  <si>
    <t>Железнодорожный/Московская область</t>
  </si>
  <si>
    <t>157.5</t>
  </si>
  <si>
    <t>142.5</t>
  </si>
  <si>
    <t>180.0</t>
  </si>
  <si>
    <t>175.0</t>
  </si>
  <si>
    <t>140.0</t>
  </si>
  <si>
    <t>230.0</t>
  </si>
  <si>
    <t>167.5</t>
  </si>
  <si>
    <t>150.0</t>
  </si>
  <si>
    <t>107.5</t>
  </si>
  <si>
    <t>190.0</t>
  </si>
  <si>
    <t>205.0</t>
  </si>
  <si>
    <t>200.0</t>
  </si>
  <si>
    <t>185.0</t>
  </si>
  <si>
    <t>160.0</t>
  </si>
  <si>
    <t>210.0</t>
  </si>
  <si>
    <t xml:space="preserve">Бутко А. </t>
  </si>
  <si>
    <t xml:space="preserve">Пантелеев Ю. </t>
  </si>
  <si>
    <t>Никитенко А.</t>
  </si>
  <si>
    <t xml:space="preserve">Коляскин К. </t>
  </si>
  <si>
    <t>33</t>
  </si>
  <si>
    <t>26</t>
  </si>
  <si>
    <t>19</t>
  </si>
  <si>
    <t>14</t>
  </si>
  <si>
    <t>Повторения</t>
  </si>
  <si>
    <t>27</t>
  </si>
  <si>
    <t>2565,0</t>
  </si>
  <si>
    <t xml:space="preserve">Кошуба А. </t>
  </si>
  <si>
    <t>30</t>
  </si>
  <si>
    <t>975,0</t>
  </si>
  <si>
    <t xml:space="preserve">Кондаков А. </t>
  </si>
  <si>
    <t>Тоннаж</t>
  </si>
  <si>
    <t>4</t>
  </si>
  <si>
    <t>"Сильные духом" IPL                                                                                                                                          Становая тяга без экипировки ДК                                                                                                                                   Москва, 28 февраля 2016 г.</t>
  </si>
  <si>
    <t>"Сильные духом" IPL                                                                                                                                                                       Становая тяга без экипировки                                                                                                                                 Москва, 28 февраля 2016 г.</t>
  </si>
  <si>
    <t>"Сильные духом" IPL                                                                                                                                                                                              Пауэрлифтинг в бинтах ДК
Москва, 28 февраля 2016 г.</t>
  </si>
  <si>
    <t>"Сильные духом" IPL                                                                                                                                                                                                   Пауэрлифтинг в бинтах ДК
Москва, 28 февраля 2016 г.</t>
  </si>
  <si>
    <t>"Сильные духом" IPL                                                                                                                                 Жим лежа СФО
Москва, 28 февраля 2016 г.</t>
  </si>
  <si>
    <t>"Сильные духом" IPL                                                                                                                             Жим лежа без экипировки ДК
Москва, 28 февраля 2016 г.</t>
  </si>
  <si>
    <t>"Сильные духом" IPL                                                                                                                                          Жим лежа без экипировки 
Москва, 28 февраля 2016 г.</t>
  </si>
  <si>
    <t>Лично</t>
  </si>
  <si>
    <t>"Сильные духом"                                                                                                                                                   Народный жим (1 вес) допинг контроль                                                                                                Москва, 28 февраля 2016 г.</t>
  </si>
  <si>
    <t xml:space="preserve"> </t>
  </si>
  <si>
    <t>"Сильные духом"                                                                                                                                   Народный жим (1 вес)                                                                                                                                     Москва, 28 февраля 2016 г.</t>
  </si>
  <si>
    <t>"Сильные духом"                                                                                                                                                                     Народный жим (1/2 вес) допинг контроль                                                                                                         Москва, 28 февраля 2016 г.</t>
  </si>
  <si>
    <t>Весовая категория                           Дата рождения/возраст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</si>
</sst>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3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1"/>
      <name val="Arimo"/>
      <family val="0"/>
    </font>
    <font>
      <sz val="10"/>
      <name val="Arimo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50" fillId="0" borderId="11" xfId="0" applyNumberFormat="1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172" fontId="50" fillId="0" borderId="12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172" fontId="51" fillId="0" borderId="11" xfId="0" applyNumberFormat="1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49" fontId="52" fillId="0" borderId="20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72" fontId="50" fillId="0" borderId="11" xfId="0" applyNumberFormat="1" applyFont="1" applyFill="1" applyBorder="1" applyAlignment="1">
      <alignment horizontal="center"/>
    </xf>
    <xf numFmtId="172" fontId="50" fillId="0" borderId="13" xfId="0" applyNumberFormat="1" applyFont="1" applyFill="1" applyBorder="1" applyAlignment="1">
      <alignment horizontal="center"/>
    </xf>
    <xf numFmtId="172" fontId="50" fillId="0" borderId="14" xfId="0" applyNumberFormat="1" applyFont="1" applyFill="1" applyBorder="1" applyAlignment="1">
      <alignment horizontal="center"/>
    </xf>
    <xf numFmtId="172" fontId="50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49" fontId="3" fillId="0" borderId="33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/>
    </xf>
    <xf numFmtId="49" fontId="10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B9">
      <selection activeCell="E41" sqref="E41"/>
    </sheetView>
  </sheetViews>
  <sheetFormatPr defaultColWidth="8.75390625" defaultRowHeight="12.75"/>
  <cols>
    <col min="1" max="1" width="7.375" style="77" customWidth="1"/>
    <col min="2" max="2" width="26.00390625" style="18" bestFit="1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31.00390625" style="18" bestFit="1" customWidth="1"/>
    <col min="8" max="10" width="5.625" style="18" bestFit="1" customWidth="1"/>
    <col min="11" max="11" width="4.625" style="18" bestFit="1" customWidth="1"/>
    <col min="12" max="12" width="11.875" style="18" customWidth="1"/>
    <col min="13" max="13" width="8.625" style="18" bestFit="1" customWidth="1"/>
    <col min="14" max="14" width="16.375" style="18" customWidth="1"/>
  </cols>
  <sheetData>
    <row r="1" spans="1:14" s="1" customFormat="1" ht="15" customHeight="1">
      <c r="A1" s="76"/>
      <c r="B1" s="127" t="s">
        <v>550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1" customFormat="1" ht="79.5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3</v>
      </c>
      <c r="I3" s="139"/>
      <c r="J3" s="139"/>
      <c r="K3" s="139"/>
      <c r="L3" s="142" t="s">
        <v>489</v>
      </c>
      <c r="M3" s="139" t="s">
        <v>6</v>
      </c>
      <c r="N3" s="124" t="s">
        <v>5</v>
      </c>
    </row>
    <row r="4" spans="1:14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143"/>
      <c r="M4" s="136"/>
      <c r="N4" s="125"/>
    </row>
    <row r="5" spans="2:13" ht="15.75">
      <c r="B5" s="126" t="s">
        <v>405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2.75">
      <c r="A6" s="77">
        <v>1</v>
      </c>
      <c r="B6" s="19" t="s">
        <v>406</v>
      </c>
      <c r="C6" s="19" t="s">
        <v>407</v>
      </c>
      <c r="D6" s="19" t="s">
        <v>408</v>
      </c>
      <c r="E6" s="19" t="str">
        <f>"1,3326"</f>
        <v>1,3326</v>
      </c>
      <c r="F6" s="19" t="s">
        <v>23</v>
      </c>
      <c r="G6" s="19" t="s">
        <v>486</v>
      </c>
      <c r="H6" s="83" t="s">
        <v>161</v>
      </c>
      <c r="I6" s="83" t="s">
        <v>409</v>
      </c>
      <c r="J6" s="83" t="s">
        <v>183</v>
      </c>
      <c r="K6" s="68"/>
      <c r="L6" s="67">
        <v>85</v>
      </c>
      <c r="M6" s="67" t="str">
        <f>"113,2710"</f>
        <v>113,2710</v>
      </c>
      <c r="N6" s="19" t="s">
        <v>495</v>
      </c>
    </row>
    <row r="8" spans="2:13" ht="15.75">
      <c r="B8" s="121" t="s">
        <v>156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4" ht="12.75">
      <c r="A9" s="77">
        <v>1</v>
      </c>
      <c r="B9" s="19" t="s">
        <v>410</v>
      </c>
      <c r="C9" s="19" t="s">
        <v>411</v>
      </c>
      <c r="D9" s="19" t="s">
        <v>412</v>
      </c>
      <c r="E9" s="19" t="str">
        <f>"1,1866"</f>
        <v>1,1866</v>
      </c>
      <c r="F9" s="19" t="s">
        <v>23</v>
      </c>
      <c r="G9" s="19" t="s">
        <v>486</v>
      </c>
      <c r="H9" s="83" t="s">
        <v>183</v>
      </c>
      <c r="I9" s="78" t="s">
        <v>198</v>
      </c>
      <c r="J9" s="78" t="s">
        <v>198</v>
      </c>
      <c r="K9" s="68"/>
      <c r="L9" s="67">
        <v>85</v>
      </c>
      <c r="M9" s="67" t="str">
        <f>"100,8610"</f>
        <v>100,8610</v>
      </c>
      <c r="N9" s="19" t="s">
        <v>494</v>
      </c>
    </row>
    <row r="11" spans="2:13" ht="15.75">
      <c r="B11" s="121" t="s">
        <v>162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2.75">
      <c r="A12" s="77">
        <v>1</v>
      </c>
      <c r="B12" s="19" t="s">
        <v>329</v>
      </c>
      <c r="C12" s="19" t="s">
        <v>330</v>
      </c>
      <c r="D12" s="19" t="s">
        <v>331</v>
      </c>
      <c r="E12" s="19" t="str">
        <f>"1,1684"</f>
        <v>1,1684</v>
      </c>
      <c r="F12" s="19" t="s">
        <v>23</v>
      </c>
      <c r="G12" s="19" t="s">
        <v>486</v>
      </c>
      <c r="H12" s="83" t="s">
        <v>25</v>
      </c>
      <c r="I12" s="68"/>
      <c r="J12" s="68"/>
      <c r="K12" s="68"/>
      <c r="L12" s="67">
        <v>132.5</v>
      </c>
      <c r="M12" s="67" t="str">
        <f>"154,8130"</f>
        <v>154,8130</v>
      </c>
      <c r="N12" s="19" t="s">
        <v>74</v>
      </c>
    </row>
    <row r="14" spans="2:13" ht="15.75">
      <c r="B14" s="121" t="s">
        <v>10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4" ht="12.75">
      <c r="A15" s="77">
        <v>1</v>
      </c>
      <c r="B15" s="20" t="s">
        <v>332</v>
      </c>
      <c r="C15" s="20" t="s">
        <v>333</v>
      </c>
      <c r="D15" s="20" t="s">
        <v>334</v>
      </c>
      <c r="E15" s="20" t="str">
        <f>"1,0740"</f>
        <v>1,0740</v>
      </c>
      <c r="F15" s="20" t="s">
        <v>23</v>
      </c>
      <c r="G15" s="20" t="s">
        <v>24</v>
      </c>
      <c r="H15" s="84" t="s">
        <v>289</v>
      </c>
      <c r="I15" s="70"/>
      <c r="J15" s="70"/>
      <c r="K15" s="70"/>
      <c r="L15" s="69">
        <v>130</v>
      </c>
      <c r="M15" s="69" t="str">
        <f>"139,6200"</f>
        <v>139,6200</v>
      </c>
      <c r="N15" s="20" t="s">
        <v>493</v>
      </c>
    </row>
    <row r="16" spans="1:14" ht="12.75">
      <c r="A16" s="77">
        <v>2</v>
      </c>
      <c r="B16" s="21" t="s">
        <v>413</v>
      </c>
      <c r="C16" s="21" t="s">
        <v>414</v>
      </c>
      <c r="D16" s="21" t="s">
        <v>415</v>
      </c>
      <c r="E16" s="21" t="str">
        <f>"1,0374"</f>
        <v>1,0374</v>
      </c>
      <c r="F16" s="21" t="s">
        <v>177</v>
      </c>
      <c r="G16" s="21" t="s">
        <v>24</v>
      </c>
      <c r="H16" s="85" t="s">
        <v>208</v>
      </c>
      <c r="I16" s="79" t="s">
        <v>416</v>
      </c>
      <c r="J16" s="79" t="s">
        <v>416</v>
      </c>
      <c r="K16" s="72"/>
      <c r="L16" s="71">
        <v>110</v>
      </c>
      <c r="M16" s="71" t="str">
        <f>"114,1140"</f>
        <v>114,1140</v>
      </c>
      <c r="N16" s="21" t="s">
        <v>491</v>
      </c>
    </row>
    <row r="17" spans="1:14" ht="12.75">
      <c r="A17" s="77">
        <v>3</v>
      </c>
      <c r="B17" s="22" t="s">
        <v>417</v>
      </c>
      <c r="C17" s="22" t="s">
        <v>418</v>
      </c>
      <c r="D17" s="22" t="s">
        <v>419</v>
      </c>
      <c r="E17" s="22" t="str">
        <f>"1,0294"</f>
        <v>1,0294</v>
      </c>
      <c r="F17" s="22" t="s">
        <v>23</v>
      </c>
      <c r="G17" s="22" t="s">
        <v>24</v>
      </c>
      <c r="H17" s="86" t="s">
        <v>172</v>
      </c>
      <c r="I17" s="86" t="s">
        <v>183</v>
      </c>
      <c r="J17" s="86" t="s">
        <v>265</v>
      </c>
      <c r="K17" s="74"/>
      <c r="L17" s="73">
        <v>90</v>
      </c>
      <c r="M17" s="73" t="str">
        <f>"92,6460"</f>
        <v>92,6460</v>
      </c>
      <c r="N17" s="22" t="s">
        <v>493</v>
      </c>
    </row>
    <row r="19" spans="2:13" ht="15.75">
      <c r="B19" s="121" t="s">
        <v>162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4" ht="12.75">
      <c r="A20" s="77">
        <v>1</v>
      </c>
      <c r="B20" s="19" t="s">
        <v>420</v>
      </c>
      <c r="C20" s="19" t="s">
        <v>421</v>
      </c>
      <c r="D20" s="19" t="s">
        <v>422</v>
      </c>
      <c r="E20" s="19" t="str">
        <f>"0,8542"</f>
        <v>0,8542</v>
      </c>
      <c r="F20" s="19" t="s">
        <v>23</v>
      </c>
      <c r="G20" s="19" t="s">
        <v>486</v>
      </c>
      <c r="H20" s="83" t="s">
        <v>73</v>
      </c>
      <c r="I20" s="83" t="s">
        <v>193</v>
      </c>
      <c r="J20" s="83" t="s">
        <v>187</v>
      </c>
      <c r="K20" s="68"/>
      <c r="L20" s="67">
        <v>117.5</v>
      </c>
      <c r="M20" s="67" t="str">
        <f>"100,3685"</f>
        <v>100,3685</v>
      </c>
      <c r="N20" s="19" t="s">
        <v>74</v>
      </c>
    </row>
    <row r="22" spans="2:13" ht="15.75">
      <c r="B22" s="121" t="s">
        <v>10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4" ht="12.75">
      <c r="A23" s="77">
        <v>1</v>
      </c>
      <c r="B23" s="20" t="s">
        <v>423</v>
      </c>
      <c r="C23" s="20" t="s">
        <v>424</v>
      </c>
      <c r="D23" s="20" t="s">
        <v>334</v>
      </c>
      <c r="E23" s="20" t="str">
        <f>"0,8166"</f>
        <v>0,8166</v>
      </c>
      <c r="F23" s="20" t="s">
        <v>177</v>
      </c>
      <c r="G23" s="20" t="s">
        <v>486</v>
      </c>
      <c r="H23" s="84" t="s">
        <v>42</v>
      </c>
      <c r="I23" s="84" t="s">
        <v>15</v>
      </c>
      <c r="J23" s="84" t="s">
        <v>58</v>
      </c>
      <c r="K23" s="70"/>
      <c r="L23" s="69">
        <v>160</v>
      </c>
      <c r="M23" s="69" t="str">
        <f>"130,6560"</f>
        <v>130,6560</v>
      </c>
      <c r="N23" s="20" t="s">
        <v>491</v>
      </c>
    </row>
    <row r="24" spans="1:14" ht="12.75">
      <c r="A24" s="77">
        <v>1</v>
      </c>
      <c r="B24" s="21" t="s">
        <v>425</v>
      </c>
      <c r="C24" s="21" t="s">
        <v>426</v>
      </c>
      <c r="D24" s="21" t="s">
        <v>427</v>
      </c>
      <c r="E24" s="21" t="str">
        <f>"0,8100"</f>
        <v>0,8100</v>
      </c>
      <c r="F24" s="21" t="s">
        <v>23</v>
      </c>
      <c r="G24" s="21" t="s">
        <v>487</v>
      </c>
      <c r="H24" s="85" t="s">
        <v>15</v>
      </c>
      <c r="I24" s="72"/>
      <c r="J24" s="72"/>
      <c r="K24" s="72"/>
      <c r="L24" s="71">
        <v>150</v>
      </c>
      <c r="M24" s="71" t="str">
        <f>"121,5000"</f>
        <v>121,5000</v>
      </c>
      <c r="N24" s="21" t="s">
        <v>74</v>
      </c>
    </row>
    <row r="25" spans="1:14" ht="12.75">
      <c r="A25" s="77">
        <v>1</v>
      </c>
      <c r="B25" s="22" t="s">
        <v>425</v>
      </c>
      <c r="C25" s="22" t="s">
        <v>428</v>
      </c>
      <c r="D25" s="22" t="s">
        <v>427</v>
      </c>
      <c r="E25" s="22" t="str">
        <f>"0,8100"</f>
        <v>0,8100</v>
      </c>
      <c r="F25" s="22" t="s">
        <v>23</v>
      </c>
      <c r="G25" s="22" t="s">
        <v>487</v>
      </c>
      <c r="H25" s="86" t="s">
        <v>289</v>
      </c>
      <c r="I25" s="86" t="s">
        <v>42</v>
      </c>
      <c r="J25" s="86" t="s">
        <v>15</v>
      </c>
      <c r="K25" s="74"/>
      <c r="L25" s="73">
        <v>150</v>
      </c>
      <c r="M25" s="73" t="str">
        <f>"121,5000"</f>
        <v>121,5000</v>
      </c>
      <c r="N25" s="22" t="s">
        <v>74</v>
      </c>
    </row>
    <row r="27" spans="2:13" ht="15.75">
      <c r="B27" s="121" t="s">
        <v>19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4" ht="12.75">
      <c r="A28" s="77">
        <v>1</v>
      </c>
      <c r="B28" s="19" t="s">
        <v>429</v>
      </c>
      <c r="C28" s="19" t="s">
        <v>430</v>
      </c>
      <c r="D28" s="19" t="s">
        <v>431</v>
      </c>
      <c r="E28" s="19" t="str">
        <f>"0,6734"</f>
        <v>0,6734</v>
      </c>
      <c r="F28" s="19" t="s">
        <v>23</v>
      </c>
      <c r="G28" s="19" t="s">
        <v>112</v>
      </c>
      <c r="H28" s="83" t="s">
        <v>50</v>
      </c>
      <c r="I28" s="83" t="s">
        <v>280</v>
      </c>
      <c r="J28" s="83" t="s">
        <v>281</v>
      </c>
      <c r="K28" s="68"/>
      <c r="L28" s="67">
        <v>260</v>
      </c>
      <c r="M28" s="67" t="str">
        <f>"175,0840"</f>
        <v>175,0840</v>
      </c>
      <c r="N28" s="19" t="s">
        <v>492</v>
      </c>
    </row>
    <row r="30" spans="2:13" ht="15.75">
      <c r="B30" s="121" t="s">
        <v>27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4" ht="12.75">
      <c r="A31" s="77">
        <v>1</v>
      </c>
      <c r="B31" s="20" t="s">
        <v>354</v>
      </c>
      <c r="C31" s="20" t="s">
        <v>355</v>
      </c>
      <c r="D31" s="20" t="s">
        <v>356</v>
      </c>
      <c r="E31" s="20" t="str">
        <f>"0,6491"</f>
        <v>0,6491</v>
      </c>
      <c r="F31" s="20" t="s">
        <v>23</v>
      </c>
      <c r="G31" s="20" t="s">
        <v>486</v>
      </c>
      <c r="H31" s="84" t="s">
        <v>48</v>
      </c>
      <c r="I31" s="84" t="s">
        <v>50</v>
      </c>
      <c r="J31" s="80" t="s">
        <v>307</v>
      </c>
      <c r="K31" s="70"/>
      <c r="L31" s="69">
        <v>230</v>
      </c>
      <c r="M31" s="69" t="str">
        <f>"149,2930"</f>
        <v>149,2930</v>
      </c>
      <c r="N31" s="20" t="s">
        <v>74</v>
      </c>
    </row>
    <row r="32" spans="1:14" ht="12.75">
      <c r="A32" s="77">
        <v>2</v>
      </c>
      <c r="B32" s="22" t="s">
        <v>212</v>
      </c>
      <c r="C32" s="22" t="s">
        <v>213</v>
      </c>
      <c r="D32" s="22" t="s">
        <v>214</v>
      </c>
      <c r="E32" s="22" t="str">
        <f>"0,6395"</f>
        <v>0,6395</v>
      </c>
      <c r="F32" s="22" t="s">
        <v>23</v>
      </c>
      <c r="G32" s="22" t="s">
        <v>488</v>
      </c>
      <c r="H32" s="86" t="s">
        <v>432</v>
      </c>
      <c r="I32" s="86" t="s">
        <v>48</v>
      </c>
      <c r="J32" s="81" t="s">
        <v>352</v>
      </c>
      <c r="K32" s="74"/>
      <c r="L32" s="73">
        <v>210</v>
      </c>
      <c r="M32" s="73" t="str">
        <f>"134,2950"</f>
        <v>134,2950</v>
      </c>
      <c r="N32" s="22" t="s">
        <v>74</v>
      </c>
    </row>
    <row r="34" spans="2:13" ht="15.75">
      <c r="B34" s="121" t="s">
        <v>44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4" ht="12.75">
      <c r="A35" s="77">
        <v>1</v>
      </c>
      <c r="B35" s="19" t="s">
        <v>433</v>
      </c>
      <c r="C35" s="19" t="s">
        <v>434</v>
      </c>
      <c r="D35" s="19" t="s">
        <v>435</v>
      </c>
      <c r="E35" s="19" t="str">
        <f>"0,6217"</f>
        <v>0,6217</v>
      </c>
      <c r="F35" s="19" t="s">
        <v>177</v>
      </c>
      <c r="G35" s="19" t="s">
        <v>486</v>
      </c>
      <c r="H35" s="83" t="s">
        <v>83</v>
      </c>
      <c r="I35" s="83" t="s">
        <v>48</v>
      </c>
      <c r="J35" s="78" t="s">
        <v>49</v>
      </c>
      <c r="K35" s="68"/>
      <c r="L35" s="67">
        <v>210</v>
      </c>
      <c r="M35" s="67" t="str">
        <f>"130,5570"</f>
        <v>130,5570</v>
      </c>
      <c r="N35" s="19" t="s">
        <v>491</v>
      </c>
    </row>
    <row r="37" spans="2:13" ht="15.75">
      <c r="B37" s="121" t="s">
        <v>75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4" ht="12.75">
      <c r="A38" s="77">
        <v>1</v>
      </c>
      <c r="B38" s="19" t="s">
        <v>436</v>
      </c>
      <c r="C38" s="19" t="s">
        <v>437</v>
      </c>
      <c r="D38" s="19" t="s">
        <v>438</v>
      </c>
      <c r="E38" s="19" t="str">
        <f>"0,5912"</f>
        <v>0,5912</v>
      </c>
      <c r="F38" s="19" t="s">
        <v>23</v>
      </c>
      <c r="G38" s="19" t="s">
        <v>486</v>
      </c>
      <c r="H38" s="83" t="s">
        <v>32</v>
      </c>
      <c r="I38" s="83" t="s">
        <v>83</v>
      </c>
      <c r="J38" s="82" t="s">
        <v>352</v>
      </c>
      <c r="K38" s="68"/>
      <c r="L38" s="67">
        <v>215</v>
      </c>
      <c r="M38" s="67" t="str">
        <f>"127,1080"</f>
        <v>127,1080</v>
      </c>
      <c r="N38" s="19" t="s">
        <v>74</v>
      </c>
    </row>
    <row r="40" ht="15.75">
      <c r="F40" s="23"/>
    </row>
    <row r="42" spans="2:3" ht="18">
      <c r="B42" s="24" t="s">
        <v>134</v>
      </c>
      <c r="C42" s="24"/>
    </row>
    <row r="43" spans="2:3" ht="15.75">
      <c r="B43" s="25" t="s">
        <v>247</v>
      </c>
      <c r="C43" s="25"/>
    </row>
    <row r="44" spans="2:3" ht="13.5">
      <c r="B44" s="27"/>
      <c r="C44" s="28" t="s">
        <v>143</v>
      </c>
    </row>
    <row r="45" spans="2:6" ht="13.5">
      <c r="B45" s="29" t="s">
        <v>136</v>
      </c>
      <c r="C45" s="29" t="s">
        <v>137</v>
      </c>
      <c r="D45" s="29" t="s">
        <v>138</v>
      </c>
      <c r="E45" s="29" t="s">
        <v>139</v>
      </c>
      <c r="F45" s="29" t="s">
        <v>140</v>
      </c>
    </row>
    <row r="46" spans="1:6" ht="12.75">
      <c r="A46" s="77">
        <v>1</v>
      </c>
      <c r="B46" s="26" t="s">
        <v>329</v>
      </c>
      <c r="C46" s="41" t="s">
        <v>143</v>
      </c>
      <c r="D46" s="75">
        <v>60</v>
      </c>
      <c r="E46" s="75" t="s">
        <v>25</v>
      </c>
      <c r="F46" s="66" t="s">
        <v>439</v>
      </c>
    </row>
    <row r="47" spans="1:6" ht="12.75">
      <c r="A47" s="77">
        <v>2</v>
      </c>
      <c r="B47" s="26" t="s">
        <v>332</v>
      </c>
      <c r="C47" s="41" t="s">
        <v>143</v>
      </c>
      <c r="D47" s="75">
        <v>67.5</v>
      </c>
      <c r="E47" s="75" t="s">
        <v>289</v>
      </c>
      <c r="F47" s="66" t="s">
        <v>440</v>
      </c>
    </row>
    <row r="48" spans="1:6" ht="12.75">
      <c r="A48" s="77">
        <v>3</v>
      </c>
      <c r="B48" s="26" t="s">
        <v>413</v>
      </c>
      <c r="C48" s="41" t="s">
        <v>143</v>
      </c>
      <c r="D48" s="75">
        <v>67.5</v>
      </c>
      <c r="E48" s="75" t="s">
        <v>208</v>
      </c>
      <c r="F48" s="66" t="s">
        <v>441</v>
      </c>
    </row>
    <row r="51" spans="2:3" ht="15.75">
      <c r="B51" s="25" t="s">
        <v>135</v>
      </c>
      <c r="C51" s="25"/>
    </row>
    <row r="52" spans="2:3" ht="13.5">
      <c r="B52" s="27"/>
      <c r="C52" s="28" t="s">
        <v>143</v>
      </c>
    </row>
    <row r="53" spans="2:6" ht="13.5">
      <c r="B53" s="29" t="s">
        <v>136</v>
      </c>
      <c r="C53" s="29" t="s">
        <v>137</v>
      </c>
      <c r="D53" s="29" t="s">
        <v>138</v>
      </c>
      <c r="E53" s="29" t="s">
        <v>139</v>
      </c>
      <c r="F53" s="29" t="s">
        <v>140</v>
      </c>
    </row>
    <row r="54" spans="1:6" ht="12.75">
      <c r="A54" s="77">
        <v>1</v>
      </c>
      <c r="B54" s="26" t="s">
        <v>429</v>
      </c>
      <c r="C54" s="41" t="s">
        <v>143</v>
      </c>
      <c r="D54" s="66" t="s">
        <v>490</v>
      </c>
      <c r="E54" s="66" t="s">
        <v>281</v>
      </c>
      <c r="F54" s="66" t="s">
        <v>442</v>
      </c>
    </row>
    <row r="55" spans="1:6" ht="12.75">
      <c r="A55" s="77">
        <v>2</v>
      </c>
      <c r="B55" s="26" t="s">
        <v>354</v>
      </c>
      <c r="C55" s="41" t="s">
        <v>143</v>
      </c>
      <c r="D55" s="66" t="s">
        <v>265</v>
      </c>
      <c r="E55" s="66" t="s">
        <v>50</v>
      </c>
      <c r="F55" s="66" t="s">
        <v>443</v>
      </c>
    </row>
    <row r="56" spans="1:6" ht="12.75">
      <c r="A56" s="77">
        <v>3</v>
      </c>
      <c r="B56" s="26" t="s">
        <v>212</v>
      </c>
      <c r="C56" s="41" t="s">
        <v>143</v>
      </c>
      <c r="D56" s="66" t="s">
        <v>265</v>
      </c>
      <c r="E56" s="66" t="s">
        <v>48</v>
      </c>
      <c r="F56" s="66" t="s">
        <v>444</v>
      </c>
    </row>
  </sheetData>
  <sheetProtection/>
  <mergeCells count="2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37:M37"/>
    <mergeCell ref="B14:M14"/>
    <mergeCell ref="B19:M19"/>
    <mergeCell ref="B22:M22"/>
    <mergeCell ref="B27:M27"/>
    <mergeCell ref="B30:M30"/>
    <mergeCell ref="B34:M34"/>
    <mergeCell ref="A3:A4"/>
    <mergeCell ref="N3:N4"/>
    <mergeCell ref="B5:M5"/>
    <mergeCell ref="B8:M8"/>
    <mergeCell ref="B11:M1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G33" sqref="G33"/>
    </sheetView>
  </sheetViews>
  <sheetFormatPr defaultColWidth="8.75390625" defaultRowHeight="12.75"/>
  <cols>
    <col min="1" max="1" width="7.25390625" style="77" customWidth="1"/>
    <col min="2" max="2" width="24.753906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1.00390625" style="18" customWidth="1"/>
    <col min="7" max="7" width="31.753906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4.875" style="18" customWidth="1"/>
  </cols>
  <sheetData>
    <row r="1" spans="1:22" s="1" customFormat="1" ht="15" customHeight="1">
      <c r="A1" s="76"/>
      <c r="B1" s="127" t="s">
        <v>553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</row>
    <row r="2" spans="1:22" s="1" customFormat="1" ht="82.5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</row>
    <row r="3" spans="1:22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1</v>
      </c>
      <c r="I3" s="139"/>
      <c r="J3" s="139"/>
      <c r="K3" s="139"/>
      <c r="L3" s="139" t="s">
        <v>2</v>
      </c>
      <c r="M3" s="139"/>
      <c r="N3" s="139"/>
      <c r="O3" s="139"/>
      <c r="P3" s="139" t="s">
        <v>3</v>
      </c>
      <c r="Q3" s="139"/>
      <c r="R3" s="139"/>
      <c r="S3" s="139"/>
      <c r="T3" s="139" t="s">
        <v>4</v>
      </c>
      <c r="U3" s="139" t="s">
        <v>6</v>
      </c>
      <c r="V3" s="124" t="s">
        <v>5</v>
      </c>
    </row>
    <row r="4" spans="1:22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36"/>
      <c r="U4" s="136"/>
      <c r="V4" s="125"/>
    </row>
    <row r="5" spans="2:21" ht="15.75">
      <c r="B5" s="126" t="s">
        <v>10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 ht="12.75">
      <c r="A6" s="77">
        <v>1</v>
      </c>
      <c r="B6" s="19" t="s">
        <v>274</v>
      </c>
      <c r="C6" s="19" t="s">
        <v>275</v>
      </c>
      <c r="D6" s="19" t="s">
        <v>276</v>
      </c>
      <c r="E6" s="19" t="str">
        <f>"0,7942"</f>
        <v>0,7942</v>
      </c>
      <c r="F6" s="19" t="s">
        <v>23</v>
      </c>
      <c r="G6" s="19" t="s">
        <v>277</v>
      </c>
      <c r="H6" s="90" t="s">
        <v>208</v>
      </c>
      <c r="I6" s="94" t="s">
        <v>194</v>
      </c>
      <c r="J6" s="94" t="s">
        <v>194</v>
      </c>
      <c r="K6" s="59"/>
      <c r="L6" s="90" t="s">
        <v>265</v>
      </c>
      <c r="M6" s="94" t="s">
        <v>198</v>
      </c>
      <c r="N6" s="94" t="s">
        <v>198</v>
      </c>
      <c r="O6" s="59"/>
      <c r="P6" s="90" t="s">
        <v>208</v>
      </c>
      <c r="Q6" s="90" t="s">
        <v>188</v>
      </c>
      <c r="R6" s="90" t="s">
        <v>42</v>
      </c>
      <c r="S6" s="59"/>
      <c r="T6" s="67">
        <v>340</v>
      </c>
      <c r="U6" s="58" t="str">
        <f>"270,0280"</f>
        <v>270,0280</v>
      </c>
      <c r="V6" s="19" t="s">
        <v>74</v>
      </c>
    </row>
    <row r="8" spans="2:21" ht="15.75">
      <c r="B8" s="12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2" ht="12.75">
      <c r="A9" s="77">
        <v>1</v>
      </c>
      <c r="B9" s="20" t="s">
        <v>278</v>
      </c>
      <c r="C9" s="20" t="s">
        <v>279</v>
      </c>
      <c r="D9" s="20" t="s">
        <v>214</v>
      </c>
      <c r="E9" s="20" t="str">
        <f>"0,6395"</f>
        <v>0,6395</v>
      </c>
      <c r="F9" s="20" t="s">
        <v>23</v>
      </c>
      <c r="G9" s="20" t="s">
        <v>487</v>
      </c>
      <c r="H9" s="95" t="s">
        <v>83</v>
      </c>
      <c r="I9" s="95" t="s">
        <v>83</v>
      </c>
      <c r="J9" s="92" t="s">
        <v>83</v>
      </c>
      <c r="K9" s="61"/>
      <c r="L9" s="92" t="s">
        <v>15</v>
      </c>
      <c r="M9" s="92" t="s">
        <v>58</v>
      </c>
      <c r="N9" s="95" t="s">
        <v>18</v>
      </c>
      <c r="O9" s="61"/>
      <c r="P9" s="92" t="s">
        <v>280</v>
      </c>
      <c r="Q9" s="92" t="s">
        <v>281</v>
      </c>
      <c r="R9" s="61"/>
      <c r="S9" s="61"/>
      <c r="T9" s="69">
        <v>620</v>
      </c>
      <c r="U9" s="60" t="str">
        <f>"396,4900"</f>
        <v>396,4900</v>
      </c>
      <c r="V9" s="20" t="s">
        <v>74</v>
      </c>
    </row>
    <row r="10" spans="1:22" ht="12.75">
      <c r="A10" s="77">
        <v>2</v>
      </c>
      <c r="B10" s="21" t="s">
        <v>282</v>
      </c>
      <c r="C10" s="21" t="s">
        <v>283</v>
      </c>
      <c r="D10" s="21" t="s">
        <v>284</v>
      </c>
      <c r="E10" s="21" t="str">
        <f>"0,6628"</f>
        <v>0,6628</v>
      </c>
      <c r="F10" s="21" t="s">
        <v>177</v>
      </c>
      <c r="G10" s="21" t="s">
        <v>487</v>
      </c>
      <c r="H10" s="91" t="s">
        <v>83</v>
      </c>
      <c r="I10" s="96" t="s">
        <v>84</v>
      </c>
      <c r="J10" s="63"/>
      <c r="K10" s="63"/>
      <c r="L10" s="91" t="s">
        <v>42</v>
      </c>
      <c r="M10" s="91" t="s">
        <v>64</v>
      </c>
      <c r="N10" s="91" t="s">
        <v>43</v>
      </c>
      <c r="O10" s="63"/>
      <c r="P10" s="91" t="s">
        <v>48</v>
      </c>
      <c r="Q10" s="91" t="s">
        <v>49</v>
      </c>
      <c r="R10" s="96" t="s">
        <v>285</v>
      </c>
      <c r="S10" s="63"/>
      <c r="T10" s="71">
        <v>567.5</v>
      </c>
      <c r="U10" s="62" t="str">
        <f>"376,1390"</f>
        <v>376,1390</v>
      </c>
      <c r="V10" s="21" t="s">
        <v>74</v>
      </c>
    </row>
    <row r="11" spans="1:22" ht="12.75">
      <c r="A11" s="77">
        <v>1</v>
      </c>
      <c r="B11" s="22" t="s">
        <v>286</v>
      </c>
      <c r="C11" s="22" t="s">
        <v>287</v>
      </c>
      <c r="D11" s="22" t="s">
        <v>288</v>
      </c>
      <c r="E11" s="22" t="str">
        <f>"0,6562"</f>
        <v>0,6562</v>
      </c>
      <c r="F11" s="22" t="s">
        <v>504</v>
      </c>
      <c r="G11" s="19" t="s">
        <v>486</v>
      </c>
      <c r="H11" s="97" t="s">
        <v>58</v>
      </c>
      <c r="I11" s="93" t="s">
        <v>58</v>
      </c>
      <c r="J11" s="97" t="s">
        <v>31</v>
      </c>
      <c r="K11" s="65"/>
      <c r="L11" s="93" t="s">
        <v>188</v>
      </c>
      <c r="M11" s="93" t="s">
        <v>289</v>
      </c>
      <c r="N11" s="93" t="s">
        <v>290</v>
      </c>
      <c r="O11" s="65"/>
      <c r="P11" s="93" t="s">
        <v>32</v>
      </c>
      <c r="Q11" s="93" t="s">
        <v>68</v>
      </c>
      <c r="R11" s="97" t="s">
        <v>83</v>
      </c>
      <c r="S11" s="65"/>
      <c r="T11" s="73">
        <v>487.5</v>
      </c>
      <c r="U11" s="64" t="str">
        <f>"339,0913"</f>
        <v>339,0913</v>
      </c>
      <c r="V11" s="22" t="s">
        <v>505</v>
      </c>
    </row>
    <row r="13" spans="2:21" ht="15.75">
      <c r="B13" s="121" t="s">
        <v>44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2" ht="12.75">
      <c r="A14" s="77">
        <v>1</v>
      </c>
      <c r="B14" s="19" t="s">
        <v>291</v>
      </c>
      <c r="C14" s="19" t="s">
        <v>292</v>
      </c>
      <c r="D14" s="19" t="s">
        <v>293</v>
      </c>
      <c r="E14" s="19" t="str">
        <f>"0,6113"</f>
        <v>0,6113</v>
      </c>
      <c r="F14" s="19" t="s">
        <v>23</v>
      </c>
      <c r="G14" s="19" t="s">
        <v>486</v>
      </c>
      <c r="H14" s="90" t="s">
        <v>294</v>
      </c>
      <c r="I14" s="90" t="s">
        <v>295</v>
      </c>
      <c r="J14" s="94" t="s">
        <v>296</v>
      </c>
      <c r="K14" s="59"/>
      <c r="L14" s="90" t="s">
        <v>31</v>
      </c>
      <c r="M14" s="90" t="s">
        <v>37</v>
      </c>
      <c r="N14" s="90" t="s">
        <v>232</v>
      </c>
      <c r="O14" s="59"/>
      <c r="P14" s="90" t="s">
        <v>297</v>
      </c>
      <c r="Q14" s="90" t="s">
        <v>298</v>
      </c>
      <c r="R14" s="59"/>
      <c r="S14" s="59"/>
      <c r="T14" s="67">
        <v>680</v>
      </c>
      <c r="U14" s="58" t="str">
        <f>"415,6840"</f>
        <v>415,6840</v>
      </c>
      <c r="V14" s="19" t="s">
        <v>506</v>
      </c>
    </row>
    <row r="16" spans="2:21" ht="15.75">
      <c r="B16" s="121" t="s">
        <v>75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1:22" ht="12.75">
      <c r="A17" s="77">
        <v>1</v>
      </c>
      <c r="B17" s="20" t="s">
        <v>85</v>
      </c>
      <c r="C17" s="20" t="s">
        <v>86</v>
      </c>
      <c r="D17" s="20" t="s">
        <v>87</v>
      </c>
      <c r="E17" s="20" t="str">
        <f>"0,5916"</f>
        <v>0,5916</v>
      </c>
      <c r="F17" s="20" t="s">
        <v>23</v>
      </c>
      <c r="G17" s="20" t="s">
        <v>99</v>
      </c>
      <c r="H17" s="92" t="s">
        <v>299</v>
      </c>
      <c r="I17" s="92" t="s">
        <v>300</v>
      </c>
      <c r="J17" s="92" t="s">
        <v>301</v>
      </c>
      <c r="K17" s="61"/>
      <c r="L17" s="92" t="s">
        <v>68</v>
      </c>
      <c r="M17" s="92" t="s">
        <v>83</v>
      </c>
      <c r="N17" s="95" t="s">
        <v>48</v>
      </c>
      <c r="O17" s="61"/>
      <c r="P17" s="92" t="s">
        <v>300</v>
      </c>
      <c r="Q17" s="92" t="s">
        <v>302</v>
      </c>
      <c r="R17" s="92" t="s">
        <v>303</v>
      </c>
      <c r="S17" s="61"/>
      <c r="T17" s="69">
        <v>860</v>
      </c>
      <c r="U17" s="60" t="str">
        <f>"508,7760"</f>
        <v>508,7760</v>
      </c>
      <c r="V17" s="20" t="s">
        <v>74</v>
      </c>
    </row>
    <row r="18" spans="1:22" ht="12.75">
      <c r="A18" s="77">
        <v>2</v>
      </c>
      <c r="B18" s="22" t="s">
        <v>304</v>
      </c>
      <c r="C18" s="22" t="s">
        <v>305</v>
      </c>
      <c r="D18" s="22" t="s">
        <v>306</v>
      </c>
      <c r="E18" s="22" t="str">
        <f>"0,5928"</f>
        <v>0,5928</v>
      </c>
      <c r="F18" s="22" t="s">
        <v>95</v>
      </c>
      <c r="G18" s="19" t="s">
        <v>486</v>
      </c>
      <c r="H18" s="93" t="s">
        <v>50</v>
      </c>
      <c r="I18" s="93" t="s">
        <v>294</v>
      </c>
      <c r="J18" s="97" t="s">
        <v>280</v>
      </c>
      <c r="K18" s="65"/>
      <c r="L18" s="93" t="s">
        <v>15</v>
      </c>
      <c r="M18" s="93" t="s">
        <v>16</v>
      </c>
      <c r="N18" s="93" t="s">
        <v>58</v>
      </c>
      <c r="O18" s="65"/>
      <c r="P18" s="93" t="s">
        <v>49</v>
      </c>
      <c r="Q18" s="93" t="s">
        <v>307</v>
      </c>
      <c r="R18" s="93" t="s">
        <v>308</v>
      </c>
      <c r="S18" s="65"/>
      <c r="T18" s="73">
        <v>645</v>
      </c>
      <c r="U18" s="64" t="str">
        <f>"382,3560"</f>
        <v>382,3560</v>
      </c>
      <c r="V18" s="22" t="s">
        <v>507</v>
      </c>
    </row>
    <row r="20" spans="2:21" ht="15.75">
      <c r="B20" s="121" t="s">
        <v>105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2" ht="12.75">
      <c r="A21" s="77">
        <v>1</v>
      </c>
      <c r="B21" s="19" t="s">
        <v>309</v>
      </c>
      <c r="C21" s="19" t="s">
        <v>310</v>
      </c>
      <c r="D21" s="19" t="s">
        <v>311</v>
      </c>
      <c r="E21" s="19" t="str">
        <f>"0,5778"</f>
        <v>0,5778</v>
      </c>
      <c r="F21" s="19" t="s">
        <v>312</v>
      </c>
      <c r="G21" s="19" t="s">
        <v>486</v>
      </c>
      <c r="H21" s="90" t="s">
        <v>83</v>
      </c>
      <c r="I21" s="94" t="s">
        <v>49</v>
      </c>
      <c r="J21" s="90" t="s">
        <v>294</v>
      </c>
      <c r="K21" s="59"/>
      <c r="L21" s="90" t="s">
        <v>18</v>
      </c>
      <c r="M21" s="90" t="s">
        <v>37</v>
      </c>
      <c r="N21" s="94" t="s">
        <v>60</v>
      </c>
      <c r="O21" s="59"/>
      <c r="P21" s="90" t="s">
        <v>294</v>
      </c>
      <c r="Q21" s="90" t="s">
        <v>281</v>
      </c>
      <c r="R21" s="94" t="s">
        <v>313</v>
      </c>
      <c r="S21" s="59"/>
      <c r="T21" s="67">
        <v>675</v>
      </c>
      <c r="U21" s="58" t="str">
        <f>"390,0150"</f>
        <v>390,0150</v>
      </c>
      <c r="V21" s="19" t="s">
        <v>508</v>
      </c>
    </row>
    <row r="23" spans="2:21" ht="15.75">
      <c r="B23" s="121" t="s">
        <v>127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2" ht="12.75">
      <c r="B24" s="19" t="s">
        <v>314</v>
      </c>
      <c r="C24" s="19" t="s">
        <v>315</v>
      </c>
      <c r="D24" s="19" t="s">
        <v>316</v>
      </c>
      <c r="E24" s="19" t="str">
        <f>"0,5581"</f>
        <v>0,5581</v>
      </c>
      <c r="F24" s="19" t="s">
        <v>23</v>
      </c>
      <c r="G24" s="19" t="s">
        <v>486</v>
      </c>
      <c r="H24" s="94" t="s">
        <v>317</v>
      </c>
      <c r="I24" s="59"/>
      <c r="J24" s="59"/>
      <c r="K24" s="59"/>
      <c r="L24" s="94"/>
      <c r="M24" s="59"/>
      <c r="N24" s="59"/>
      <c r="O24" s="59"/>
      <c r="P24" s="94"/>
      <c r="Q24" s="59"/>
      <c r="R24" s="59"/>
      <c r="S24" s="59"/>
      <c r="T24" s="58">
        <v>0</v>
      </c>
      <c r="U24" s="58" t="s">
        <v>470</v>
      </c>
      <c r="V24" s="19" t="s">
        <v>74</v>
      </c>
    </row>
    <row r="27" spans="2:3" ht="18">
      <c r="B27" s="24" t="s">
        <v>134</v>
      </c>
      <c r="C27" s="24"/>
    </row>
    <row r="28" spans="2:3" ht="15.75">
      <c r="B28" s="25" t="s">
        <v>135</v>
      </c>
      <c r="C28" s="25"/>
    </row>
    <row r="29" spans="2:3" ht="13.5">
      <c r="B29" s="27"/>
      <c r="C29" s="28" t="s">
        <v>143</v>
      </c>
    </row>
    <row r="30" spans="2:6" ht="13.5">
      <c r="B30" s="29" t="s">
        <v>136</v>
      </c>
      <c r="C30" s="29" t="s">
        <v>137</v>
      </c>
      <c r="D30" s="29" t="s">
        <v>138</v>
      </c>
      <c r="E30" s="29" t="s">
        <v>139</v>
      </c>
      <c r="F30" s="29" t="s">
        <v>140</v>
      </c>
    </row>
    <row r="31" spans="1:6" ht="12.75">
      <c r="A31" s="77">
        <v>1</v>
      </c>
      <c r="B31" s="26" t="s">
        <v>85</v>
      </c>
      <c r="C31" s="18" t="s">
        <v>143</v>
      </c>
      <c r="D31" s="66" t="s">
        <v>142</v>
      </c>
      <c r="E31" s="66" t="s">
        <v>318</v>
      </c>
      <c r="F31" s="66" t="s">
        <v>319</v>
      </c>
    </row>
    <row r="32" spans="1:6" ht="12.75">
      <c r="A32" s="77">
        <v>2</v>
      </c>
      <c r="B32" s="26" t="s">
        <v>291</v>
      </c>
      <c r="C32" s="18" t="s">
        <v>143</v>
      </c>
      <c r="D32" s="66" t="s">
        <v>144</v>
      </c>
      <c r="E32" s="66" t="s">
        <v>320</v>
      </c>
      <c r="F32" s="66" t="s">
        <v>321</v>
      </c>
    </row>
    <row r="33" spans="1:6" ht="12.75">
      <c r="A33" s="77">
        <v>3</v>
      </c>
      <c r="B33" s="26" t="s">
        <v>278</v>
      </c>
      <c r="C33" s="18" t="s">
        <v>143</v>
      </c>
      <c r="D33" s="66" t="s">
        <v>141</v>
      </c>
      <c r="E33" s="66" t="s">
        <v>322</v>
      </c>
      <c r="F33" s="66" t="s">
        <v>323</v>
      </c>
    </row>
  </sheetData>
  <sheetProtection/>
  <mergeCells count="20">
    <mergeCell ref="V3:V4"/>
    <mergeCell ref="B5:U5"/>
    <mergeCell ref="B8:U8"/>
    <mergeCell ref="B13:U13"/>
    <mergeCell ref="B1:V2"/>
    <mergeCell ref="B3:B4"/>
    <mergeCell ref="C3:C4"/>
    <mergeCell ref="D3:D4"/>
    <mergeCell ref="E3:E4"/>
    <mergeCell ref="F3:F4"/>
    <mergeCell ref="A3:A4"/>
    <mergeCell ref="B16:U16"/>
    <mergeCell ref="B20:U20"/>
    <mergeCell ref="B23:U23"/>
    <mergeCell ref="T3:T4"/>
    <mergeCell ref="U3:U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B18" sqref="B18:M18"/>
    </sheetView>
  </sheetViews>
  <sheetFormatPr defaultColWidth="8.75390625" defaultRowHeight="12.75"/>
  <cols>
    <col min="1" max="1" width="7.125" style="77" customWidth="1"/>
    <col min="2" max="2" width="19.1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13.875" style="18" customWidth="1"/>
    <col min="7" max="7" width="35.75390625" style="18" customWidth="1"/>
    <col min="8" max="10" width="5.625" style="18" bestFit="1" customWidth="1"/>
    <col min="11" max="11" width="4.625" style="18" bestFit="1" customWidth="1"/>
    <col min="12" max="12" width="11.375" style="18" customWidth="1"/>
    <col min="13" max="13" width="8.625" style="18" bestFit="1" customWidth="1"/>
    <col min="14" max="14" width="16.125" style="18" customWidth="1"/>
  </cols>
  <sheetData>
    <row r="1" spans="1:14" s="1" customFormat="1" ht="15" customHeight="1">
      <c r="A1" s="76"/>
      <c r="B1" s="127" t="s">
        <v>551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1" customFormat="1" ht="77.25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3</v>
      </c>
      <c r="I3" s="139"/>
      <c r="J3" s="139"/>
      <c r="K3" s="139"/>
      <c r="L3" s="142" t="s">
        <v>489</v>
      </c>
      <c r="M3" s="139" t="s">
        <v>6</v>
      </c>
      <c r="N3" s="124" t="s">
        <v>5</v>
      </c>
    </row>
    <row r="4" spans="1:14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143"/>
      <c r="M4" s="136"/>
      <c r="N4" s="125"/>
    </row>
    <row r="5" spans="2:13" ht="15.75">
      <c r="B5" s="126" t="s">
        <v>168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2.75">
      <c r="A6" s="77">
        <v>1</v>
      </c>
      <c r="B6" s="19" t="s">
        <v>357</v>
      </c>
      <c r="C6" s="19" t="s">
        <v>358</v>
      </c>
      <c r="D6" s="19" t="s">
        <v>359</v>
      </c>
      <c r="E6" s="19" t="str">
        <f>"0,9555"</f>
        <v>0,9555</v>
      </c>
      <c r="F6" s="19" t="s">
        <v>23</v>
      </c>
      <c r="G6" s="19" t="s">
        <v>486</v>
      </c>
      <c r="H6" s="83" t="s">
        <v>194</v>
      </c>
      <c r="I6" s="83" t="s">
        <v>189</v>
      </c>
      <c r="J6" s="83" t="s">
        <v>215</v>
      </c>
      <c r="K6" s="68"/>
      <c r="L6" s="67">
        <v>135</v>
      </c>
      <c r="M6" s="67" t="str">
        <f>"128,9925"</f>
        <v>128,9925</v>
      </c>
      <c r="N6" s="19" t="s">
        <v>74</v>
      </c>
    </row>
    <row r="8" spans="2:13" ht="15.75">
      <c r="B8" s="121" t="s">
        <v>10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4" ht="12.75">
      <c r="A9" s="77">
        <v>1</v>
      </c>
      <c r="B9" s="19" t="s">
        <v>360</v>
      </c>
      <c r="C9" s="19" t="s">
        <v>361</v>
      </c>
      <c r="D9" s="19" t="s">
        <v>362</v>
      </c>
      <c r="E9" s="19" t="str">
        <f>"0,7891"</f>
        <v>0,7891</v>
      </c>
      <c r="F9" s="19" t="s">
        <v>23</v>
      </c>
      <c r="G9" s="19" t="s">
        <v>486</v>
      </c>
      <c r="H9" s="83" t="s">
        <v>58</v>
      </c>
      <c r="I9" s="78" t="s">
        <v>232</v>
      </c>
      <c r="J9" s="83" t="s">
        <v>32</v>
      </c>
      <c r="K9" s="68"/>
      <c r="L9" s="67">
        <v>180</v>
      </c>
      <c r="M9" s="67" t="str">
        <f>"142,0380"</f>
        <v>142,0380</v>
      </c>
      <c r="N9" s="19" t="s">
        <v>498</v>
      </c>
    </row>
    <row r="11" spans="2:13" ht="15.75">
      <c r="B11" s="121" t="s">
        <v>19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2.75">
      <c r="A12" s="77">
        <v>1</v>
      </c>
      <c r="B12" s="19" t="s">
        <v>20</v>
      </c>
      <c r="C12" s="19" t="s">
        <v>21</v>
      </c>
      <c r="D12" s="19" t="s">
        <v>22</v>
      </c>
      <c r="E12" s="19" t="str">
        <f>"0,6933"</f>
        <v>0,6933</v>
      </c>
      <c r="F12" s="19" t="s">
        <v>23</v>
      </c>
      <c r="G12" s="19" t="s">
        <v>486</v>
      </c>
      <c r="H12" s="83" t="s">
        <v>50</v>
      </c>
      <c r="I12" s="83" t="s">
        <v>297</v>
      </c>
      <c r="J12" s="83" t="s">
        <v>363</v>
      </c>
      <c r="K12" s="68"/>
      <c r="L12" s="67">
        <v>242.5</v>
      </c>
      <c r="M12" s="67" t="str">
        <f>"168,1253"</f>
        <v>168,1253</v>
      </c>
      <c r="N12" s="19" t="s">
        <v>74</v>
      </c>
    </row>
    <row r="14" spans="2:13" ht="15.75">
      <c r="B14" s="121" t="s">
        <v>27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4" ht="12.75">
      <c r="A15" s="77">
        <v>1</v>
      </c>
      <c r="B15" s="20" t="s">
        <v>364</v>
      </c>
      <c r="C15" s="20" t="s">
        <v>365</v>
      </c>
      <c r="D15" s="20" t="s">
        <v>366</v>
      </c>
      <c r="E15" s="20" t="str">
        <f>"0,6436"</f>
        <v>0,6436</v>
      </c>
      <c r="F15" s="20" t="s">
        <v>23</v>
      </c>
      <c r="G15" s="20" t="s">
        <v>487</v>
      </c>
      <c r="H15" s="84" t="s">
        <v>308</v>
      </c>
      <c r="I15" s="84" t="s">
        <v>281</v>
      </c>
      <c r="J15" s="80" t="s">
        <v>367</v>
      </c>
      <c r="K15" s="70"/>
      <c r="L15" s="69">
        <v>260</v>
      </c>
      <c r="M15" s="69" t="str">
        <f>"167,3360"</f>
        <v>167,3360</v>
      </c>
      <c r="N15" s="20" t="s">
        <v>74</v>
      </c>
    </row>
    <row r="16" spans="1:14" ht="12.75">
      <c r="A16" s="77">
        <v>1</v>
      </c>
      <c r="B16" s="22" t="s">
        <v>368</v>
      </c>
      <c r="C16" s="22" t="s">
        <v>369</v>
      </c>
      <c r="D16" s="22" t="s">
        <v>370</v>
      </c>
      <c r="E16" s="22" t="str">
        <f>"0,6384"</f>
        <v>0,6384</v>
      </c>
      <c r="F16" s="22" t="s">
        <v>23</v>
      </c>
      <c r="G16" s="22" t="s">
        <v>487</v>
      </c>
      <c r="H16" s="86" t="s">
        <v>49</v>
      </c>
      <c r="I16" s="86" t="s">
        <v>50</v>
      </c>
      <c r="J16" s="81" t="s">
        <v>294</v>
      </c>
      <c r="K16" s="74"/>
      <c r="L16" s="73">
        <v>230</v>
      </c>
      <c r="M16" s="73" t="str">
        <f>"244,3285"</f>
        <v>244,3285</v>
      </c>
      <c r="N16" s="22" t="s">
        <v>74</v>
      </c>
    </row>
    <row r="18" spans="2:13" ht="15.75">
      <c r="B18" s="121" t="s">
        <v>44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4" ht="12.75">
      <c r="A19" s="77">
        <v>1</v>
      </c>
      <c r="B19" s="20" t="s">
        <v>371</v>
      </c>
      <c r="C19" s="20" t="s">
        <v>372</v>
      </c>
      <c r="D19" s="20" t="s">
        <v>373</v>
      </c>
      <c r="E19" s="20" t="str">
        <f>"0,6126"</f>
        <v>0,6126</v>
      </c>
      <c r="F19" s="20" t="s">
        <v>23</v>
      </c>
      <c r="G19" s="20" t="s">
        <v>487</v>
      </c>
      <c r="H19" s="80" t="s">
        <v>294</v>
      </c>
      <c r="I19" s="84" t="s">
        <v>280</v>
      </c>
      <c r="J19" s="84" t="s">
        <v>281</v>
      </c>
      <c r="K19" s="70"/>
      <c r="L19" s="69">
        <v>260</v>
      </c>
      <c r="M19" s="69" t="str">
        <f>"159,2760"</f>
        <v>159,2760</v>
      </c>
      <c r="N19" s="20" t="s">
        <v>499</v>
      </c>
    </row>
    <row r="20" spans="1:14" ht="12.75">
      <c r="A20" s="77">
        <v>1</v>
      </c>
      <c r="B20" s="21" t="s">
        <v>374</v>
      </c>
      <c r="C20" s="21" t="s">
        <v>375</v>
      </c>
      <c r="D20" s="21" t="s">
        <v>376</v>
      </c>
      <c r="E20" s="21" t="str">
        <f>"0,6101"</f>
        <v>0,6101</v>
      </c>
      <c r="F20" s="21" t="s">
        <v>23</v>
      </c>
      <c r="G20" s="21" t="s">
        <v>377</v>
      </c>
      <c r="H20" s="85" t="s">
        <v>378</v>
      </c>
      <c r="I20" s="85" t="s">
        <v>379</v>
      </c>
      <c r="J20" s="79" t="s">
        <v>380</v>
      </c>
      <c r="K20" s="72"/>
      <c r="L20" s="71">
        <v>372.5</v>
      </c>
      <c r="M20" s="71" t="str">
        <f>"227,2622"</f>
        <v>227,2622</v>
      </c>
      <c r="N20" s="21" t="s">
        <v>74</v>
      </c>
    </row>
    <row r="21" spans="1:14" ht="12.75">
      <c r="A21" s="77">
        <v>2</v>
      </c>
      <c r="B21" s="21" t="s">
        <v>45</v>
      </c>
      <c r="C21" s="21" t="s">
        <v>46</v>
      </c>
      <c r="D21" s="21" t="s">
        <v>47</v>
      </c>
      <c r="E21" s="21" t="str">
        <f>"0,6134"</f>
        <v>0,6134</v>
      </c>
      <c r="F21" s="21" t="s">
        <v>23</v>
      </c>
      <c r="G21" s="21" t="s">
        <v>487</v>
      </c>
      <c r="H21" s="85" t="s">
        <v>381</v>
      </c>
      <c r="I21" s="85" t="s">
        <v>301</v>
      </c>
      <c r="J21" s="85" t="s">
        <v>303</v>
      </c>
      <c r="K21" s="72"/>
      <c r="L21" s="71">
        <v>340</v>
      </c>
      <c r="M21" s="71" t="str">
        <f>"208,5560"</f>
        <v>208,5560</v>
      </c>
      <c r="N21" s="21" t="s">
        <v>74</v>
      </c>
    </row>
    <row r="22" spans="1:14" ht="12.75">
      <c r="A22" s="77">
        <v>3</v>
      </c>
      <c r="B22" s="21" t="s">
        <v>382</v>
      </c>
      <c r="C22" s="21" t="s">
        <v>383</v>
      </c>
      <c r="D22" s="21" t="s">
        <v>384</v>
      </c>
      <c r="E22" s="21" t="str">
        <f>"0,6144"</f>
        <v>0,6144</v>
      </c>
      <c r="F22" s="21" t="s">
        <v>23</v>
      </c>
      <c r="G22" s="21" t="s">
        <v>82</v>
      </c>
      <c r="H22" s="85" t="s">
        <v>385</v>
      </c>
      <c r="I22" s="85" t="s">
        <v>386</v>
      </c>
      <c r="J22" s="85" t="s">
        <v>387</v>
      </c>
      <c r="K22" s="72"/>
      <c r="L22" s="71">
        <v>302.5</v>
      </c>
      <c r="M22" s="71" t="str">
        <f>"185,8560"</f>
        <v>185,8560</v>
      </c>
      <c r="N22" s="21" t="s">
        <v>74</v>
      </c>
    </row>
    <row r="23" spans="1:14" ht="12.75">
      <c r="A23" s="77">
        <v>4</v>
      </c>
      <c r="B23" s="21" t="s">
        <v>388</v>
      </c>
      <c r="C23" s="21" t="s">
        <v>389</v>
      </c>
      <c r="D23" s="21" t="s">
        <v>71</v>
      </c>
      <c r="E23" s="21" t="str">
        <f>"0,6118"</f>
        <v>0,6118</v>
      </c>
      <c r="F23" s="21" t="s">
        <v>23</v>
      </c>
      <c r="G23" s="21" t="s">
        <v>497</v>
      </c>
      <c r="H23" s="85" t="s">
        <v>390</v>
      </c>
      <c r="I23" s="85" t="s">
        <v>391</v>
      </c>
      <c r="J23" s="79" t="s">
        <v>313</v>
      </c>
      <c r="K23" s="72"/>
      <c r="L23" s="71">
        <v>275</v>
      </c>
      <c r="M23" s="71" t="str">
        <f>"168,2450"</f>
        <v>168,2450</v>
      </c>
      <c r="N23" s="21" t="s">
        <v>500</v>
      </c>
    </row>
    <row r="24" spans="1:14" ht="12.75">
      <c r="A24" s="77">
        <v>5</v>
      </c>
      <c r="B24" s="22" t="s">
        <v>392</v>
      </c>
      <c r="C24" s="22" t="s">
        <v>393</v>
      </c>
      <c r="D24" s="22" t="s">
        <v>394</v>
      </c>
      <c r="E24" s="22" t="str">
        <f>"0,6158"</f>
        <v>0,6158</v>
      </c>
      <c r="F24" s="22" t="s">
        <v>23</v>
      </c>
      <c r="G24" s="22" t="s">
        <v>395</v>
      </c>
      <c r="H24" s="86" t="s">
        <v>308</v>
      </c>
      <c r="I24" s="81" t="s">
        <v>281</v>
      </c>
      <c r="J24" s="81" t="s">
        <v>281</v>
      </c>
      <c r="K24" s="74"/>
      <c r="L24" s="73">
        <v>245</v>
      </c>
      <c r="M24" s="73" t="str">
        <f>"150,8710"</f>
        <v>150,8710</v>
      </c>
      <c r="N24" s="22" t="s">
        <v>74</v>
      </c>
    </row>
    <row r="26" spans="2:13" ht="15.75">
      <c r="B26" s="121" t="s">
        <v>75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4" ht="12.75">
      <c r="A27" s="77">
        <v>1</v>
      </c>
      <c r="B27" s="19" t="s">
        <v>85</v>
      </c>
      <c r="C27" s="19" t="s">
        <v>86</v>
      </c>
      <c r="D27" s="19" t="s">
        <v>87</v>
      </c>
      <c r="E27" s="19" t="str">
        <f>"0,5916"</f>
        <v>0,5916</v>
      </c>
      <c r="F27" s="19" t="s">
        <v>23</v>
      </c>
      <c r="G27" s="19" t="s">
        <v>99</v>
      </c>
      <c r="H27" s="83" t="s">
        <v>303</v>
      </c>
      <c r="I27" s="68"/>
      <c r="J27" s="68"/>
      <c r="K27" s="68"/>
      <c r="L27" s="67">
        <v>340</v>
      </c>
      <c r="M27" s="67" t="str">
        <f>"201,1440"</f>
        <v>201,1440</v>
      </c>
      <c r="N27" s="19" t="s">
        <v>74</v>
      </c>
    </row>
    <row r="29" spans="2:13" ht="15.75">
      <c r="B29" s="121" t="s">
        <v>119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4" ht="12.75">
      <c r="A30" s="77">
        <v>1</v>
      </c>
      <c r="B30" s="19" t="s">
        <v>396</v>
      </c>
      <c r="C30" s="19" t="s">
        <v>397</v>
      </c>
      <c r="D30" s="19" t="s">
        <v>398</v>
      </c>
      <c r="E30" s="19" t="str">
        <f>"0,5631"</f>
        <v>0,5631</v>
      </c>
      <c r="F30" s="19" t="s">
        <v>23</v>
      </c>
      <c r="G30" s="19" t="s">
        <v>399</v>
      </c>
      <c r="H30" s="83" t="s">
        <v>303</v>
      </c>
      <c r="I30" s="83" t="s">
        <v>400</v>
      </c>
      <c r="J30" s="83" t="s">
        <v>401</v>
      </c>
      <c r="K30" s="68"/>
      <c r="L30" s="67">
        <v>370</v>
      </c>
      <c r="M30" s="67" t="str">
        <f>"208,3470"</f>
        <v>208,3470</v>
      </c>
      <c r="N30" s="19" t="s">
        <v>74</v>
      </c>
    </row>
    <row r="33" spans="2:3" ht="18">
      <c r="B33" s="24" t="s">
        <v>134</v>
      </c>
      <c r="C33" s="24"/>
    </row>
    <row r="34" spans="2:3" ht="15.75">
      <c r="B34" s="25" t="s">
        <v>135</v>
      </c>
      <c r="C34" s="25"/>
    </row>
    <row r="35" spans="2:3" ht="13.5">
      <c r="B35" s="27"/>
      <c r="C35" s="28" t="s">
        <v>143</v>
      </c>
    </row>
    <row r="36" spans="2:6" ht="13.5">
      <c r="B36" s="29" t="s">
        <v>136</v>
      </c>
      <c r="C36" s="29" t="s">
        <v>137</v>
      </c>
      <c r="D36" s="29" t="s">
        <v>138</v>
      </c>
      <c r="E36" s="29" t="s">
        <v>139</v>
      </c>
      <c r="F36" s="29" t="s">
        <v>140</v>
      </c>
    </row>
    <row r="37" spans="1:6" ht="12.75">
      <c r="A37" s="77">
        <v>1</v>
      </c>
      <c r="B37" s="26" t="s">
        <v>374</v>
      </c>
      <c r="C37" s="41" t="s">
        <v>143</v>
      </c>
      <c r="D37" s="75">
        <v>100</v>
      </c>
      <c r="E37" s="75" t="s">
        <v>379</v>
      </c>
      <c r="F37" s="75" t="s">
        <v>402</v>
      </c>
    </row>
    <row r="38" spans="1:6" ht="12.75">
      <c r="A38" s="77">
        <v>2</v>
      </c>
      <c r="B38" s="26" t="s">
        <v>45</v>
      </c>
      <c r="C38" s="41" t="s">
        <v>143</v>
      </c>
      <c r="D38" s="75">
        <v>100</v>
      </c>
      <c r="E38" s="75" t="s">
        <v>303</v>
      </c>
      <c r="F38" s="75" t="s">
        <v>403</v>
      </c>
    </row>
    <row r="39" spans="1:6" ht="12.75">
      <c r="A39" s="77">
        <v>3</v>
      </c>
      <c r="B39" s="26" t="s">
        <v>396</v>
      </c>
      <c r="C39" s="41" t="s">
        <v>143</v>
      </c>
      <c r="D39" s="75">
        <v>140</v>
      </c>
      <c r="E39" s="75" t="s">
        <v>401</v>
      </c>
      <c r="F39" s="75" t="s">
        <v>404</v>
      </c>
    </row>
  </sheetData>
  <sheetProtection/>
  <mergeCells count="19"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A3:A4"/>
    <mergeCell ref="B14:M14"/>
    <mergeCell ref="B18:M18"/>
    <mergeCell ref="B26:M26"/>
    <mergeCell ref="B29:M29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20" sqref="C20"/>
    </sheetView>
  </sheetViews>
  <sheetFormatPr defaultColWidth="11.375" defaultRowHeight="12.75"/>
  <cols>
    <col min="1" max="1" width="7.00390625" style="114" customWidth="1"/>
    <col min="2" max="2" width="19.375" style="0" customWidth="1"/>
    <col min="3" max="3" width="27.625" style="115" customWidth="1"/>
    <col min="4" max="4" width="9.625" style="0" customWidth="1"/>
    <col min="5" max="6" width="11.375" style="0" customWidth="1"/>
    <col min="7" max="7" width="29.25390625" style="0" customWidth="1"/>
    <col min="8" max="8" width="11.375" style="0" customWidth="1"/>
    <col min="9" max="9" width="12.625" style="0" customWidth="1"/>
    <col min="10" max="11" width="11.375" style="0" customWidth="1"/>
    <col min="12" max="12" width="15.25390625" style="0" customWidth="1"/>
  </cols>
  <sheetData>
    <row r="1" spans="1:13" ht="14.25" customHeight="1">
      <c r="A1" s="162"/>
      <c r="B1" s="153" t="s">
        <v>558</v>
      </c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46"/>
    </row>
    <row r="2" spans="1:13" ht="30" customHeight="1" hidden="1">
      <c r="A2" s="162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46"/>
    </row>
    <row r="3" spans="1:13" ht="88.5" customHeight="1" thickBot="1">
      <c r="A3" s="66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M3" s="41"/>
    </row>
    <row r="4" spans="1:13" ht="13.5">
      <c r="A4" s="122" t="s">
        <v>496</v>
      </c>
      <c r="B4" s="147" t="s">
        <v>0</v>
      </c>
      <c r="C4" s="151" t="s">
        <v>484</v>
      </c>
      <c r="D4" s="137" t="s">
        <v>473</v>
      </c>
      <c r="E4" s="149" t="s">
        <v>448</v>
      </c>
      <c r="F4" s="149" t="s">
        <v>7</v>
      </c>
      <c r="G4" s="140" t="s">
        <v>485</v>
      </c>
      <c r="H4" s="163" t="s">
        <v>2</v>
      </c>
      <c r="I4" s="164"/>
      <c r="J4" s="149" t="s">
        <v>548</v>
      </c>
      <c r="K4" s="149" t="s">
        <v>6</v>
      </c>
      <c r="L4" s="159" t="s">
        <v>5</v>
      </c>
      <c r="M4" s="42"/>
    </row>
    <row r="5" spans="1:13" ht="15" thickBot="1">
      <c r="A5" s="123"/>
      <c r="B5" s="148"/>
      <c r="C5" s="152"/>
      <c r="D5" s="138"/>
      <c r="E5" s="150"/>
      <c r="F5" s="150"/>
      <c r="G5" s="141"/>
      <c r="H5" s="43" t="s">
        <v>467</v>
      </c>
      <c r="I5" s="43" t="s">
        <v>541</v>
      </c>
      <c r="J5" s="150"/>
      <c r="K5" s="150"/>
      <c r="L5" s="160"/>
      <c r="M5" s="42"/>
    </row>
    <row r="6" spans="1:13" ht="15.75">
      <c r="A6" s="66"/>
      <c r="B6" s="161" t="s">
        <v>19</v>
      </c>
      <c r="C6" s="161"/>
      <c r="D6" s="161"/>
      <c r="E6" s="161"/>
      <c r="F6" s="161"/>
      <c r="G6" s="161"/>
      <c r="H6" s="161"/>
      <c r="I6" s="161"/>
      <c r="J6" s="161"/>
      <c r="K6" s="161"/>
      <c r="L6" s="44"/>
      <c r="M6" s="41"/>
    </row>
    <row r="7" spans="1:13" ht="12.75">
      <c r="A7" s="66" t="s">
        <v>445</v>
      </c>
      <c r="B7" s="45" t="s">
        <v>449</v>
      </c>
      <c r="C7" s="47" t="s">
        <v>450</v>
      </c>
      <c r="D7" s="46" t="s">
        <v>451</v>
      </c>
      <c r="E7" s="46" t="s">
        <v>452</v>
      </c>
      <c r="F7" s="47" t="s">
        <v>23</v>
      </c>
      <c r="G7" s="47" t="s">
        <v>453</v>
      </c>
      <c r="H7" s="116" t="s">
        <v>409</v>
      </c>
      <c r="I7" s="116" t="s">
        <v>537</v>
      </c>
      <c r="J7" s="116" t="s">
        <v>454</v>
      </c>
      <c r="K7" s="116" t="s">
        <v>455</v>
      </c>
      <c r="L7" s="47" t="s">
        <v>74</v>
      </c>
      <c r="M7" s="41"/>
    </row>
    <row r="8" spans="1:13" ht="12.75">
      <c r="A8" s="66"/>
      <c r="B8" s="48"/>
      <c r="C8" s="44"/>
      <c r="D8" s="41"/>
      <c r="E8" s="41"/>
      <c r="F8" s="44"/>
      <c r="G8" s="44"/>
      <c r="H8" s="41"/>
      <c r="I8" s="41"/>
      <c r="J8" s="48"/>
      <c r="K8" s="41"/>
      <c r="L8" s="44"/>
      <c r="M8" s="41"/>
    </row>
    <row r="9" spans="1:13" ht="15.75">
      <c r="A9" s="66"/>
      <c r="B9" s="161" t="s">
        <v>44</v>
      </c>
      <c r="C9" s="161"/>
      <c r="D9" s="161"/>
      <c r="E9" s="161"/>
      <c r="F9" s="161"/>
      <c r="G9" s="161"/>
      <c r="H9" s="161"/>
      <c r="I9" s="161"/>
      <c r="J9" s="161"/>
      <c r="K9" s="161"/>
      <c r="L9" s="44"/>
      <c r="M9" s="41"/>
    </row>
    <row r="10" spans="1:13" ht="15" customHeight="1">
      <c r="A10" s="66" t="s">
        <v>445</v>
      </c>
      <c r="B10" s="49" t="s">
        <v>220</v>
      </c>
      <c r="C10" s="51" t="s">
        <v>221</v>
      </c>
      <c r="D10" s="50" t="s">
        <v>222</v>
      </c>
      <c r="E10" s="50" t="s">
        <v>456</v>
      </c>
      <c r="F10" s="51" t="s">
        <v>57</v>
      </c>
      <c r="G10" s="20" t="s">
        <v>487</v>
      </c>
      <c r="H10" s="117" t="s">
        <v>457</v>
      </c>
      <c r="I10" s="117" t="s">
        <v>538</v>
      </c>
      <c r="J10" s="117" t="s">
        <v>458</v>
      </c>
      <c r="K10" s="117" t="s">
        <v>459</v>
      </c>
      <c r="L10" s="51" t="s">
        <v>74</v>
      </c>
      <c r="M10" s="41"/>
    </row>
    <row r="11" spans="1:13" ht="15" customHeight="1">
      <c r="A11" s="66" t="s">
        <v>445</v>
      </c>
      <c r="B11" s="52" t="s">
        <v>223</v>
      </c>
      <c r="C11" s="54" t="s">
        <v>460</v>
      </c>
      <c r="D11" s="53" t="s">
        <v>225</v>
      </c>
      <c r="E11" s="53" t="s">
        <v>461</v>
      </c>
      <c r="F11" s="54" t="s">
        <v>57</v>
      </c>
      <c r="G11" s="22" t="s">
        <v>487</v>
      </c>
      <c r="H11" s="118" t="s">
        <v>72</v>
      </c>
      <c r="I11" s="118" t="s">
        <v>539</v>
      </c>
      <c r="J11" s="118" t="s">
        <v>462</v>
      </c>
      <c r="K11" s="118" t="s">
        <v>463</v>
      </c>
      <c r="L11" s="54" t="s">
        <v>515</v>
      </c>
      <c r="M11" s="41"/>
    </row>
    <row r="12" spans="1:13" ht="12.75">
      <c r="A12" s="66"/>
      <c r="B12" s="48"/>
      <c r="C12" s="44"/>
      <c r="D12" s="41"/>
      <c r="E12" s="41"/>
      <c r="F12" s="44"/>
      <c r="G12" s="44"/>
      <c r="H12" s="41"/>
      <c r="I12" s="41"/>
      <c r="J12" s="48"/>
      <c r="K12" s="41"/>
      <c r="L12" s="44"/>
      <c r="M12" s="41"/>
    </row>
    <row r="13" spans="1:13" ht="15.75">
      <c r="A13" s="66"/>
      <c r="B13" s="161" t="s">
        <v>105</v>
      </c>
      <c r="C13" s="161"/>
      <c r="D13" s="161"/>
      <c r="E13" s="161"/>
      <c r="F13" s="161"/>
      <c r="G13" s="161"/>
      <c r="H13" s="161"/>
      <c r="I13" s="161"/>
      <c r="J13" s="161"/>
      <c r="K13" s="161"/>
      <c r="L13" s="44"/>
      <c r="M13" s="41"/>
    </row>
    <row r="14" spans="1:13" ht="12.75">
      <c r="A14" s="66" t="s">
        <v>445</v>
      </c>
      <c r="B14" s="45" t="s">
        <v>244</v>
      </c>
      <c r="C14" s="47" t="s">
        <v>245</v>
      </c>
      <c r="D14" s="46" t="s">
        <v>246</v>
      </c>
      <c r="E14" s="46" t="s">
        <v>464</v>
      </c>
      <c r="F14" s="47" t="s">
        <v>57</v>
      </c>
      <c r="G14" s="47" t="s">
        <v>487</v>
      </c>
      <c r="H14" s="116" t="s">
        <v>416</v>
      </c>
      <c r="I14" s="116" t="s">
        <v>540</v>
      </c>
      <c r="J14" s="116" t="s">
        <v>465</v>
      </c>
      <c r="K14" s="116" t="s">
        <v>466</v>
      </c>
      <c r="L14" s="47" t="s">
        <v>74</v>
      </c>
      <c r="M14" s="41"/>
    </row>
    <row r="15" spans="1:13" ht="12.75">
      <c r="A15" s="66"/>
      <c r="B15" s="48"/>
      <c r="C15" s="44"/>
      <c r="D15" s="41"/>
      <c r="E15" s="41"/>
      <c r="F15" s="44"/>
      <c r="G15" s="44"/>
      <c r="H15" s="41"/>
      <c r="I15" s="41"/>
      <c r="J15" s="48"/>
      <c r="K15" s="41"/>
      <c r="L15" s="44"/>
      <c r="M15" s="41"/>
    </row>
    <row r="26" spans="1:12" ht="12.75">
      <c r="A26" s="77"/>
      <c r="B26" s="18"/>
      <c r="C26" s="44"/>
      <c r="D26" s="18"/>
      <c r="E26" s="18"/>
      <c r="F26" s="18"/>
      <c r="G26" s="18"/>
      <c r="H26" s="18"/>
      <c r="I26" s="18"/>
      <c r="J26" s="18"/>
      <c r="K26" s="18"/>
      <c r="L26" s="18"/>
    </row>
    <row r="35" spans="1:12" ht="12.75">
      <c r="A35" s="77"/>
      <c r="B35" s="18"/>
      <c r="C35" s="44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77"/>
      <c r="B36" s="18"/>
      <c r="C36" s="44"/>
      <c r="D36" s="18"/>
      <c r="E36" s="18"/>
      <c r="F36" s="18"/>
      <c r="G36" s="18"/>
      <c r="H36" s="18"/>
      <c r="I36" s="18"/>
      <c r="J36" s="18"/>
      <c r="K36" s="18"/>
      <c r="L36" s="18"/>
    </row>
  </sheetData>
  <sheetProtection/>
  <mergeCells count="17">
    <mergeCell ref="B13:K13"/>
    <mergeCell ref="B6:K6"/>
    <mergeCell ref="B9:K9"/>
    <mergeCell ref="A1:A2"/>
    <mergeCell ref="A4:A5"/>
    <mergeCell ref="H4:I4"/>
    <mergeCell ref="J4:J5"/>
    <mergeCell ref="M1:M2"/>
    <mergeCell ref="B4:B5"/>
    <mergeCell ref="D4:D5"/>
    <mergeCell ref="E4:E5"/>
    <mergeCell ref="F4:F5"/>
    <mergeCell ref="G4:G5"/>
    <mergeCell ref="C4:C5"/>
    <mergeCell ref="B1:L3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28" sqref="G28"/>
    </sheetView>
  </sheetViews>
  <sheetFormatPr defaultColWidth="8.75390625" defaultRowHeight="12.75"/>
  <cols>
    <col min="1" max="1" width="6.875" style="0" customWidth="1"/>
    <col min="2" max="2" width="23.875" style="0" customWidth="1"/>
    <col min="3" max="3" width="25.375" style="0" customWidth="1"/>
    <col min="4" max="5" width="8.75390625" style="0" customWidth="1"/>
    <col min="6" max="6" width="15.875" style="0" customWidth="1"/>
    <col min="7" max="7" width="27.875" style="0" customWidth="1"/>
    <col min="8" max="8" width="8.75390625" style="0" customWidth="1"/>
    <col min="9" max="9" width="12.875" style="0" customWidth="1"/>
    <col min="10" max="11" width="8.75390625" style="0" customWidth="1"/>
    <col min="12" max="12" width="15.625" style="0" customWidth="1"/>
  </cols>
  <sheetData>
    <row r="1" spans="1:13" ht="8.25" customHeight="1">
      <c r="A1" s="166"/>
      <c r="B1" s="153" t="s">
        <v>560</v>
      </c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41"/>
    </row>
    <row r="2" spans="1:13" ht="30" customHeight="1">
      <c r="A2" s="166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41"/>
    </row>
    <row r="3" spans="1:13" ht="59.25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  <c r="M3" s="41"/>
    </row>
    <row r="4" spans="1:13" ht="13.5">
      <c r="A4" s="122" t="s">
        <v>496</v>
      </c>
      <c r="B4" s="147" t="s">
        <v>0</v>
      </c>
      <c r="C4" s="151" t="s">
        <v>484</v>
      </c>
      <c r="D4" s="137" t="s">
        <v>473</v>
      </c>
      <c r="E4" s="149" t="s">
        <v>448</v>
      </c>
      <c r="F4" s="149" t="s">
        <v>7</v>
      </c>
      <c r="G4" s="140" t="s">
        <v>485</v>
      </c>
      <c r="H4" s="163" t="s">
        <v>2</v>
      </c>
      <c r="I4" s="164"/>
      <c r="J4" s="149" t="s">
        <v>548</v>
      </c>
      <c r="K4" s="149" t="s">
        <v>6</v>
      </c>
      <c r="L4" s="159" t="s">
        <v>5</v>
      </c>
      <c r="M4" s="41"/>
    </row>
    <row r="5" spans="1:13" ht="15.75" customHeight="1" thickBot="1">
      <c r="A5" s="123"/>
      <c r="B5" s="148"/>
      <c r="C5" s="152"/>
      <c r="D5" s="138"/>
      <c r="E5" s="150"/>
      <c r="F5" s="150"/>
      <c r="G5" s="141"/>
      <c r="H5" s="43" t="s">
        <v>467</v>
      </c>
      <c r="I5" s="43" t="s">
        <v>541</v>
      </c>
      <c r="J5" s="150"/>
      <c r="K5" s="150"/>
      <c r="L5" s="160"/>
      <c r="M5" s="41"/>
    </row>
    <row r="6" spans="1:13" ht="15.75">
      <c r="A6" s="30"/>
      <c r="B6" s="165" t="s">
        <v>10</v>
      </c>
      <c r="C6" s="165"/>
      <c r="D6" s="165"/>
      <c r="E6" s="165"/>
      <c r="F6" s="165"/>
      <c r="G6" s="165"/>
      <c r="H6" s="165"/>
      <c r="I6" s="165"/>
      <c r="J6" s="165"/>
      <c r="K6" s="165"/>
      <c r="L6" s="18"/>
      <c r="M6" s="41"/>
    </row>
    <row r="7" spans="1:13" ht="12.75">
      <c r="A7" s="30"/>
      <c r="B7" s="19" t="s">
        <v>360</v>
      </c>
      <c r="C7" s="55" t="s">
        <v>361</v>
      </c>
      <c r="D7" s="55" t="s">
        <v>362</v>
      </c>
      <c r="E7" s="55" t="s">
        <v>468</v>
      </c>
      <c r="F7" s="55" t="s">
        <v>23</v>
      </c>
      <c r="G7" s="47" t="s">
        <v>487</v>
      </c>
      <c r="H7" s="119" t="s">
        <v>469</v>
      </c>
      <c r="I7" s="119"/>
      <c r="J7" s="116" t="s">
        <v>470</v>
      </c>
      <c r="K7" s="116" t="s">
        <v>470</v>
      </c>
      <c r="L7" s="55" t="s">
        <v>544</v>
      </c>
      <c r="M7" s="41"/>
    </row>
    <row r="8" spans="1:12" ht="12.75">
      <c r="A8" s="3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>
      <c r="A9" s="30"/>
      <c r="B9" s="165" t="s">
        <v>44</v>
      </c>
      <c r="C9" s="165"/>
      <c r="D9" s="165"/>
      <c r="E9" s="165"/>
      <c r="F9" s="165"/>
      <c r="G9" s="165"/>
      <c r="H9" s="165"/>
      <c r="I9" s="165"/>
      <c r="J9" s="165"/>
      <c r="K9" s="165"/>
      <c r="L9" s="18"/>
    </row>
    <row r="10" spans="1:12" ht="12.75">
      <c r="A10" s="77">
        <v>1</v>
      </c>
      <c r="B10" s="19" t="s">
        <v>54</v>
      </c>
      <c r="C10" s="55" t="s">
        <v>55</v>
      </c>
      <c r="D10" s="55" t="s">
        <v>56</v>
      </c>
      <c r="E10" s="55" t="s">
        <v>471</v>
      </c>
      <c r="F10" s="55" t="s">
        <v>57</v>
      </c>
      <c r="G10" s="47" t="s">
        <v>487</v>
      </c>
      <c r="H10" s="116" t="s">
        <v>198</v>
      </c>
      <c r="I10" s="116" t="s">
        <v>542</v>
      </c>
      <c r="J10" s="116" t="s">
        <v>543</v>
      </c>
      <c r="K10" s="116" t="s">
        <v>472</v>
      </c>
      <c r="L10" s="55" t="s">
        <v>74</v>
      </c>
    </row>
    <row r="22" ht="12.75">
      <c r="E22" t="s">
        <v>559</v>
      </c>
    </row>
    <row r="28" ht="12.75">
      <c r="G28" t="s">
        <v>559</v>
      </c>
    </row>
  </sheetData>
  <sheetProtection/>
  <mergeCells count="15">
    <mergeCell ref="E4:E5"/>
    <mergeCell ref="F4:F5"/>
    <mergeCell ref="G4:G5"/>
    <mergeCell ref="K4:K5"/>
    <mergeCell ref="L4:L5"/>
    <mergeCell ref="B1:L3"/>
    <mergeCell ref="A4:A5"/>
    <mergeCell ref="B6:K6"/>
    <mergeCell ref="B9:K9"/>
    <mergeCell ref="A1:A2"/>
    <mergeCell ref="B4:B5"/>
    <mergeCell ref="H4:I4"/>
    <mergeCell ref="J4:J5"/>
    <mergeCell ref="C4:C5"/>
    <mergeCell ref="D4:D5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4" sqref="C14"/>
    </sheetView>
  </sheetViews>
  <sheetFormatPr defaultColWidth="8.75390625" defaultRowHeight="12.75"/>
  <cols>
    <col min="1" max="1" width="7.25390625" style="0" customWidth="1"/>
    <col min="2" max="2" width="26.125" style="0" customWidth="1"/>
    <col min="3" max="3" width="28.25390625" style="0" customWidth="1"/>
    <col min="4" max="5" width="8.75390625" style="0" customWidth="1"/>
    <col min="6" max="6" width="13.00390625" style="0" customWidth="1"/>
    <col min="7" max="7" width="27.875" style="0" customWidth="1"/>
    <col min="8" max="8" width="8.75390625" style="0" customWidth="1"/>
    <col min="9" max="9" width="12.375" style="0" customWidth="1"/>
    <col min="10" max="11" width="8.75390625" style="0" customWidth="1"/>
    <col min="12" max="12" width="13.625" style="0" customWidth="1"/>
  </cols>
  <sheetData>
    <row r="1" spans="1:12" ht="28.5" customHeight="1">
      <c r="A1" s="166"/>
      <c r="B1" s="153" t="s">
        <v>561</v>
      </c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30" customHeight="1">
      <c r="A2" s="166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30.75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2" ht="20.25" customHeight="1">
      <c r="A4" s="122" t="s">
        <v>496</v>
      </c>
      <c r="B4" s="147" t="s">
        <v>0</v>
      </c>
      <c r="C4" s="151" t="s">
        <v>562</v>
      </c>
      <c r="D4" s="137" t="s">
        <v>473</v>
      </c>
      <c r="E4" s="149" t="s">
        <v>448</v>
      </c>
      <c r="F4" s="149" t="s">
        <v>7</v>
      </c>
      <c r="G4" s="140" t="s">
        <v>485</v>
      </c>
      <c r="H4" s="163" t="s">
        <v>2</v>
      </c>
      <c r="I4" s="164"/>
      <c r="J4" s="149" t="s">
        <v>548</v>
      </c>
      <c r="K4" s="149" t="s">
        <v>6</v>
      </c>
      <c r="L4" s="159" t="s">
        <v>5</v>
      </c>
    </row>
    <row r="5" spans="1:12" ht="15.75" customHeight="1" thickBot="1">
      <c r="A5" s="123"/>
      <c r="B5" s="148"/>
      <c r="C5" s="152"/>
      <c r="D5" s="138"/>
      <c r="E5" s="150"/>
      <c r="F5" s="150"/>
      <c r="G5" s="141"/>
      <c r="H5" s="43" t="s">
        <v>467</v>
      </c>
      <c r="I5" s="43" t="s">
        <v>541</v>
      </c>
      <c r="J5" s="150"/>
      <c r="K5" s="150"/>
      <c r="L5" s="160"/>
    </row>
    <row r="6" spans="1:12" ht="15.75">
      <c r="A6" s="30"/>
      <c r="B6" s="165" t="s">
        <v>10</v>
      </c>
      <c r="C6" s="165"/>
      <c r="D6" s="165"/>
      <c r="E6" s="165"/>
      <c r="F6" s="165"/>
      <c r="G6" s="165"/>
      <c r="H6" s="165"/>
      <c r="I6" s="165"/>
      <c r="J6" s="165"/>
      <c r="K6" s="165"/>
      <c r="L6" s="18"/>
    </row>
    <row r="7" spans="1:12" ht="12.75">
      <c r="A7" s="77">
        <v>1</v>
      </c>
      <c r="B7" s="20" t="s">
        <v>474</v>
      </c>
      <c r="C7" s="56" t="s">
        <v>475</v>
      </c>
      <c r="D7" s="56" t="s">
        <v>476</v>
      </c>
      <c r="E7" s="56" t="s">
        <v>477</v>
      </c>
      <c r="F7" s="56" t="s">
        <v>23</v>
      </c>
      <c r="G7" s="20" t="s">
        <v>487</v>
      </c>
      <c r="H7" s="117" t="s">
        <v>478</v>
      </c>
      <c r="I7" s="117" t="s">
        <v>545</v>
      </c>
      <c r="J7" s="117" t="s">
        <v>546</v>
      </c>
      <c r="K7" s="117" t="s">
        <v>479</v>
      </c>
      <c r="L7" s="56" t="s">
        <v>547</v>
      </c>
    </row>
    <row r="8" spans="1:12" ht="12.75">
      <c r="A8" s="30"/>
      <c r="B8" s="22" t="s">
        <v>480</v>
      </c>
      <c r="C8" s="57" t="s">
        <v>481</v>
      </c>
      <c r="D8" s="57" t="s">
        <v>482</v>
      </c>
      <c r="E8" s="57" t="s">
        <v>483</v>
      </c>
      <c r="F8" s="57" t="s">
        <v>23</v>
      </c>
      <c r="G8" s="22" t="s">
        <v>487</v>
      </c>
      <c r="H8" s="120" t="s">
        <v>470</v>
      </c>
      <c r="I8" s="120"/>
      <c r="J8" s="118" t="s">
        <v>470</v>
      </c>
      <c r="K8" s="118" t="s">
        <v>470</v>
      </c>
      <c r="L8" s="57" t="s">
        <v>547</v>
      </c>
    </row>
  </sheetData>
  <sheetProtection/>
  <mergeCells count="14">
    <mergeCell ref="G4:G5"/>
    <mergeCell ref="H4:I4"/>
    <mergeCell ref="J4:J5"/>
    <mergeCell ref="K4:K5"/>
    <mergeCell ref="A4:A5"/>
    <mergeCell ref="L4:L5"/>
    <mergeCell ref="B6:K6"/>
    <mergeCell ref="A1:A2"/>
    <mergeCell ref="B4:B5"/>
    <mergeCell ref="D4:D5"/>
    <mergeCell ref="C4:C5"/>
    <mergeCell ref="B1:L3"/>
    <mergeCell ref="E4:E5"/>
    <mergeCell ref="F4:F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23" sqref="E23"/>
    </sheetView>
  </sheetViews>
  <sheetFormatPr defaultColWidth="8.75390625" defaultRowHeight="12.75"/>
  <cols>
    <col min="1" max="1" width="7.00390625" style="77" customWidth="1"/>
    <col min="2" max="2" width="19.25390625" style="18" customWidth="1"/>
    <col min="3" max="3" width="26.00390625" style="18" bestFit="1" customWidth="1"/>
    <col min="4" max="4" width="10.625" style="18" bestFit="1" customWidth="1"/>
    <col min="5" max="5" width="8.375" style="18" bestFit="1" customWidth="1"/>
    <col min="6" max="6" width="31.125" style="18" customWidth="1"/>
    <col min="7" max="7" width="26.00390625" style="18" customWidth="1"/>
    <col min="8" max="11" width="4.625" style="18" bestFit="1" customWidth="1"/>
    <col min="12" max="12" width="11.125" style="18" customWidth="1"/>
    <col min="13" max="13" width="7.625" style="18" bestFit="1" customWidth="1"/>
    <col min="14" max="14" width="12.875" style="18" customWidth="1"/>
  </cols>
  <sheetData>
    <row r="1" spans="1:14" s="1" customFormat="1" ht="15" customHeight="1">
      <c r="A1" s="76"/>
      <c r="B1" s="127" t="s">
        <v>554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1" customFormat="1" ht="81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2</v>
      </c>
      <c r="I3" s="139"/>
      <c r="J3" s="139"/>
      <c r="K3" s="139"/>
      <c r="L3" s="142" t="s">
        <v>489</v>
      </c>
      <c r="M3" s="139" t="s">
        <v>6</v>
      </c>
      <c r="N3" s="124" t="s">
        <v>5</v>
      </c>
    </row>
    <row r="4" spans="1:14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143"/>
      <c r="M4" s="136"/>
      <c r="N4" s="125"/>
    </row>
    <row r="5" spans="2:13" ht="15.75">
      <c r="B5" s="126" t="s">
        <v>162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2.75">
      <c r="A6" s="77">
        <v>1</v>
      </c>
      <c r="B6" s="20" t="s">
        <v>251</v>
      </c>
      <c r="C6" s="20" t="s">
        <v>252</v>
      </c>
      <c r="D6" s="20" t="s">
        <v>253</v>
      </c>
      <c r="E6" s="20" t="str">
        <f>"0,8919"</f>
        <v>0,8919</v>
      </c>
      <c r="F6" s="20" t="s">
        <v>23</v>
      </c>
      <c r="G6" s="20" t="s">
        <v>487</v>
      </c>
      <c r="H6" s="84" t="s">
        <v>173</v>
      </c>
      <c r="I6" s="84" t="s">
        <v>254</v>
      </c>
      <c r="J6" s="80" t="s">
        <v>255</v>
      </c>
      <c r="K6" s="70"/>
      <c r="L6" s="69">
        <v>80</v>
      </c>
      <c r="M6" s="69" t="str">
        <f>"71,3520"</f>
        <v>71,3520</v>
      </c>
      <c r="N6" s="20" t="s">
        <v>266</v>
      </c>
    </row>
    <row r="7" spans="1:14" ht="12.75">
      <c r="A7" s="77">
        <v>1</v>
      </c>
      <c r="B7" s="22" t="s">
        <v>256</v>
      </c>
      <c r="C7" s="22" t="s">
        <v>257</v>
      </c>
      <c r="D7" s="22" t="s">
        <v>258</v>
      </c>
      <c r="E7" s="22" t="str">
        <f>"0,8904"</f>
        <v>0,8904</v>
      </c>
      <c r="F7" s="22" t="s">
        <v>23</v>
      </c>
      <c r="G7" s="22" t="s">
        <v>487</v>
      </c>
      <c r="H7" s="86" t="s">
        <v>259</v>
      </c>
      <c r="I7" s="86" t="s">
        <v>260</v>
      </c>
      <c r="J7" s="81" t="s">
        <v>261</v>
      </c>
      <c r="K7" s="74"/>
      <c r="L7" s="73">
        <v>47.5</v>
      </c>
      <c r="M7" s="73" t="str">
        <f>"42,2940"</f>
        <v>42,2940</v>
      </c>
      <c r="N7" s="22" t="s">
        <v>266</v>
      </c>
    </row>
    <row r="9" spans="2:13" ht="15.75">
      <c r="B9" s="121" t="s">
        <v>10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4" ht="12.75">
      <c r="A10" s="77">
        <v>1</v>
      </c>
      <c r="B10" s="19" t="s">
        <v>262</v>
      </c>
      <c r="C10" s="19" t="s">
        <v>263</v>
      </c>
      <c r="D10" s="19" t="s">
        <v>264</v>
      </c>
      <c r="E10" s="19" t="str">
        <f>"0,7729"</f>
        <v>0,7729</v>
      </c>
      <c r="F10" s="19" t="s">
        <v>23</v>
      </c>
      <c r="G10" s="19" t="s">
        <v>486</v>
      </c>
      <c r="H10" s="83" t="s">
        <v>183</v>
      </c>
      <c r="I10" s="83" t="s">
        <v>265</v>
      </c>
      <c r="J10" s="78" t="s">
        <v>198</v>
      </c>
      <c r="K10" s="68"/>
      <c r="L10" s="67">
        <v>90</v>
      </c>
      <c r="M10" s="67" t="str">
        <f>"69,5610"</f>
        <v>69,5610</v>
      </c>
      <c r="N10" s="19" t="s">
        <v>266</v>
      </c>
    </row>
    <row r="12" spans="2:13" ht="15.75">
      <c r="B12" s="121" t="s">
        <v>19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4" ht="12.75">
      <c r="A13" s="77">
        <v>1</v>
      </c>
      <c r="B13" s="19" t="s">
        <v>267</v>
      </c>
      <c r="C13" s="19" t="s">
        <v>268</v>
      </c>
      <c r="D13" s="19" t="s">
        <v>269</v>
      </c>
      <c r="E13" s="19" t="str">
        <f>"0,6945"</f>
        <v>0,6945</v>
      </c>
      <c r="F13" s="19" t="s">
        <v>23</v>
      </c>
      <c r="G13" s="19" t="s">
        <v>486</v>
      </c>
      <c r="H13" s="83" t="s">
        <v>254</v>
      </c>
      <c r="I13" s="83" t="s">
        <v>183</v>
      </c>
      <c r="J13" s="78" t="s">
        <v>265</v>
      </c>
      <c r="K13" s="68"/>
      <c r="L13" s="67">
        <v>85</v>
      </c>
      <c r="M13" s="67" t="str">
        <f>"59,0325"</f>
        <v>59,0325</v>
      </c>
      <c r="N13" s="19" t="s">
        <v>266</v>
      </c>
    </row>
    <row r="15" spans="2:13" ht="15.75">
      <c r="B15" s="121" t="s">
        <v>44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4" ht="12.75">
      <c r="A16" s="77">
        <v>1</v>
      </c>
      <c r="B16" s="19" t="s">
        <v>270</v>
      </c>
      <c r="C16" s="19" t="s">
        <v>271</v>
      </c>
      <c r="D16" s="19" t="s">
        <v>272</v>
      </c>
      <c r="E16" s="19" t="str">
        <f>"0,6186"</f>
        <v>0,6186</v>
      </c>
      <c r="F16" s="19" t="s">
        <v>509</v>
      </c>
      <c r="G16" s="19" t="s">
        <v>486</v>
      </c>
      <c r="H16" s="83" t="s">
        <v>172</v>
      </c>
      <c r="I16" s="83" t="s">
        <v>273</v>
      </c>
      <c r="J16" s="83" t="s">
        <v>173</v>
      </c>
      <c r="K16" s="68"/>
      <c r="L16" s="67">
        <v>75</v>
      </c>
      <c r="M16" s="67" t="str">
        <f>"46,3950"</f>
        <v>46,3950</v>
      </c>
      <c r="N16" s="19" t="s">
        <v>266</v>
      </c>
    </row>
  </sheetData>
  <sheetProtection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B15:M15"/>
    <mergeCell ref="L3:L4"/>
    <mergeCell ref="M3:M4"/>
    <mergeCell ref="N3:N4"/>
    <mergeCell ref="B5:M5"/>
    <mergeCell ref="B9:M9"/>
    <mergeCell ref="B12:M12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B17" sqref="B17:M17"/>
    </sheetView>
  </sheetViews>
  <sheetFormatPr defaultColWidth="8.75390625" defaultRowHeight="12.75"/>
  <cols>
    <col min="1" max="1" width="7.875" style="77" customWidth="1"/>
    <col min="2" max="2" width="26.00390625" style="18" bestFit="1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11.625" style="18" customWidth="1"/>
    <col min="7" max="7" width="27.625" style="18" bestFit="1" customWidth="1"/>
    <col min="8" max="10" width="5.625" style="18" bestFit="1" customWidth="1"/>
    <col min="11" max="11" width="4.625" style="18" bestFit="1" customWidth="1"/>
    <col min="12" max="12" width="12.00390625" style="18" customWidth="1"/>
    <col min="13" max="13" width="8.625" style="18" bestFit="1" customWidth="1"/>
    <col min="14" max="14" width="16.625" style="18" customWidth="1"/>
  </cols>
  <sheetData>
    <row r="1" spans="1:14" s="1" customFormat="1" ht="15" customHeight="1">
      <c r="A1" s="76"/>
      <c r="B1" s="127" t="s">
        <v>555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1" customFormat="1" ht="80.25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2</v>
      </c>
      <c r="I3" s="139"/>
      <c r="J3" s="139"/>
      <c r="K3" s="139"/>
      <c r="L3" s="142" t="s">
        <v>489</v>
      </c>
      <c r="M3" s="139" t="s">
        <v>6</v>
      </c>
      <c r="N3" s="124" t="s">
        <v>5</v>
      </c>
    </row>
    <row r="4" spans="1:14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143"/>
      <c r="M4" s="136"/>
      <c r="N4" s="125"/>
    </row>
    <row r="5" spans="2:13" ht="15.75">
      <c r="B5" s="126" t="s">
        <v>156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2.75">
      <c r="A6" s="77">
        <v>1</v>
      </c>
      <c r="B6" s="19" t="s">
        <v>157</v>
      </c>
      <c r="C6" s="19" t="s">
        <v>158</v>
      </c>
      <c r="D6" s="19" t="s">
        <v>159</v>
      </c>
      <c r="E6" s="19" t="str">
        <f>"1,1985"</f>
        <v>1,1985</v>
      </c>
      <c r="F6" s="19" t="s">
        <v>23</v>
      </c>
      <c r="G6" s="19" t="s">
        <v>82</v>
      </c>
      <c r="H6" s="83" t="s">
        <v>160</v>
      </c>
      <c r="I6" s="78" t="s">
        <v>161</v>
      </c>
      <c r="J6" s="83" t="s">
        <v>161</v>
      </c>
      <c r="K6" s="68"/>
      <c r="L6" s="67">
        <v>65</v>
      </c>
      <c r="M6" s="67" t="str">
        <f>"77,9025"</f>
        <v>77,9025</v>
      </c>
      <c r="N6" s="19" t="s">
        <v>512</v>
      </c>
    </row>
    <row r="8" spans="2:13" ht="15.75">
      <c r="B8" s="121" t="s">
        <v>162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2:14" ht="12.75">
      <c r="B9" s="19" t="s">
        <v>163</v>
      </c>
      <c r="C9" s="19" t="s">
        <v>164</v>
      </c>
      <c r="D9" s="19" t="s">
        <v>165</v>
      </c>
      <c r="E9" s="19" t="str">
        <f>"1,1295"</f>
        <v>1,1295</v>
      </c>
      <c r="F9" s="19" t="s">
        <v>166</v>
      </c>
      <c r="G9" s="19" t="s">
        <v>486</v>
      </c>
      <c r="H9" s="78" t="s">
        <v>167</v>
      </c>
      <c r="I9" s="78" t="s">
        <v>167</v>
      </c>
      <c r="J9" s="78" t="s">
        <v>167</v>
      </c>
      <c r="K9" s="68"/>
      <c r="L9" s="89">
        <v>0</v>
      </c>
      <c r="M9" s="89">
        <v>0</v>
      </c>
      <c r="N9" s="19" t="s">
        <v>74</v>
      </c>
    </row>
    <row r="11" spans="2:13" ht="15.75">
      <c r="B11" s="121" t="s">
        <v>168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2.75">
      <c r="A12" s="77">
        <v>1</v>
      </c>
      <c r="B12" s="19" t="s">
        <v>169</v>
      </c>
      <c r="C12" s="19" t="s">
        <v>170</v>
      </c>
      <c r="D12" s="19" t="s">
        <v>171</v>
      </c>
      <c r="E12" s="19" t="str">
        <f>"0,9621"</f>
        <v>0,9621</v>
      </c>
      <c r="F12" s="19" t="s">
        <v>23</v>
      </c>
      <c r="G12" s="19" t="s">
        <v>486</v>
      </c>
      <c r="H12" s="83" t="s">
        <v>172</v>
      </c>
      <c r="I12" s="78" t="s">
        <v>173</v>
      </c>
      <c r="J12" s="83" t="s">
        <v>173</v>
      </c>
      <c r="K12" s="68"/>
      <c r="L12" s="67">
        <v>75</v>
      </c>
      <c r="M12" s="67" t="str">
        <f>"72,1575"</f>
        <v>72,1575</v>
      </c>
      <c r="N12" s="19" t="s">
        <v>74</v>
      </c>
    </row>
    <row r="14" spans="2:13" ht="15.75">
      <c r="B14" s="121" t="s">
        <v>10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4" ht="12.75">
      <c r="A15" s="77">
        <v>1</v>
      </c>
      <c r="B15" s="19" t="s">
        <v>174</v>
      </c>
      <c r="C15" s="19" t="s">
        <v>175</v>
      </c>
      <c r="D15" s="19" t="s">
        <v>176</v>
      </c>
      <c r="E15" s="19" t="str">
        <f>"0,7862"</f>
        <v>0,7862</v>
      </c>
      <c r="F15" s="19" t="s">
        <v>177</v>
      </c>
      <c r="G15" s="19" t="s">
        <v>486</v>
      </c>
      <c r="H15" s="78" t="s">
        <v>73</v>
      </c>
      <c r="I15" s="83" t="s">
        <v>73</v>
      </c>
      <c r="J15" s="78" t="s">
        <v>178</v>
      </c>
      <c r="K15" s="68"/>
      <c r="L15" s="67">
        <v>107.5</v>
      </c>
      <c r="M15" s="67" t="str">
        <f>"84,5165"</f>
        <v>84,5165</v>
      </c>
      <c r="N15" s="19" t="s">
        <v>491</v>
      </c>
    </row>
    <row r="17" spans="2:13" ht="15.75">
      <c r="B17" s="121" t="s">
        <v>168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4" ht="12.75">
      <c r="A18" s="77">
        <v>1</v>
      </c>
      <c r="B18" s="20" t="s">
        <v>179</v>
      </c>
      <c r="C18" s="20" t="s">
        <v>180</v>
      </c>
      <c r="D18" s="20" t="s">
        <v>181</v>
      </c>
      <c r="E18" s="20" t="str">
        <f>"0,7173"</f>
        <v>0,7173</v>
      </c>
      <c r="F18" s="20" t="s">
        <v>23</v>
      </c>
      <c r="G18" s="20" t="s">
        <v>486</v>
      </c>
      <c r="H18" s="84" t="s">
        <v>173</v>
      </c>
      <c r="I18" s="84" t="s">
        <v>182</v>
      </c>
      <c r="J18" s="80" t="s">
        <v>183</v>
      </c>
      <c r="K18" s="70"/>
      <c r="L18" s="69">
        <v>82.5</v>
      </c>
      <c r="M18" s="69" t="str">
        <f>"59,1772"</f>
        <v>59,1772</v>
      </c>
      <c r="N18" s="20" t="s">
        <v>495</v>
      </c>
    </row>
    <row r="19" spans="1:14" ht="12.75">
      <c r="A19" s="77">
        <v>1</v>
      </c>
      <c r="B19" s="21" t="s">
        <v>184</v>
      </c>
      <c r="C19" s="21" t="s">
        <v>185</v>
      </c>
      <c r="D19" s="21" t="s">
        <v>186</v>
      </c>
      <c r="E19" s="21" t="str">
        <f>"0,7200"</f>
        <v>0,7200</v>
      </c>
      <c r="F19" s="21" t="s">
        <v>23</v>
      </c>
      <c r="G19" s="21" t="s">
        <v>486</v>
      </c>
      <c r="H19" s="85" t="s">
        <v>187</v>
      </c>
      <c r="I19" s="85" t="s">
        <v>188</v>
      </c>
      <c r="J19" s="79" t="s">
        <v>189</v>
      </c>
      <c r="K19" s="72"/>
      <c r="L19" s="71">
        <v>125</v>
      </c>
      <c r="M19" s="71" t="str">
        <f>"90,0000"</f>
        <v>90,0000</v>
      </c>
      <c r="N19" s="21" t="s">
        <v>74</v>
      </c>
    </row>
    <row r="20" spans="1:14" ht="12.75">
      <c r="A20" s="77">
        <v>2</v>
      </c>
      <c r="B20" s="21" t="s">
        <v>190</v>
      </c>
      <c r="C20" s="21" t="s">
        <v>191</v>
      </c>
      <c r="D20" s="21" t="s">
        <v>192</v>
      </c>
      <c r="E20" s="21" t="str">
        <f>"0,7406"</f>
        <v>0,7406</v>
      </c>
      <c r="F20" s="21" t="s">
        <v>23</v>
      </c>
      <c r="G20" s="21" t="s">
        <v>486</v>
      </c>
      <c r="H20" s="79" t="s">
        <v>193</v>
      </c>
      <c r="I20" s="79" t="s">
        <v>194</v>
      </c>
      <c r="J20" s="85" t="s">
        <v>194</v>
      </c>
      <c r="K20" s="72"/>
      <c r="L20" s="71">
        <v>120</v>
      </c>
      <c r="M20" s="71" t="str">
        <f>"88,8720"</f>
        <v>88,8720</v>
      </c>
      <c r="N20" s="21" t="s">
        <v>74</v>
      </c>
    </row>
    <row r="21" spans="1:14" ht="12.75">
      <c r="A21" s="77">
        <v>3</v>
      </c>
      <c r="B21" s="22" t="s">
        <v>195</v>
      </c>
      <c r="C21" s="22" t="s">
        <v>196</v>
      </c>
      <c r="D21" s="22" t="s">
        <v>197</v>
      </c>
      <c r="E21" s="22" t="str">
        <f>"0,7228"</f>
        <v>0,7228</v>
      </c>
      <c r="F21" s="22" t="s">
        <v>57</v>
      </c>
      <c r="G21" s="22" t="s">
        <v>486</v>
      </c>
      <c r="H21" s="81" t="s">
        <v>182</v>
      </c>
      <c r="I21" s="86" t="s">
        <v>182</v>
      </c>
      <c r="J21" s="86" t="s">
        <v>198</v>
      </c>
      <c r="K21" s="74"/>
      <c r="L21" s="73">
        <v>95</v>
      </c>
      <c r="M21" s="73" t="str">
        <f>"68,6660"</f>
        <v>68,6660</v>
      </c>
      <c r="N21" s="22" t="s">
        <v>513</v>
      </c>
    </row>
    <row r="23" spans="2:13" ht="15.75">
      <c r="B23" s="121" t="s">
        <v>19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4" ht="12.75">
      <c r="A24" s="77">
        <v>1</v>
      </c>
      <c r="B24" s="20" t="s">
        <v>199</v>
      </c>
      <c r="C24" s="20" t="s">
        <v>200</v>
      </c>
      <c r="D24" s="20" t="s">
        <v>201</v>
      </c>
      <c r="E24" s="20" t="str">
        <f>"0,6729"</f>
        <v>0,6729</v>
      </c>
      <c r="F24" s="20" t="s">
        <v>23</v>
      </c>
      <c r="G24" s="20" t="s">
        <v>511</v>
      </c>
      <c r="H24" s="84" t="s">
        <v>42</v>
      </c>
      <c r="I24" s="84" t="s">
        <v>15</v>
      </c>
      <c r="J24" s="84" t="s">
        <v>58</v>
      </c>
      <c r="K24" s="70"/>
      <c r="L24" s="69">
        <v>160</v>
      </c>
      <c r="M24" s="69" t="str">
        <f>"107,6640"</f>
        <v>107,6640</v>
      </c>
      <c r="N24" s="20" t="s">
        <v>514</v>
      </c>
    </row>
    <row r="25" spans="1:14" ht="12.75">
      <c r="A25" s="77">
        <v>2</v>
      </c>
      <c r="B25" s="21" t="s">
        <v>202</v>
      </c>
      <c r="C25" s="21" t="s">
        <v>203</v>
      </c>
      <c r="D25" s="21" t="s">
        <v>204</v>
      </c>
      <c r="E25" s="21" t="str">
        <f>"0,6699"</f>
        <v>0,6699</v>
      </c>
      <c r="F25" s="21" t="s">
        <v>23</v>
      </c>
      <c r="G25" s="21" t="s">
        <v>511</v>
      </c>
      <c r="H25" s="85" t="s">
        <v>189</v>
      </c>
      <c r="I25" s="79" t="s">
        <v>42</v>
      </c>
      <c r="J25" s="85" t="s">
        <v>42</v>
      </c>
      <c r="K25" s="72"/>
      <c r="L25" s="71">
        <v>140</v>
      </c>
      <c r="M25" s="71" t="str">
        <f>"93,7860"</f>
        <v>93,7860</v>
      </c>
      <c r="N25" s="21" t="s">
        <v>74</v>
      </c>
    </row>
    <row r="26" spans="1:14" ht="12.75">
      <c r="A26" s="77">
        <v>3</v>
      </c>
      <c r="B26" s="22" t="s">
        <v>205</v>
      </c>
      <c r="C26" s="22" t="s">
        <v>206</v>
      </c>
      <c r="D26" s="22" t="s">
        <v>207</v>
      </c>
      <c r="E26" s="22" t="str">
        <f>"0,6724"</f>
        <v>0,6724</v>
      </c>
      <c r="F26" s="22" t="s">
        <v>23</v>
      </c>
      <c r="G26" s="22" t="s">
        <v>511</v>
      </c>
      <c r="H26" s="81" t="s">
        <v>208</v>
      </c>
      <c r="I26" s="86" t="s">
        <v>194</v>
      </c>
      <c r="J26" s="81" t="s">
        <v>188</v>
      </c>
      <c r="K26" s="74"/>
      <c r="L26" s="73">
        <v>120</v>
      </c>
      <c r="M26" s="73" t="str">
        <f>"80,6880"</f>
        <v>80,6880</v>
      </c>
      <c r="N26" s="22" t="s">
        <v>74</v>
      </c>
    </row>
    <row r="28" spans="2:13" ht="15.75">
      <c r="B28" s="121" t="s">
        <v>27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4" ht="12.75">
      <c r="A29" s="77">
        <v>1</v>
      </c>
      <c r="B29" s="20" t="s">
        <v>209</v>
      </c>
      <c r="C29" s="20" t="s">
        <v>210</v>
      </c>
      <c r="D29" s="20" t="s">
        <v>211</v>
      </c>
      <c r="E29" s="20" t="str">
        <f>"0,6463"</f>
        <v>0,6463</v>
      </c>
      <c r="F29" s="20" t="s">
        <v>23</v>
      </c>
      <c r="G29" s="20" t="s">
        <v>510</v>
      </c>
      <c r="H29" s="84" t="s">
        <v>25</v>
      </c>
      <c r="I29" s="84" t="s">
        <v>42</v>
      </c>
      <c r="J29" s="80" t="s">
        <v>126</v>
      </c>
      <c r="K29" s="70"/>
      <c r="L29" s="69">
        <v>140</v>
      </c>
      <c r="M29" s="69" t="str">
        <f>"90,4820"</f>
        <v>90,4820</v>
      </c>
      <c r="N29" s="20" t="s">
        <v>74</v>
      </c>
    </row>
    <row r="30" spans="2:14" ht="12.75">
      <c r="B30" s="22" t="s">
        <v>212</v>
      </c>
      <c r="C30" s="22" t="s">
        <v>213</v>
      </c>
      <c r="D30" s="22" t="s">
        <v>214</v>
      </c>
      <c r="E30" s="22" t="str">
        <f>"0,6395"</f>
        <v>0,6395</v>
      </c>
      <c r="F30" s="22" t="s">
        <v>23</v>
      </c>
      <c r="G30" s="22" t="s">
        <v>487</v>
      </c>
      <c r="H30" s="81" t="s">
        <v>25</v>
      </c>
      <c r="I30" s="81" t="s">
        <v>215</v>
      </c>
      <c r="J30" s="81" t="s">
        <v>215</v>
      </c>
      <c r="K30" s="74"/>
      <c r="L30" s="88">
        <v>0</v>
      </c>
      <c r="M30" s="88">
        <v>0</v>
      </c>
      <c r="N30" s="22" t="s">
        <v>74</v>
      </c>
    </row>
    <row r="32" spans="2:13" ht="15.75">
      <c r="B32" s="121" t="s">
        <v>44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4" ht="12.75">
      <c r="A33" s="77">
        <v>1</v>
      </c>
      <c r="B33" s="20" t="s">
        <v>216</v>
      </c>
      <c r="C33" s="20" t="s">
        <v>217</v>
      </c>
      <c r="D33" s="20" t="s">
        <v>218</v>
      </c>
      <c r="E33" s="20" t="str">
        <f>"0,6188"</f>
        <v>0,6188</v>
      </c>
      <c r="F33" s="20" t="s">
        <v>23</v>
      </c>
      <c r="G33" s="20" t="s">
        <v>219</v>
      </c>
      <c r="H33" s="80" t="s">
        <v>42</v>
      </c>
      <c r="I33" s="84" t="s">
        <v>64</v>
      </c>
      <c r="J33" s="84" t="s">
        <v>126</v>
      </c>
      <c r="K33" s="70"/>
      <c r="L33" s="69">
        <v>152.5</v>
      </c>
      <c r="M33" s="69" t="str">
        <f>"94,3670"</f>
        <v>94,3670</v>
      </c>
      <c r="N33" s="20" t="s">
        <v>74</v>
      </c>
    </row>
    <row r="34" spans="1:14" ht="12.75">
      <c r="A34" s="77">
        <v>2</v>
      </c>
      <c r="B34" s="21" t="s">
        <v>220</v>
      </c>
      <c r="C34" s="21" t="s">
        <v>221</v>
      </c>
      <c r="D34" s="21" t="s">
        <v>222</v>
      </c>
      <c r="E34" s="21" t="str">
        <f>"0,6298"</f>
        <v>0,6298</v>
      </c>
      <c r="F34" s="21" t="s">
        <v>57</v>
      </c>
      <c r="G34" s="21" t="s">
        <v>487</v>
      </c>
      <c r="H34" s="85" t="s">
        <v>25</v>
      </c>
      <c r="I34" s="85" t="s">
        <v>42</v>
      </c>
      <c r="J34" s="85" t="s">
        <v>64</v>
      </c>
      <c r="K34" s="72"/>
      <c r="L34" s="71">
        <v>145</v>
      </c>
      <c r="M34" s="71" t="str">
        <f>"91,3210"</f>
        <v>91,3210</v>
      </c>
      <c r="N34" s="21" t="s">
        <v>74</v>
      </c>
    </row>
    <row r="35" spans="1:14" ht="12.75">
      <c r="A35" s="77">
        <v>1</v>
      </c>
      <c r="B35" s="22" t="s">
        <v>223</v>
      </c>
      <c r="C35" s="22" t="s">
        <v>224</v>
      </c>
      <c r="D35" s="22" t="s">
        <v>225</v>
      </c>
      <c r="E35" s="22" t="str">
        <f>"0,6091"</f>
        <v>0,6091</v>
      </c>
      <c r="F35" s="22" t="s">
        <v>57</v>
      </c>
      <c r="G35" s="22" t="s">
        <v>487</v>
      </c>
      <c r="H35" s="86" t="s">
        <v>42</v>
      </c>
      <c r="I35" s="81" t="s">
        <v>43</v>
      </c>
      <c r="J35" s="81" t="s">
        <v>43</v>
      </c>
      <c r="K35" s="74"/>
      <c r="L35" s="73">
        <v>140</v>
      </c>
      <c r="M35" s="73" t="str">
        <f>"85,7004"</f>
        <v>85,7004</v>
      </c>
      <c r="N35" s="22" t="s">
        <v>515</v>
      </c>
    </row>
    <row r="37" spans="2:13" ht="16.5" thickBot="1">
      <c r="B37" s="121" t="s">
        <v>75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4" ht="13.5" thickBot="1">
      <c r="A38" s="77">
        <v>1</v>
      </c>
      <c r="B38" s="20" t="s">
        <v>226</v>
      </c>
      <c r="C38" s="20" t="s">
        <v>227</v>
      </c>
      <c r="D38" s="20" t="s">
        <v>228</v>
      </c>
      <c r="E38" s="20" t="str">
        <f>"0,6015"</f>
        <v>0,6015</v>
      </c>
      <c r="F38" s="20" t="s">
        <v>23</v>
      </c>
      <c r="G38" s="20" t="s">
        <v>486</v>
      </c>
      <c r="H38" s="80" t="s">
        <v>68</v>
      </c>
      <c r="I38" s="80" t="s">
        <v>68</v>
      </c>
      <c r="J38" s="84" t="s">
        <v>68</v>
      </c>
      <c r="K38" s="70"/>
      <c r="L38" s="69">
        <v>190</v>
      </c>
      <c r="M38" s="98" t="str">
        <f>"114,2850"</f>
        <v>114,2850</v>
      </c>
      <c r="N38" s="99" t="s">
        <v>516</v>
      </c>
    </row>
    <row r="39" spans="1:14" ht="12.75">
      <c r="A39" s="77">
        <v>2</v>
      </c>
      <c r="B39" s="21" t="s">
        <v>229</v>
      </c>
      <c r="C39" s="21" t="s">
        <v>230</v>
      </c>
      <c r="D39" s="21" t="s">
        <v>231</v>
      </c>
      <c r="E39" s="21" t="str">
        <f>"0,5905"</f>
        <v>0,5905</v>
      </c>
      <c r="F39" s="21" t="s">
        <v>177</v>
      </c>
      <c r="G39" s="21" t="s">
        <v>486</v>
      </c>
      <c r="H39" s="85" t="s">
        <v>232</v>
      </c>
      <c r="I39" s="85" t="s">
        <v>233</v>
      </c>
      <c r="J39" s="85" t="s">
        <v>60</v>
      </c>
      <c r="K39" s="72"/>
      <c r="L39" s="71">
        <v>185</v>
      </c>
      <c r="M39" s="71" t="str">
        <f>"109,2425"</f>
        <v>109,2425</v>
      </c>
      <c r="N39" s="21" t="s">
        <v>74</v>
      </c>
    </row>
    <row r="40" spans="1:14" ht="12.75">
      <c r="A40" s="77">
        <v>3</v>
      </c>
      <c r="B40" s="21" t="s">
        <v>234</v>
      </c>
      <c r="C40" s="21" t="s">
        <v>235</v>
      </c>
      <c r="D40" s="21" t="s">
        <v>236</v>
      </c>
      <c r="E40" s="21" t="str">
        <f>"0,5917"</f>
        <v>0,5917</v>
      </c>
      <c r="F40" s="21" t="s">
        <v>237</v>
      </c>
      <c r="G40" s="21" t="s">
        <v>486</v>
      </c>
      <c r="H40" s="79" t="s">
        <v>18</v>
      </c>
      <c r="I40" s="85" t="s">
        <v>18</v>
      </c>
      <c r="J40" s="85" t="s">
        <v>238</v>
      </c>
      <c r="K40" s="72"/>
      <c r="L40" s="71">
        <v>172.5</v>
      </c>
      <c r="M40" s="71" t="str">
        <f>"102,0683"</f>
        <v>102,0683</v>
      </c>
      <c r="N40" s="21" t="s">
        <v>507</v>
      </c>
    </row>
    <row r="41" spans="1:14" ht="12.75">
      <c r="A41" s="77">
        <v>1</v>
      </c>
      <c r="B41" s="22" t="s">
        <v>239</v>
      </c>
      <c r="C41" s="22" t="s">
        <v>240</v>
      </c>
      <c r="D41" s="22" t="s">
        <v>78</v>
      </c>
      <c r="E41" s="22" t="str">
        <f>"0,5945"</f>
        <v>0,5945</v>
      </c>
      <c r="F41" s="22" t="s">
        <v>23</v>
      </c>
      <c r="G41" s="22" t="s">
        <v>486</v>
      </c>
      <c r="H41" s="81" t="s">
        <v>42</v>
      </c>
      <c r="I41" s="86" t="s">
        <v>15</v>
      </c>
      <c r="J41" s="81" t="s">
        <v>16</v>
      </c>
      <c r="K41" s="74"/>
      <c r="L41" s="73">
        <v>150</v>
      </c>
      <c r="M41" s="73" t="str">
        <f>"91,6719"</f>
        <v>91,6719</v>
      </c>
      <c r="N41" s="22" t="s">
        <v>74</v>
      </c>
    </row>
    <row r="43" spans="2:13" ht="15.75">
      <c r="B43" s="121" t="s">
        <v>105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4" ht="12.75">
      <c r="A44" s="77">
        <v>1</v>
      </c>
      <c r="B44" s="20" t="s">
        <v>241</v>
      </c>
      <c r="C44" s="20" t="s">
        <v>242</v>
      </c>
      <c r="D44" s="20" t="s">
        <v>243</v>
      </c>
      <c r="E44" s="20" t="str">
        <f>"0,5836"</f>
        <v>0,5836</v>
      </c>
      <c r="F44" s="20" t="s">
        <v>23</v>
      </c>
      <c r="G44" s="20" t="s">
        <v>487</v>
      </c>
      <c r="H44" s="84" t="s">
        <v>18</v>
      </c>
      <c r="I44" s="84" t="s">
        <v>31</v>
      </c>
      <c r="J44" s="80" t="s">
        <v>37</v>
      </c>
      <c r="K44" s="70"/>
      <c r="L44" s="69">
        <v>170</v>
      </c>
      <c r="M44" s="69" t="str">
        <f>"99,2120"</f>
        <v>99,2120</v>
      </c>
      <c r="N44" s="20" t="s">
        <v>74</v>
      </c>
    </row>
    <row r="45" spans="1:14" ht="12.75">
      <c r="A45" s="77">
        <v>2</v>
      </c>
      <c r="B45" s="22" t="s">
        <v>244</v>
      </c>
      <c r="C45" s="22" t="s">
        <v>245</v>
      </c>
      <c r="D45" s="22" t="s">
        <v>246</v>
      </c>
      <c r="E45" s="22" t="str">
        <f>"0,5725"</f>
        <v>0,5725</v>
      </c>
      <c r="F45" s="22" t="s">
        <v>57</v>
      </c>
      <c r="G45" s="22" t="s">
        <v>487</v>
      </c>
      <c r="H45" s="86" t="s">
        <v>42</v>
      </c>
      <c r="I45" s="86" t="s">
        <v>126</v>
      </c>
      <c r="J45" s="86" t="s">
        <v>17</v>
      </c>
      <c r="K45" s="74"/>
      <c r="L45" s="73">
        <v>157.5</v>
      </c>
      <c r="M45" s="73" t="str">
        <f>"90,1687"</f>
        <v>90,1687</v>
      </c>
      <c r="N45" s="22" t="s">
        <v>74</v>
      </c>
    </row>
    <row r="48" spans="2:3" ht="18">
      <c r="B48" s="24" t="s">
        <v>134</v>
      </c>
      <c r="C48" s="24"/>
    </row>
    <row r="49" spans="2:3" ht="15.75">
      <c r="B49" s="25" t="s">
        <v>135</v>
      </c>
      <c r="C49" s="25"/>
    </row>
    <row r="50" spans="2:3" ht="13.5">
      <c r="B50" s="27"/>
      <c r="C50" s="28" t="s">
        <v>143</v>
      </c>
    </row>
    <row r="51" spans="2:6" ht="13.5">
      <c r="B51" s="29" t="s">
        <v>136</v>
      </c>
      <c r="C51" s="29" t="s">
        <v>137</v>
      </c>
      <c r="D51" s="29" t="s">
        <v>138</v>
      </c>
      <c r="E51" s="29" t="s">
        <v>139</v>
      </c>
      <c r="F51" s="29" t="s">
        <v>140</v>
      </c>
    </row>
    <row r="52" spans="1:6" ht="12.75">
      <c r="A52" s="77">
        <v>1</v>
      </c>
      <c r="B52" s="26" t="s">
        <v>226</v>
      </c>
      <c r="C52" s="41" t="s">
        <v>143</v>
      </c>
      <c r="D52" s="75">
        <v>110</v>
      </c>
      <c r="E52" s="75" t="s">
        <v>68</v>
      </c>
      <c r="F52" s="75" t="s">
        <v>248</v>
      </c>
    </row>
    <row r="53" spans="1:6" ht="12.75">
      <c r="A53" s="77">
        <v>2</v>
      </c>
      <c r="B53" s="26" t="s">
        <v>229</v>
      </c>
      <c r="C53" s="41" t="s">
        <v>143</v>
      </c>
      <c r="D53" s="75">
        <v>110</v>
      </c>
      <c r="E53" s="75" t="s">
        <v>60</v>
      </c>
      <c r="F53" s="75" t="s">
        <v>249</v>
      </c>
    </row>
    <row r="54" spans="1:6" ht="12.75">
      <c r="A54" s="77">
        <v>3</v>
      </c>
      <c r="B54" s="26" t="s">
        <v>199</v>
      </c>
      <c r="C54" s="41" t="s">
        <v>143</v>
      </c>
      <c r="D54" s="75">
        <v>82.5</v>
      </c>
      <c r="E54" s="75" t="s">
        <v>58</v>
      </c>
      <c r="F54" s="75" t="s">
        <v>250</v>
      </c>
    </row>
  </sheetData>
  <sheetProtection/>
  <mergeCells count="2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43:M43"/>
    <mergeCell ref="B14:M14"/>
    <mergeCell ref="B17:M17"/>
    <mergeCell ref="B23:M23"/>
    <mergeCell ref="B28:M28"/>
    <mergeCell ref="B32:M32"/>
    <mergeCell ref="B37:M37"/>
    <mergeCell ref="A3:A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selection activeCell="B16" sqref="B16:M16"/>
    </sheetView>
  </sheetViews>
  <sheetFormatPr defaultColWidth="11.375" defaultRowHeight="12.75"/>
  <cols>
    <col min="1" max="1" width="6.75390625" style="76" customWidth="1"/>
    <col min="2" max="2" width="28.25390625" style="35" bestFit="1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15.125" style="5" customWidth="1"/>
    <col min="7" max="7" width="35.75390625" style="5" customWidth="1"/>
    <col min="8" max="11" width="5.625" style="1" bestFit="1" customWidth="1"/>
    <col min="12" max="12" width="12.375" style="4" customWidth="1"/>
    <col min="13" max="13" width="8.625" style="1" bestFit="1" customWidth="1"/>
    <col min="14" max="14" width="16.375" style="5" bestFit="1" customWidth="1"/>
    <col min="15" max="16384" width="11.375" style="1" customWidth="1"/>
  </cols>
  <sheetData>
    <row r="1" spans="2:14" ht="15" customHeight="1">
      <c r="B1" s="127" t="s">
        <v>556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2:14" ht="72" customHeight="1" thickBot="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2</v>
      </c>
      <c r="I3" s="139"/>
      <c r="J3" s="139"/>
      <c r="K3" s="139"/>
      <c r="L3" s="142" t="s">
        <v>489</v>
      </c>
      <c r="M3" s="139" t="s">
        <v>6</v>
      </c>
      <c r="N3" s="124" t="s">
        <v>5</v>
      </c>
    </row>
    <row r="4" spans="1:14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143"/>
      <c r="M4" s="136"/>
      <c r="N4" s="125"/>
    </row>
    <row r="5" spans="2:13" ht="15.75">
      <c r="B5" s="145" t="s">
        <v>10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4" ht="12.75">
      <c r="A6" s="76" t="s">
        <v>445</v>
      </c>
      <c r="B6" s="31" t="s">
        <v>11</v>
      </c>
      <c r="C6" s="7" t="s">
        <v>12</v>
      </c>
      <c r="D6" s="6" t="s">
        <v>13</v>
      </c>
      <c r="E6" s="6" t="str">
        <f>"0,8452"</f>
        <v>0,8452</v>
      </c>
      <c r="F6" s="7" t="s">
        <v>557</v>
      </c>
      <c r="G6" s="7" t="s">
        <v>14</v>
      </c>
      <c r="H6" s="83" t="s">
        <v>15</v>
      </c>
      <c r="I6" s="83" t="s">
        <v>16</v>
      </c>
      <c r="J6" s="83" t="s">
        <v>17</v>
      </c>
      <c r="K6" s="110" t="s">
        <v>18</v>
      </c>
      <c r="L6" s="100" t="s">
        <v>518</v>
      </c>
      <c r="M6" s="100" t="str">
        <f>"133,1190"</f>
        <v>133,1190</v>
      </c>
      <c r="N6" s="7" t="s">
        <v>74</v>
      </c>
    </row>
    <row r="8" spans="2:13" ht="15.75">
      <c r="B8" s="144" t="s">
        <v>19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4" ht="12.75">
      <c r="A9" s="76" t="s">
        <v>445</v>
      </c>
      <c r="B9" s="31" t="s">
        <v>20</v>
      </c>
      <c r="C9" s="7" t="s">
        <v>21</v>
      </c>
      <c r="D9" s="6" t="s">
        <v>22</v>
      </c>
      <c r="E9" s="6" t="str">
        <f>"0,6933"</f>
        <v>0,6933</v>
      </c>
      <c r="F9" s="7" t="s">
        <v>23</v>
      </c>
      <c r="G9" s="19" t="s">
        <v>486</v>
      </c>
      <c r="H9" s="83" t="s">
        <v>25</v>
      </c>
      <c r="I9" s="110" t="s">
        <v>26</v>
      </c>
      <c r="J9" s="83" t="s">
        <v>26</v>
      </c>
      <c r="K9" s="101"/>
      <c r="L9" s="100" t="s">
        <v>519</v>
      </c>
      <c r="M9" s="100" t="str">
        <f>"98,7953"</f>
        <v>98,7953</v>
      </c>
      <c r="N9" s="7" t="s">
        <v>74</v>
      </c>
    </row>
    <row r="11" spans="2:13" ht="15.75">
      <c r="B11" s="144" t="s">
        <v>27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2.75">
      <c r="A12" s="76" t="s">
        <v>445</v>
      </c>
      <c r="B12" s="32" t="s">
        <v>28</v>
      </c>
      <c r="C12" s="9" t="s">
        <v>29</v>
      </c>
      <c r="D12" s="8" t="s">
        <v>30</v>
      </c>
      <c r="E12" s="8" t="str">
        <f>"0,6406"</f>
        <v>0,6406</v>
      </c>
      <c r="F12" s="9" t="s">
        <v>23</v>
      </c>
      <c r="G12" s="20" t="s">
        <v>486</v>
      </c>
      <c r="H12" s="84" t="s">
        <v>31</v>
      </c>
      <c r="I12" s="84" t="s">
        <v>32</v>
      </c>
      <c r="J12" s="113" t="s">
        <v>33</v>
      </c>
      <c r="K12" s="103"/>
      <c r="L12" s="102" t="s">
        <v>520</v>
      </c>
      <c r="M12" s="102" t="str">
        <f>"115,3080"</f>
        <v>115,3080</v>
      </c>
      <c r="N12" s="9" t="s">
        <v>74</v>
      </c>
    </row>
    <row r="13" spans="1:14" ht="12.75">
      <c r="A13" s="76" t="s">
        <v>445</v>
      </c>
      <c r="B13" s="33" t="s">
        <v>34</v>
      </c>
      <c r="C13" s="11" t="s">
        <v>35</v>
      </c>
      <c r="D13" s="10" t="s">
        <v>36</v>
      </c>
      <c r="E13" s="10" t="str">
        <f>"0,6398"</f>
        <v>0,6398</v>
      </c>
      <c r="F13" s="11" t="s">
        <v>23</v>
      </c>
      <c r="G13" s="21" t="s">
        <v>486</v>
      </c>
      <c r="H13" s="111" t="s">
        <v>37</v>
      </c>
      <c r="I13" s="85" t="s">
        <v>37</v>
      </c>
      <c r="J13" s="111" t="s">
        <v>32</v>
      </c>
      <c r="K13" s="104"/>
      <c r="L13" s="105" t="s">
        <v>521</v>
      </c>
      <c r="M13" s="105" t="str">
        <f>"111,9650"</f>
        <v>111,9650</v>
      </c>
      <c r="N13" s="11" t="s">
        <v>74</v>
      </c>
    </row>
    <row r="14" spans="1:14" ht="12.75">
      <c r="A14" s="76" t="s">
        <v>446</v>
      </c>
      <c r="B14" s="34" t="s">
        <v>38</v>
      </c>
      <c r="C14" s="13" t="s">
        <v>39</v>
      </c>
      <c r="D14" s="12" t="s">
        <v>40</v>
      </c>
      <c r="E14" s="12" t="str">
        <f>"0,6570"</f>
        <v>0,6570</v>
      </c>
      <c r="F14" s="13" t="s">
        <v>23</v>
      </c>
      <c r="G14" s="13" t="s">
        <v>41</v>
      </c>
      <c r="H14" s="86" t="s">
        <v>42</v>
      </c>
      <c r="I14" s="112" t="s">
        <v>43</v>
      </c>
      <c r="J14" s="112" t="s">
        <v>43</v>
      </c>
      <c r="K14" s="107"/>
      <c r="L14" s="106" t="s">
        <v>522</v>
      </c>
      <c r="M14" s="106" t="str">
        <f>"91,9800"</f>
        <v>91,9800</v>
      </c>
      <c r="N14" s="13" t="s">
        <v>74</v>
      </c>
    </row>
    <row r="16" spans="2:13" ht="15.75">
      <c r="B16" s="144" t="s">
        <v>44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4" ht="12.75">
      <c r="A17" s="76" t="s">
        <v>445</v>
      </c>
      <c r="B17" s="32" t="s">
        <v>45</v>
      </c>
      <c r="C17" s="9" t="s">
        <v>46</v>
      </c>
      <c r="D17" s="8" t="s">
        <v>47</v>
      </c>
      <c r="E17" s="8" t="str">
        <f>"0,6134"</f>
        <v>0,6134</v>
      </c>
      <c r="F17" s="9" t="s">
        <v>23</v>
      </c>
      <c r="G17" s="20" t="s">
        <v>486</v>
      </c>
      <c r="H17" s="84" t="s">
        <v>48</v>
      </c>
      <c r="I17" s="84" t="s">
        <v>49</v>
      </c>
      <c r="J17" s="84" t="s">
        <v>50</v>
      </c>
      <c r="K17" s="103"/>
      <c r="L17" s="102" t="s">
        <v>523</v>
      </c>
      <c r="M17" s="102" t="str">
        <f>"141,0820"</f>
        <v>141,0820</v>
      </c>
      <c r="N17" s="9" t="s">
        <v>74</v>
      </c>
    </row>
    <row r="18" spans="1:14" ht="12.75">
      <c r="A18" s="76" t="s">
        <v>446</v>
      </c>
      <c r="B18" s="33" t="s">
        <v>51</v>
      </c>
      <c r="C18" s="11" t="s">
        <v>52</v>
      </c>
      <c r="D18" s="10" t="s">
        <v>53</v>
      </c>
      <c r="E18" s="10" t="str">
        <f>"0,6263"</f>
        <v>0,6263</v>
      </c>
      <c r="F18" s="11" t="s">
        <v>23</v>
      </c>
      <c r="G18" s="21" t="s">
        <v>486</v>
      </c>
      <c r="H18" s="85" t="s">
        <v>31</v>
      </c>
      <c r="I18" s="85" t="s">
        <v>37</v>
      </c>
      <c r="J18" s="111" t="s">
        <v>32</v>
      </c>
      <c r="K18" s="104"/>
      <c r="L18" s="105" t="s">
        <v>521</v>
      </c>
      <c r="M18" s="105" t="str">
        <f>"109,6025"</f>
        <v>109,6025</v>
      </c>
      <c r="N18" s="11" t="s">
        <v>74</v>
      </c>
    </row>
    <row r="19" spans="1:14" ht="12.75">
      <c r="A19" s="76" t="s">
        <v>447</v>
      </c>
      <c r="B19" s="33" t="s">
        <v>54</v>
      </c>
      <c r="C19" s="11" t="s">
        <v>55</v>
      </c>
      <c r="D19" s="10" t="s">
        <v>56</v>
      </c>
      <c r="E19" s="10" t="str">
        <f>"0,6235"</f>
        <v>0,6235</v>
      </c>
      <c r="F19" s="11" t="s">
        <v>57</v>
      </c>
      <c r="G19" s="21" t="s">
        <v>486</v>
      </c>
      <c r="H19" s="111" t="s">
        <v>58</v>
      </c>
      <c r="I19" s="85" t="s">
        <v>59</v>
      </c>
      <c r="J19" s="111" t="s">
        <v>60</v>
      </c>
      <c r="K19" s="104"/>
      <c r="L19" s="105" t="s">
        <v>524</v>
      </c>
      <c r="M19" s="105" t="str">
        <f>"104,4362"</f>
        <v>104,4362</v>
      </c>
      <c r="N19" s="11" t="s">
        <v>74</v>
      </c>
    </row>
    <row r="20" spans="1:14" ht="12.75">
      <c r="A20" s="76" t="s">
        <v>549</v>
      </c>
      <c r="B20" s="33" t="s">
        <v>61</v>
      </c>
      <c r="C20" s="11" t="s">
        <v>62</v>
      </c>
      <c r="D20" s="10" t="s">
        <v>63</v>
      </c>
      <c r="E20" s="10" t="str">
        <f>"0,6155"</f>
        <v>0,6155</v>
      </c>
      <c r="F20" s="11" t="s">
        <v>23</v>
      </c>
      <c r="G20" s="11" t="s">
        <v>517</v>
      </c>
      <c r="H20" s="111" t="s">
        <v>64</v>
      </c>
      <c r="I20" s="85" t="s">
        <v>15</v>
      </c>
      <c r="J20" s="111" t="s">
        <v>58</v>
      </c>
      <c r="K20" s="104"/>
      <c r="L20" s="105" t="s">
        <v>525</v>
      </c>
      <c r="M20" s="105" t="str">
        <f>"92,3250"</f>
        <v>92,3250</v>
      </c>
      <c r="N20" s="11" t="s">
        <v>74</v>
      </c>
    </row>
    <row r="21" spans="2:14" ht="12.75">
      <c r="B21" s="33" t="s">
        <v>65</v>
      </c>
      <c r="C21" s="11" t="s">
        <v>66</v>
      </c>
      <c r="D21" s="10" t="s">
        <v>67</v>
      </c>
      <c r="E21" s="10" t="str">
        <f>"0,6177"</f>
        <v>0,6177</v>
      </c>
      <c r="F21" s="11" t="s">
        <v>23</v>
      </c>
      <c r="G21" s="21" t="s">
        <v>486</v>
      </c>
      <c r="H21" s="111" t="s">
        <v>68</v>
      </c>
      <c r="I21" s="111" t="s">
        <v>68</v>
      </c>
      <c r="J21" s="104"/>
      <c r="K21" s="104"/>
      <c r="L21" s="109">
        <v>0</v>
      </c>
      <c r="M21" s="109">
        <v>0</v>
      </c>
      <c r="N21" s="11" t="s">
        <v>74</v>
      </c>
    </row>
    <row r="22" spans="1:14" ht="12.75">
      <c r="A22" s="76" t="s">
        <v>445</v>
      </c>
      <c r="B22" s="34" t="s">
        <v>69</v>
      </c>
      <c r="C22" s="13" t="s">
        <v>70</v>
      </c>
      <c r="D22" s="12" t="s">
        <v>71</v>
      </c>
      <c r="E22" s="12" t="str">
        <f>"0,6118"</f>
        <v>0,6118</v>
      </c>
      <c r="F22" s="13" t="s">
        <v>23</v>
      </c>
      <c r="G22" s="22" t="s">
        <v>486</v>
      </c>
      <c r="H22" s="112" t="s">
        <v>72</v>
      </c>
      <c r="I22" s="86" t="s">
        <v>72</v>
      </c>
      <c r="J22" s="86" t="s">
        <v>73</v>
      </c>
      <c r="K22" s="107"/>
      <c r="L22" s="106" t="s">
        <v>526</v>
      </c>
      <c r="M22" s="106" t="str">
        <f>"78,0672"</f>
        <v>78,0672</v>
      </c>
      <c r="N22" s="13" t="s">
        <v>74</v>
      </c>
    </row>
    <row r="24" spans="2:13" ht="15.75">
      <c r="B24" s="144" t="s">
        <v>75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4" ht="12.75">
      <c r="A25" s="76" t="s">
        <v>445</v>
      </c>
      <c r="B25" s="32" t="s">
        <v>76</v>
      </c>
      <c r="C25" s="9" t="s">
        <v>77</v>
      </c>
      <c r="D25" s="8" t="s">
        <v>78</v>
      </c>
      <c r="E25" s="8" t="str">
        <f>"0,5945"</f>
        <v>0,5945</v>
      </c>
      <c r="F25" s="9" t="s">
        <v>23</v>
      </c>
      <c r="G25" s="20" t="s">
        <v>486</v>
      </c>
      <c r="H25" s="84" t="s">
        <v>32</v>
      </c>
      <c r="I25" s="84" t="s">
        <v>68</v>
      </c>
      <c r="J25" s="113" t="s">
        <v>33</v>
      </c>
      <c r="K25" s="103"/>
      <c r="L25" s="102" t="s">
        <v>527</v>
      </c>
      <c r="M25" s="102" t="str">
        <f>"112,9550"</f>
        <v>112,9550</v>
      </c>
      <c r="N25" s="9" t="s">
        <v>74</v>
      </c>
    </row>
    <row r="26" spans="1:14" ht="12.75">
      <c r="A26" s="76" t="s">
        <v>445</v>
      </c>
      <c r="B26" s="33" t="s">
        <v>79</v>
      </c>
      <c r="C26" s="11" t="s">
        <v>80</v>
      </c>
      <c r="D26" s="10" t="s">
        <v>81</v>
      </c>
      <c r="E26" s="10" t="str">
        <f>"0,5978"</f>
        <v>0,5978</v>
      </c>
      <c r="F26" s="11" t="s">
        <v>23</v>
      </c>
      <c r="G26" s="11" t="s">
        <v>82</v>
      </c>
      <c r="H26" s="85" t="s">
        <v>68</v>
      </c>
      <c r="I26" s="85" t="s">
        <v>83</v>
      </c>
      <c r="J26" s="85" t="s">
        <v>84</v>
      </c>
      <c r="K26" s="104"/>
      <c r="L26" s="105" t="s">
        <v>528</v>
      </c>
      <c r="M26" s="105" t="str">
        <f>"122,5490"</f>
        <v>122,5490</v>
      </c>
      <c r="N26" s="11" t="s">
        <v>533</v>
      </c>
    </row>
    <row r="27" spans="1:14" ht="12.75">
      <c r="A27" s="76" t="s">
        <v>446</v>
      </c>
      <c r="B27" s="33" t="s">
        <v>85</v>
      </c>
      <c r="C27" s="11" t="s">
        <v>86</v>
      </c>
      <c r="D27" s="10" t="s">
        <v>87</v>
      </c>
      <c r="E27" s="10" t="str">
        <f>"0,5916"</f>
        <v>0,5916</v>
      </c>
      <c r="F27" s="11" t="s">
        <v>23</v>
      </c>
      <c r="G27" s="11" t="s">
        <v>99</v>
      </c>
      <c r="H27" s="85" t="s">
        <v>83</v>
      </c>
      <c r="I27" s="104"/>
      <c r="J27" s="104"/>
      <c r="K27" s="104"/>
      <c r="L27" s="105" t="s">
        <v>529</v>
      </c>
      <c r="M27" s="105" t="str">
        <f>"118,3200"</f>
        <v>118,3200</v>
      </c>
      <c r="N27" s="11" t="s">
        <v>74</v>
      </c>
    </row>
    <row r="28" spans="1:14" ht="12.75">
      <c r="A28" s="76" t="s">
        <v>447</v>
      </c>
      <c r="B28" s="33" t="s">
        <v>88</v>
      </c>
      <c r="C28" s="11" t="s">
        <v>89</v>
      </c>
      <c r="D28" s="10" t="s">
        <v>90</v>
      </c>
      <c r="E28" s="10" t="str">
        <f>"0,5946"</f>
        <v>0,5946</v>
      </c>
      <c r="F28" s="11" t="s">
        <v>23</v>
      </c>
      <c r="G28" s="11" t="s">
        <v>14</v>
      </c>
      <c r="H28" s="85" t="s">
        <v>37</v>
      </c>
      <c r="I28" s="85" t="s">
        <v>60</v>
      </c>
      <c r="J28" s="111" t="s">
        <v>91</v>
      </c>
      <c r="K28" s="104"/>
      <c r="L28" s="105" t="s">
        <v>530</v>
      </c>
      <c r="M28" s="105" t="str">
        <f>"110,0010"</f>
        <v>110,0010</v>
      </c>
      <c r="N28" s="11" t="s">
        <v>74</v>
      </c>
    </row>
    <row r="29" spans="1:14" ht="12.75">
      <c r="A29" s="76" t="s">
        <v>445</v>
      </c>
      <c r="B29" s="33" t="s">
        <v>92</v>
      </c>
      <c r="C29" s="11" t="s">
        <v>93</v>
      </c>
      <c r="D29" s="10" t="s">
        <v>94</v>
      </c>
      <c r="E29" s="10" t="str">
        <f>"0,5932"</f>
        <v>0,5932</v>
      </c>
      <c r="F29" s="11" t="s">
        <v>95</v>
      </c>
      <c r="G29" s="21" t="s">
        <v>486</v>
      </c>
      <c r="H29" s="85" t="s">
        <v>32</v>
      </c>
      <c r="I29" s="85" t="s">
        <v>68</v>
      </c>
      <c r="J29" s="111" t="s">
        <v>83</v>
      </c>
      <c r="K29" s="104"/>
      <c r="L29" s="105" t="s">
        <v>527</v>
      </c>
      <c r="M29" s="105" t="str">
        <f>"121,4992"</f>
        <v>121,4992</v>
      </c>
      <c r="N29" s="11" t="s">
        <v>507</v>
      </c>
    </row>
    <row r="30" spans="1:14" ht="12.75">
      <c r="A30" s="76" t="s">
        <v>445</v>
      </c>
      <c r="B30" s="33" t="s">
        <v>96</v>
      </c>
      <c r="C30" s="11" t="s">
        <v>97</v>
      </c>
      <c r="D30" s="10" t="s">
        <v>98</v>
      </c>
      <c r="E30" s="10" t="str">
        <f>"0,5962"</f>
        <v>0,5962</v>
      </c>
      <c r="F30" s="11" t="s">
        <v>23</v>
      </c>
      <c r="G30" s="11" t="s">
        <v>99</v>
      </c>
      <c r="H30" s="85" t="s">
        <v>15</v>
      </c>
      <c r="I30" s="85" t="s">
        <v>58</v>
      </c>
      <c r="J30" s="111" t="s">
        <v>18</v>
      </c>
      <c r="K30" s="104"/>
      <c r="L30" s="105" t="s">
        <v>531</v>
      </c>
      <c r="M30" s="105" t="str">
        <f>"111,4179"</f>
        <v>111,4179</v>
      </c>
      <c r="N30" s="11" t="s">
        <v>74</v>
      </c>
    </row>
    <row r="31" spans="1:14" ht="12.75">
      <c r="A31" s="76" t="s">
        <v>446</v>
      </c>
      <c r="B31" s="34" t="s">
        <v>101</v>
      </c>
      <c r="C31" s="13" t="s">
        <v>102</v>
      </c>
      <c r="D31" s="12" t="s">
        <v>103</v>
      </c>
      <c r="E31" s="12" t="str">
        <f>"0,6060"</f>
        <v>0,6060</v>
      </c>
      <c r="F31" s="13" t="s">
        <v>95</v>
      </c>
      <c r="G31" s="22" t="s">
        <v>486</v>
      </c>
      <c r="H31" s="86" t="s">
        <v>15</v>
      </c>
      <c r="I31" s="86" t="s">
        <v>17</v>
      </c>
      <c r="J31" s="112" t="s">
        <v>104</v>
      </c>
      <c r="K31" s="107"/>
      <c r="L31" s="106" t="s">
        <v>518</v>
      </c>
      <c r="M31" s="106" t="str">
        <f>"113,2932"</f>
        <v>113,2932</v>
      </c>
      <c r="N31" s="13" t="s">
        <v>534</v>
      </c>
    </row>
    <row r="33" spans="2:13" ht="15.75">
      <c r="B33" s="144" t="s">
        <v>105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4" ht="12.75">
      <c r="A34" s="76" t="s">
        <v>445</v>
      </c>
      <c r="B34" s="32" t="s">
        <v>106</v>
      </c>
      <c r="C34" s="9" t="s">
        <v>107</v>
      </c>
      <c r="D34" s="8" t="s">
        <v>108</v>
      </c>
      <c r="E34" s="8" t="str">
        <f>"0,5809"</f>
        <v>0,5809</v>
      </c>
      <c r="F34" s="9" t="s">
        <v>95</v>
      </c>
      <c r="G34" s="20" t="s">
        <v>486</v>
      </c>
      <c r="H34" s="84" t="s">
        <v>32</v>
      </c>
      <c r="I34" s="84" t="s">
        <v>68</v>
      </c>
      <c r="J34" s="113" t="s">
        <v>83</v>
      </c>
      <c r="K34" s="103"/>
      <c r="L34" s="102" t="s">
        <v>527</v>
      </c>
      <c r="M34" s="102" t="str">
        <f>"110,3710"</f>
        <v>110,3710</v>
      </c>
      <c r="N34" s="9" t="s">
        <v>507</v>
      </c>
    </row>
    <row r="35" spans="1:14" ht="12.75">
      <c r="A35" s="76" t="s">
        <v>445</v>
      </c>
      <c r="B35" s="33" t="s">
        <v>109</v>
      </c>
      <c r="C35" s="11" t="s">
        <v>110</v>
      </c>
      <c r="D35" s="10" t="s">
        <v>111</v>
      </c>
      <c r="E35" s="10" t="str">
        <f>"0,5755"</f>
        <v>0,5755</v>
      </c>
      <c r="F35" s="11" t="s">
        <v>23</v>
      </c>
      <c r="G35" s="11" t="s">
        <v>112</v>
      </c>
      <c r="H35" s="85" t="s">
        <v>68</v>
      </c>
      <c r="I35" s="85" t="s">
        <v>83</v>
      </c>
      <c r="J35" s="111" t="s">
        <v>48</v>
      </c>
      <c r="K35" s="104"/>
      <c r="L35" s="105" t="s">
        <v>529</v>
      </c>
      <c r="M35" s="105" t="str">
        <f>"115,1000"</f>
        <v>115,1000</v>
      </c>
      <c r="N35" s="11" t="s">
        <v>74</v>
      </c>
    </row>
    <row r="36" spans="1:14" ht="12.75">
      <c r="A36" s="76" t="s">
        <v>446</v>
      </c>
      <c r="B36" s="33" t="s">
        <v>113</v>
      </c>
      <c r="C36" s="11" t="s">
        <v>114</v>
      </c>
      <c r="D36" s="10" t="s">
        <v>115</v>
      </c>
      <c r="E36" s="10" t="str">
        <f>"0,5765"</f>
        <v>0,5765</v>
      </c>
      <c r="F36" s="11" t="s">
        <v>23</v>
      </c>
      <c r="G36" s="21" t="s">
        <v>486</v>
      </c>
      <c r="H36" s="85" t="s">
        <v>60</v>
      </c>
      <c r="I36" s="111" t="s">
        <v>33</v>
      </c>
      <c r="J36" s="111" t="s">
        <v>83</v>
      </c>
      <c r="K36" s="104"/>
      <c r="L36" s="105" t="s">
        <v>530</v>
      </c>
      <c r="M36" s="105" t="str">
        <f>"106,6525"</f>
        <v>106,6525</v>
      </c>
      <c r="N36" s="11" t="s">
        <v>535</v>
      </c>
    </row>
    <row r="37" spans="1:14" ht="12.75">
      <c r="A37" s="76" t="s">
        <v>447</v>
      </c>
      <c r="B37" s="34" t="s">
        <v>116</v>
      </c>
      <c r="C37" s="13" t="s">
        <v>117</v>
      </c>
      <c r="D37" s="12" t="s">
        <v>118</v>
      </c>
      <c r="E37" s="12" t="str">
        <f>"0,5852"</f>
        <v>0,5852</v>
      </c>
      <c r="F37" s="13" t="s">
        <v>95</v>
      </c>
      <c r="G37" s="22" t="s">
        <v>486</v>
      </c>
      <c r="H37" s="86" t="s">
        <v>15</v>
      </c>
      <c r="I37" s="86" t="s">
        <v>16</v>
      </c>
      <c r="J37" s="86" t="s">
        <v>58</v>
      </c>
      <c r="K37" s="107"/>
      <c r="L37" s="106" t="s">
        <v>531</v>
      </c>
      <c r="M37" s="106" t="str">
        <f>"93,6320"</f>
        <v>93,6320</v>
      </c>
      <c r="N37" s="13" t="s">
        <v>534</v>
      </c>
    </row>
    <row r="38" spans="8:13" ht="12.75">
      <c r="H38" s="108"/>
      <c r="I38" s="108"/>
      <c r="J38" s="108"/>
      <c r="K38" s="108"/>
      <c r="L38" s="108"/>
      <c r="M38" s="108"/>
    </row>
    <row r="39" spans="2:13" ht="15.75">
      <c r="B39" s="144" t="s">
        <v>119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4" ht="12.75" customHeight="1">
      <c r="A40" s="76" t="s">
        <v>445</v>
      </c>
      <c r="B40" s="32" t="s">
        <v>120</v>
      </c>
      <c r="C40" s="9" t="s">
        <v>121</v>
      </c>
      <c r="D40" s="8" t="s">
        <v>122</v>
      </c>
      <c r="E40" s="8" t="str">
        <f>"0,5661"</f>
        <v>0,5661</v>
      </c>
      <c r="F40" s="9" t="s">
        <v>23</v>
      </c>
      <c r="G40" s="20" t="s">
        <v>487</v>
      </c>
      <c r="H40" s="84" t="s">
        <v>68</v>
      </c>
      <c r="I40" s="84" t="s">
        <v>83</v>
      </c>
      <c r="J40" s="84" t="s">
        <v>48</v>
      </c>
      <c r="K40" s="103"/>
      <c r="L40" s="102" t="s">
        <v>532</v>
      </c>
      <c r="M40" s="102" t="str">
        <f>"118,8810"</f>
        <v>118,8810</v>
      </c>
      <c r="N40" s="9" t="s">
        <v>536</v>
      </c>
    </row>
    <row r="41" spans="1:14" ht="12.75">
      <c r="A41" s="76" t="s">
        <v>446</v>
      </c>
      <c r="B41" s="34" t="s">
        <v>123</v>
      </c>
      <c r="C41" s="13" t="s">
        <v>124</v>
      </c>
      <c r="D41" s="12" t="s">
        <v>125</v>
      </c>
      <c r="E41" s="12" t="str">
        <f>"0,5616"</f>
        <v>0,5616</v>
      </c>
      <c r="F41" s="13" t="s">
        <v>95</v>
      </c>
      <c r="G41" s="22" t="s">
        <v>487</v>
      </c>
      <c r="H41" s="86" t="s">
        <v>64</v>
      </c>
      <c r="I41" s="86" t="s">
        <v>15</v>
      </c>
      <c r="J41" s="112" t="s">
        <v>126</v>
      </c>
      <c r="K41" s="107"/>
      <c r="L41" s="106" t="s">
        <v>525</v>
      </c>
      <c r="M41" s="106" t="str">
        <f>"84,2400"</f>
        <v>84,2400</v>
      </c>
      <c r="N41" s="13" t="s">
        <v>534</v>
      </c>
    </row>
    <row r="43" spans="2:13" ht="15.75">
      <c r="B43" s="144" t="s">
        <v>127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4" ht="12.75">
      <c r="A44" s="76" t="s">
        <v>445</v>
      </c>
      <c r="B44" s="32" t="s">
        <v>128</v>
      </c>
      <c r="C44" s="9" t="s">
        <v>129</v>
      </c>
      <c r="D44" s="8" t="s">
        <v>130</v>
      </c>
      <c r="E44" s="8" t="str">
        <f>"0,5568"</f>
        <v>0,5568</v>
      </c>
      <c r="F44" s="9" t="s">
        <v>23</v>
      </c>
      <c r="G44" s="20" t="s">
        <v>487</v>
      </c>
      <c r="H44" s="84" t="s">
        <v>32</v>
      </c>
      <c r="I44" s="84" t="s">
        <v>68</v>
      </c>
      <c r="J44" s="84" t="s">
        <v>83</v>
      </c>
      <c r="K44" s="103"/>
      <c r="L44" s="102" t="s">
        <v>529</v>
      </c>
      <c r="M44" s="102" t="str">
        <f>"111,3600"</f>
        <v>111,3600</v>
      </c>
      <c r="N44" s="9" t="s">
        <v>74</v>
      </c>
    </row>
    <row r="45" spans="1:14" ht="12.75">
      <c r="A45" s="76" t="s">
        <v>445</v>
      </c>
      <c r="B45" s="34" t="s">
        <v>131</v>
      </c>
      <c r="C45" s="13" t="s">
        <v>132</v>
      </c>
      <c r="D45" s="12" t="s">
        <v>133</v>
      </c>
      <c r="E45" s="12" t="str">
        <f>"0,5525"</f>
        <v>0,5525</v>
      </c>
      <c r="F45" s="13" t="s">
        <v>95</v>
      </c>
      <c r="G45" s="22" t="s">
        <v>487</v>
      </c>
      <c r="H45" s="86" t="s">
        <v>83</v>
      </c>
      <c r="I45" s="86" t="s">
        <v>48</v>
      </c>
      <c r="J45" s="107"/>
      <c r="K45" s="107"/>
      <c r="L45" s="106" t="s">
        <v>532</v>
      </c>
      <c r="M45" s="106" t="str">
        <f>"116,0250"</f>
        <v>116,0250</v>
      </c>
      <c r="N45" s="13" t="s">
        <v>74</v>
      </c>
    </row>
    <row r="48" spans="2:3" ht="18">
      <c r="B48" s="36" t="s">
        <v>134</v>
      </c>
      <c r="C48" s="14"/>
    </row>
    <row r="49" spans="2:3" ht="15.75">
      <c r="B49" s="37" t="s">
        <v>135</v>
      </c>
      <c r="C49" s="15"/>
    </row>
    <row r="50" spans="2:3" ht="13.5">
      <c r="B50" s="38"/>
      <c r="C50" s="16" t="s">
        <v>143</v>
      </c>
    </row>
    <row r="51" spans="2:6" ht="13.5">
      <c r="B51" s="39" t="s">
        <v>136</v>
      </c>
      <c r="C51" s="17" t="s">
        <v>137</v>
      </c>
      <c r="D51" s="17" t="s">
        <v>138</v>
      </c>
      <c r="E51" s="17" t="s">
        <v>139</v>
      </c>
      <c r="F51" s="17" t="s">
        <v>140</v>
      </c>
    </row>
    <row r="52" spans="1:6" ht="12.75">
      <c r="A52" s="76" t="s">
        <v>445</v>
      </c>
      <c r="B52" s="40" t="s">
        <v>45</v>
      </c>
      <c r="C52" s="1" t="s">
        <v>143</v>
      </c>
      <c r="D52" s="108">
        <v>100</v>
      </c>
      <c r="E52" s="108" t="s">
        <v>50</v>
      </c>
      <c r="F52" s="108" t="s">
        <v>145</v>
      </c>
    </row>
    <row r="53" spans="1:6" ht="12.75">
      <c r="A53" s="76" t="s">
        <v>446</v>
      </c>
      <c r="B53" s="40" t="s">
        <v>11</v>
      </c>
      <c r="C53" s="1" t="s">
        <v>143</v>
      </c>
      <c r="D53" s="108">
        <v>67.5</v>
      </c>
      <c r="E53" s="108" t="s">
        <v>17</v>
      </c>
      <c r="F53" s="108" t="s">
        <v>146</v>
      </c>
    </row>
    <row r="54" spans="1:6" ht="12.75">
      <c r="A54" s="76" t="s">
        <v>447</v>
      </c>
      <c r="B54" s="40" t="s">
        <v>79</v>
      </c>
      <c r="C54" s="1" t="s">
        <v>143</v>
      </c>
      <c r="D54" s="108">
        <v>110</v>
      </c>
      <c r="E54" s="108" t="s">
        <v>84</v>
      </c>
      <c r="F54" s="108" t="s">
        <v>147</v>
      </c>
    </row>
    <row r="56" spans="2:3" ht="13.5">
      <c r="B56" s="38"/>
      <c r="C56" s="16" t="s">
        <v>149</v>
      </c>
    </row>
    <row r="57" spans="2:6" ht="13.5">
      <c r="B57" s="39" t="s">
        <v>136</v>
      </c>
      <c r="C57" s="17" t="s">
        <v>137</v>
      </c>
      <c r="D57" s="17" t="s">
        <v>138</v>
      </c>
      <c r="E57" s="17" t="s">
        <v>139</v>
      </c>
      <c r="F57" s="17" t="s">
        <v>140</v>
      </c>
    </row>
    <row r="58" spans="1:6" ht="12.75">
      <c r="A58" s="76" t="s">
        <v>445</v>
      </c>
      <c r="B58" s="40" t="s">
        <v>92</v>
      </c>
      <c r="C58" s="1" t="s">
        <v>150</v>
      </c>
      <c r="D58" s="108">
        <v>110</v>
      </c>
      <c r="E58" s="108" t="s">
        <v>68</v>
      </c>
      <c r="F58" s="108" t="s">
        <v>151</v>
      </c>
    </row>
    <row r="59" spans="1:6" ht="12.75">
      <c r="A59" s="76" t="s">
        <v>446</v>
      </c>
      <c r="B59" s="40" t="s">
        <v>131</v>
      </c>
      <c r="C59" s="1" t="s">
        <v>152</v>
      </c>
      <c r="D59" s="108" t="s">
        <v>148</v>
      </c>
      <c r="E59" s="108" t="s">
        <v>48</v>
      </c>
      <c r="F59" s="108" t="s">
        <v>153</v>
      </c>
    </row>
    <row r="60" spans="1:6" ht="12.75">
      <c r="A60" s="76" t="s">
        <v>447</v>
      </c>
      <c r="B60" s="40" t="s">
        <v>101</v>
      </c>
      <c r="C60" s="1" t="s">
        <v>154</v>
      </c>
      <c r="D60" s="108">
        <v>110</v>
      </c>
      <c r="E60" s="108" t="s">
        <v>17</v>
      </c>
      <c r="F60" s="108" t="s">
        <v>155</v>
      </c>
    </row>
  </sheetData>
  <sheetProtection/>
  <mergeCells count="20">
    <mergeCell ref="B1:N2"/>
    <mergeCell ref="H3:K3"/>
    <mergeCell ref="B3:B4"/>
    <mergeCell ref="C3:C4"/>
    <mergeCell ref="D3:D4"/>
    <mergeCell ref="N3:N4"/>
    <mergeCell ref="G3:G4"/>
    <mergeCell ref="F3:F4"/>
    <mergeCell ref="B5:M5"/>
    <mergeCell ref="B8:M8"/>
    <mergeCell ref="B11:M11"/>
    <mergeCell ref="E3:E4"/>
    <mergeCell ref="L3:L4"/>
    <mergeCell ref="M3:M4"/>
    <mergeCell ref="A3:A4"/>
    <mergeCell ref="B16:M16"/>
    <mergeCell ref="B24:M24"/>
    <mergeCell ref="B33:M33"/>
    <mergeCell ref="B39:M39"/>
    <mergeCell ref="B43:M4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E35" sqref="E35"/>
    </sheetView>
  </sheetViews>
  <sheetFormatPr defaultColWidth="8.75390625" defaultRowHeight="12.75"/>
  <cols>
    <col min="1" max="1" width="6.875" style="77" customWidth="1"/>
    <col min="2" max="2" width="23.753906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12.125" style="18" customWidth="1"/>
    <col min="7" max="7" width="26.0039062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5.875" style="18" customWidth="1"/>
  </cols>
  <sheetData>
    <row r="1" spans="1:22" s="1" customFormat="1" ht="15" customHeight="1">
      <c r="A1" s="76"/>
      <c r="B1" s="127" t="s">
        <v>552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</row>
    <row r="2" spans="1:22" s="1" customFormat="1" ht="77.25" customHeight="1" thickBot="1">
      <c r="A2" s="7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</row>
    <row r="3" spans="1:22" s="2" customFormat="1" ht="12.75" customHeight="1">
      <c r="A3" s="122" t="s">
        <v>496</v>
      </c>
      <c r="B3" s="133" t="s">
        <v>0</v>
      </c>
      <c r="C3" s="135" t="s">
        <v>484</v>
      </c>
      <c r="D3" s="137" t="s">
        <v>473</v>
      </c>
      <c r="E3" s="139" t="s">
        <v>9</v>
      </c>
      <c r="F3" s="139" t="s">
        <v>7</v>
      </c>
      <c r="G3" s="140" t="s">
        <v>485</v>
      </c>
      <c r="H3" s="139" t="s">
        <v>1</v>
      </c>
      <c r="I3" s="139"/>
      <c r="J3" s="139"/>
      <c r="K3" s="139"/>
      <c r="L3" s="139" t="s">
        <v>2</v>
      </c>
      <c r="M3" s="139"/>
      <c r="N3" s="139"/>
      <c r="O3" s="139"/>
      <c r="P3" s="139" t="s">
        <v>3</v>
      </c>
      <c r="Q3" s="139"/>
      <c r="R3" s="139"/>
      <c r="S3" s="139"/>
      <c r="T3" s="139" t="s">
        <v>4</v>
      </c>
      <c r="U3" s="139" t="s">
        <v>6</v>
      </c>
      <c r="V3" s="124" t="s">
        <v>5</v>
      </c>
    </row>
    <row r="4" spans="1:22" s="2" customFormat="1" ht="21" customHeight="1" thickBot="1">
      <c r="A4" s="123"/>
      <c r="B4" s="134"/>
      <c r="C4" s="136"/>
      <c r="D4" s="138"/>
      <c r="E4" s="136"/>
      <c r="F4" s="136"/>
      <c r="G4" s="14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36"/>
      <c r="U4" s="136"/>
      <c r="V4" s="125"/>
    </row>
    <row r="5" spans="2:21" ht="15.75">
      <c r="B5" s="126" t="s">
        <v>324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 ht="12.75">
      <c r="A6" s="77">
        <v>1</v>
      </c>
      <c r="B6" s="19" t="s">
        <v>325</v>
      </c>
      <c r="C6" s="19" t="s">
        <v>326</v>
      </c>
      <c r="D6" s="19" t="s">
        <v>327</v>
      </c>
      <c r="E6" s="19" t="str">
        <f>"1,2635"</f>
        <v>1,2635</v>
      </c>
      <c r="F6" s="19" t="s">
        <v>23</v>
      </c>
      <c r="G6" s="19" t="s">
        <v>486</v>
      </c>
      <c r="H6" s="83" t="s">
        <v>173</v>
      </c>
      <c r="I6" s="78" t="s">
        <v>183</v>
      </c>
      <c r="J6" s="78" t="s">
        <v>183</v>
      </c>
      <c r="K6" s="68"/>
      <c r="L6" s="83" t="s">
        <v>328</v>
      </c>
      <c r="M6" s="83" t="s">
        <v>260</v>
      </c>
      <c r="N6" s="83" t="s">
        <v>261</v>
      </c>
      <c r="O6" s="68"/>
      <c r="P6" s="83" t="s">
        <v>183</v>
      </c>
      <c r="Q6" s="83" t="s">
        <v>198</v>
      </c>
      <c r="R6" s="83" t="s">
        <v>72</v>
      </c>
      <c r="S6" s="68"/>
      <c r="T6" s="67">
        <v>225</v>
      </c>
      <c r="U6" s="67" t="str">
        <f>"284,2875"</f>
        <v>284,2875</v>
      </c>
      <c r="V6" s="19" t="s">
        <v>501</v>
      </c>
    </row>
    <row r="8" spans="2:21" ht="15.75">
      <c r="B8" s="121" t="s">
        <v>162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2" ht="12.75">
      <c r="A9" s="77">
        <v>1</v>
      </c>
      <c r="B9" s="19" t="s">
        <v>329</v>
      </c>
      <c r="C9" s="19" t="s">
        <v>330</v>
      </c>
      <c r="D9" s="19" t="s">
        <v>331</v>
      </c>
      <c r="E9" s="19" t="str">
        <f>"1,1684"</f>
        <v>1,1684</v>
      </c>
      <c r="F9" s="19" t="s">
        <v>23</v>
      </c>
      <c r="G9" s="19" t="s">
        <v>486</v>
      </c>
      <c r="H9" s="83" t="s">
        <v>254</v>
      </c>
      <c r="I9" s="83" t="s">
        <v>265</v>
      </c>
      <c r="J9" s="78" t="s">
        <v>72</v>
      </c>
      <c r="K9" s="68"/>
      <c r="L9" s="83" t="s">
        <v>259</v>
      </c>
      <c r="M9" s="87" t="s">
        <v>261</v>
      </c>
      <c r="N9" s="87" t="s">
        <v>261</v>
      </c>
      <c r="O9" s="68"/>
      <c r="P9" s="83" t="s">
        <v>194</v>
      </c>
      <c r="Q9" s="83" t="s">
        <v>189</v>
      </c>
      <c r="R9" s="83" t="s">
        <v>25</v>
      </c>
      <c r="S9" s="68"/>
      <c r="T9" s="67">
        <v>267.5</v>
      </c>
      <c r="U9" s="67" t="str">
        <f>"312,5470"</f>
        <v>312,5470</v>
      </c>
      <c r="V9" s="19" t="s">
        <v>74</v>
      </c>
    </row>
    <row r="11" spans="2:21" ht="15.75">
      <c r="B11" s="121" t="s">
        <v>10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2" ht="12.75">
      <c r="A12" s="77">
        <v>1</v>
      </c>
      <c r="B12" s="19" t="s">
        <v>332</v>
      </c>
      <c r="C12" s="19" t="s">
        <v>333</v>
      </c>
      <c r="D12" s="19" t="s">
        <v>334</v>
      </c>
      <c r="E12" s="19" t="str">
        <f>"1,0740"</f>
        <v>1,0740</v>
      </c>
      <c r="F12" s="19" t="s">
        <v>23</v>
      </c>
      <c r="G12" s="19" t="s">
        <v>486</v>
      </c>
      <c r="H12" s="83" t="s">
        <v>183</v>
      </c>
      <c r="I12" s="83" t="s">
        <v>198</v>
      </c>
      <c r="J12" s="78" t="s">
        <v>335</v>
      </c>
      <c r="K12" s="68"/>
      <c r="L12" s="83" t="s">
        <v>259</v>
      </c>
      <c r="M12" s="83" t="s">
        <v>261</v>
      </c>
      <c r="N12" s="83" t="s">
        <v>336</v>
      </c>
      <c r="O12" s="68"/>
      <c r="P12" s="83" t="s">
        <v>194</v>
      </c>
      <c r="Q12" s="83" t="s">
        <v>188</v>
      </c>
      <c r="R12" s="83" t="s">
        <v>289</v>
      </c>
      <c r="S12" s="68"/>
      <c r="T12" s="67">
        <v>280</v>
      </c>
      <c r="U12" s="67" t="str">
        <f>"300,7200"</f>
        <v>300,7200</v>
      </c>
      <c r="V12" s="19" t="s">
        <v>501</v>
      </c>
    </row>
    <row r="14" spans="2:21" ht="15.75">
      <c r="B14" s="121" t="s">
        <v>337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2" ht="12.75">
      <c r="A15" s="77">
        <v>1</v>
      </c>
      <c r="B15" s="19" t="s">
        <v>338</v>
      </c>
      <c r="C15" s="19" t="s">
        <v>339</v>
      </c>
      <c r="D15" s="19" t="s">
        <v>340</v>
      </c>
      <c r="E15" s="19" t="str">
        <f>"0,8040"</f>
        <v>0,8040</v>
      </c>
      <c r="F15" s="19" t="s">
        <v>177</v>
      </c>
      <c r="G15" s="19" t="s">
        <v>486</v>
      </c>
      <c r="H15" s="78" t="s">
        <v>32</v>
      </c>
      <c r="I15" s="83" t="s">
        <v>32</v>
      </c>
      <c r="J15" s="78" t="s">
        <v>68</v>
      </c>
      <c r="K15" s="68"/>
      <c r="L15" s="83" t="s">
        <v>254</v>
      </c>
      <c r="M15" s="78" t="s">
        <v>183</v>
      </c>
      <c r="N15" s="78" t="s">
        <v>100</v>
      </c>
      <c r="O15" s="68"/>
      <c r="P15" s="83" t="s">
        <v>64</v>
      </c>
      <c r="Q15" s="83" t="s">
        <v>126</v>
      </c>
      <c r="R15" s="83" t="s">
        <v>17</v>
      </c>
      <c r="S15" s="68"/>
      <c r="T15" s="67">
        <v>417.5</v>
      </c>
      <c r="U15" s="67" t="str">
        <f>"335,6700"</f>
        <v>335,6700</v>
      </c>
      <c r="V15" s="19" t="s">
        <v>74</v>
      </c>
    </row>
    <row r="17" spans="2:21" ht="15.75">
      <c r="B17" s="121" t="s">
        <v>10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2" ht="12.75">
      <c r="B18" s="19" t="s">
        <v>174</v>
      </c>
      <c r="C18" s="19" t="s">
        <v>175</v>
      </c>
      <c r="D18" s="19" t="s">
        <v>176</v>
      </c>
      <c r="E18" s="19" t="str">
        <f>"0,7862"</f>
        <v>0,7862</v>
      </c>
      <c r="F18" s="19" t="s">
        <v>177</v>
      </c>
      <c r="G18" s="19" t="s">
        <v>486</v>
      </c>
      <c r="H18" s="78" t="s">
        <v>100</v>
      </c>
      <c r="I18" s="68"/>
      <c r="J18" s="68"/>
      <c r="K18" s="68"/>
      <c r="L18" s="78"/>
      <c r="M18" s="68"/>
      <c r="N18" s="68"/>
      <c r="O18" s="68"/>
      <c r="P18" s="78"/>
      <c r="Q18" s="68"/>
      <c r="R18" s="68"/>
      <c r="S18" s="68"/>
      <c r="T18" s="89">
        <v>0</v>
      </c>
      <c r="U18" s="89">
        <v>0</v>
      </c>
      <c r="V18" s="19" t="s">
        <v>491</v>
      </c>
    </row>
    <row r="20" spans="2:21" ht="15.75">
      <c r="B20" s="121" t="s">
        <v>168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2" ht="12.75">
      <c r="A21" s="77">
        <v>1</v>
      </c>
      <c r="B21" s="19" t="s">
        <v>341</v>
      </c>
      <c r="C21" s="19" t="s">
        <v>342</v>
      </c>
      <c r="D21" s="19" t="s">
        <v>343</v>
      </c>
      <c r="E21" s="19" t="str">
        <f>"0,7398"</f>
        <v>0,7398</v>
      </c>
      <c r="F21" s="19" t="s">
        <v>23</v>
      </c>
      <c r="G21" s="19" t="s">
        <v>486</v>
      </c>
      <c r="H21" s="78" t="s">
        <v>198</v>
      </c>
      <c r="I21" s="83" t="s">
        <v>198</v>
      </c>
      <c r="J21" s="83" t="s">
        <v>72</v>
      </c>
      <c r="K21" s="68"/>
      <c r="L21" s="83" t="s">
        <v>344</v>
      </c>
      <c r="M21" s="68" t="s">
        <v>345</v>
      </c>
      <c r="N21" s="83" t="s">
        <v>345</v>
      </c>
      <c r="O21" s="68"/>
      <c r="P21" s="83" t="s">
        <v>208</v>
      </c>
      <c r="Q21" s="83" t="s">
        <v>194</v>
      </c>
      <c r="R21" s="83" t="s">
        <v>189</v>
      </c>
      <c r="S21" s="68"/>
      <c r="T21" s="67">
        <v>287.5</v>
      </c>
      <c r="U21" s="67" t="str">
        <f>"212,6925"</f>
        <v>212,6925</v>
      </c>
      <c r="V21" s="19" t="s">
        <v>502</v>
      </c>
    </row>
    <row r="23" spans="2:21" ht="15.75">
      <c r="B23" s="121" t="s">
        <v>27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2" ht="12.75">
      <c r="A24" s="77">
        <v>1</v>
      </c>
      <c r="B24" s="20" t="s">
        <v>346</v>
      </c>
      <c r="C24" s="20" t="s">
        <v>347</v>
      </c>
      <c r="D24" s="20" t="s">
        <v>211</v>
      </c>
      <c r="E24" s="20" t="str">
        <f>"0,6463"</f>
        <v>0,6463</v>
      </c>
      <c r="F24" s="20" t="s">
        <v>23</v>
      </c>
      <c r="G24" s="20" t="s">
        <v>487</v>
      </c>
      <c r="H24" s="80" t="s">
        <v>18</v>
      </c>
      <c r="I24" s="84" t="s">
        <v>37</v>
      </c>
      <c r="J24" s="84" t="s">
        <v>60</v>
      </c>
      <c r="K24" s="70"/>
      <c r="L24" s="84" t="s">
        <v>194</v>
      </c>
      <c r="M24" s="80" t="s">
        <v>289</v>
      </c>
      <c r="N24" s="84" t="s">
        <v>215</v>
      </c>
      <c r="O24" s="70"/>
      <c r="P24" s="84" t="s">
        <v>15</v>
      </c>
      <c r="Q24" s="84" t="s">
        <v>104</v>
      </c>
      <c r="R24" s="84" t="s">
        <v>31</v>
      </c>
      <c r="S24" s="70"/>
      <c r="T24" s="69">
        <v>490</v>
      </c>
      <c r="U24" s="69" t="str">
        <f>"316,6870"</f>
        <v>316,6870</v>
      </c>
      <c r="V24" s="20" t="s">
        <v>503</v>
      </c>
    </row>
    <row r="25" spans="1:22" ht="12.75">
      <c r="A25" s="77">
        <v>1</v>
      </c>
      <c r="B25" s="21" t="s">
        <v>348</v>
      </c>
      <c r="C25" s="21" t="s">
        <v>349</v>
      </c>
      <c r="D25" s="21" t="s">
        <v>350</v>
      </c>
      <c r="E25" s="21" t="str">
        <f>"0,6455"</f>
        <v>0,6455</v>
      </c>
      <c r="F25" s="21" t="s">
        <v>351</v>
      </c>
      <c r="G25" s="21" t="s">
        <v>487</v>
      </c>
      <c r="H25" s="85" t="s">
        <v>352</v>
      </c>
      <c r="I25" s="85" t="s">
        <v>285</v>
      </c>
      <c r="J25" s="85" t="s">
        <v>50</v>
      </c>
      <c r="K25" s="72"/>
      <c r="L25" s="85" t="s">
        <v>58</v>
      </c>
      <c r="M25" s="79" t="s">
        <v>31</v>
      </c>
      <c r="N25" s="85" t="s">
        <v>31</v>
      </c>
      <c r="O25" s="72"/>
      <c r="P25" s="85" t="s">
        <v>84</v>
      </c>
      <c r="Q25" s="85" t="s">
        <v>352</v>
      </c>
      <c r="R25" s="79" t="s">
        <v>353</v>
      </c>
      <c r="S25" s="72"/>
      <c r="T25" s="71">
        <v>615</v>
      </c>
      <c r="U25" s="71" t="str">
        <f>"396,9825"</f>
        <v>396,9825</v>
      </c>
      <c r="V25" s="21" t="s">
        <v>74</v>
      </c>
    </row>
    <row r="26" spans="2:22" ht="12.75">
      <c r="B26" s="22" t="s">
        <v>354</v>
      </c>
      <c r="C26" s="22" t="s">
        <v>355</v>
      </c>
      <c r="D26" s="22" t="s">
        <v>356</v>
      </c>
      <c r="E26" s="22" t="str">
        <f>"0,6491"</f>
        <v>0,6491</v>
      </c>
      <c r="F26" s="22" t="s">
        <v>23</v>
      </c>
      <c r="G26" s="22" t="s">
        <v>487</v>
      </c>
      <c r="H26" s="81" t="s">
        <v>33</v>
      </c>
      <c r="I26" s="81" t="s">
        <v>83</v>
      </c>
      <c r="J26" s="81" t="s">
        <v>83</v>
      </c>
      <c r="K26" s="74"/>
      <c r="L26" s="74"/>
      <c r="M26" s="74"/>
      <c r="N26" s="74"/>
      <c r="O26" s="74"/>
      <c r="P26" s="74"/>
      <c r="Q26" s="74"/>
      <c r="R26" s="74"/>
      <c r="S26" s="74"/>
      <c r="T26" s="88">
        <v>0</v>
      </c>
      <c r="U26" s="88">
        <v>0</v>
      </c>
      <c r="V26" s="22" t="s">
        <v>74</v>
      </c>
    </row>
  </sheetData>
  <sheetProtection/>
  <mergeCells count="21">
    <mergeCell ref="F3:F4"/>
    <mergeCell ref="P3:S3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A3:A4"/>
    <mergeCell ref="B14:U14"/>
    <mergeCell ref="B17:U17"/>
    <mergeCell ref="B20:U20"/>
    <mergeCell ref="B23:U23"/>
    <mergeCell ref="T3:T4"/>
    <mergeCell ref="U3:U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2016-03-01T11:20:54Z</dcterms:modified>
  <cp:category/>
  <cp:version/>
  <cp:contentType/>
  <cp:contentStatus/>
</cp:coreProperties>
</file>